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chartsheets/sheet3.xml" ContentType="application/vnd.openxmlformats-officedocument.spreadsheetml.chart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drawings/drawing8.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9.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omments1.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tables/table2.xml" ContentType="application/vnd.openxmlformats-officedocument.spreadsheetml.table+xml"/>
  <Override PartName="/xl/drawings/drawing11.xml" ContentType="application/vnd.openxmlformats-officedocument.drawing+xml"/>
  <Override PartName="/xl/tables/table3.xml" ContentType="application/vnd.openxmlformats-officedocument.spreadsheetml.table+xml"/>
  <Override PartName="/xl/drawings/drawing12.xml" ContentType="application/vnd.openxmlformats-officedocument.drawing+xml"/>
  <Override PartName="/xl/tables/table4.xml" ContentType="application/vnd.openxmlformats-officedocument.spreadsheetml.table+xml"/>
  <Override PartName="/xl/drawings/drawing13.xml" ContentType="application/vnd.openxmlformats-officedocument.drawing+xml"/>
  <Override PartName="/xl/tables/table5.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queryTables/queryTable4.xml" ContentType="application/vnd.openxmlformats-officedocument.spreadsheetml.queryTable+xml"/>
  <Override PartName="/xl/tables/table10.xml" ContentType="application/vnd.openxmlformats-officedocument.spreadsheetml.table+xml"/>
  <Override PartName="/xl/queryTables/queryTable5.xml" ContentType="application/vnd.openxmlformats-officedocument.spreadsheetml.queryTable+xml"/>
  <Override PartName="/xl/tables/table11.xml" ContentType="application/vnd.openxmlformats-officedocument.spreadsheetml.table+xml"/>
  <Override PartName="/xl/queryTables/queryTable6.xml" ContentType="application/vnd.openxmlformats-officedocument.spreadsheetml.queryTable+xml"/>
  <Override PartName="/xl/drawings/drawing23.xml" ContentType="application/vnd.openxmlformats-officedocument.drawing+xml"/>
  <Override PartName="/xl/drawings/drawing2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9.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tables/table12.xml" ContentType="application/vnd.openxmlformats-officedocument.spreadsheetml.table+xml"/>
  <Override PartName="/xl/drawings/drawing30.xml" ContentType="application/vnd.openxmlformats-officedocument.drawing+xml"/>
  <Override PartName="/xl/tables/table13.xml" ContentType="application/vnd.openxmlformats-officedocument.spreadsheetml.table+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always" codeName="ThisWorkbook" hidePivotFieldList="1" defaultThemeVersion="166925"/>
  <mc:AlternateContent xmlns:mc="http://schemas.openxmlformats.org/markup-compatibility/2006">
    <mc:Choice Requires="x15">
      <x15ac:absPath xmlns:x15ac="http://schemas.microsoft.com/office/spreadsheetml/2010/11/ac" url="C:\Users\YUKAI\Desktop\Qualitas\"/>
    </mc:Choice>
  </mc:AlternateContent>
  <xr:revisionPtr revIDLastSave="0" documentId="13_ncr:1_{E10439F1-0313-4AF2-B713-750C7211FEE3}" xr6:coauthVersionLast="47" xr6:coauthVersionMax="47" xr10:uidLastSave="{00000000-0000-0000-0000-000000000000}"/>
  <bookViews>
    <workbookView xWindow="28680" yWindow="-120" windowWidth="29040" windowHeight="15720" tabRatio="858" firstSheet="56" activeTab="6" xr2:uid="{4B22C930-CA46-43F7-B8F6-8AB94770018F}"/>
  </bookViews>
  <sheets>
    <sheet name="Template" sheetId="61" state="hidden" r:id="rId1"/>
    <sheet name="Summary" sheetId="151" r:id="rId2"/>
    <sheet name="Config" sheetId="103" r:id="rId3"/>
    <sheet name="To-Do" sheetId="62" r:id="rId4"/>
    <sheet name="CN" sheetId="73" state="hidden" r:id="rId5"/>
    <sheet name="Dashboard" sheetId="37" r:id="rId6"/>
    <sheet name="Input-&gt;" sheetId="74" r:id="rId7"/>
    <sheet name="KCT_Pivot" sheetId="152" state="hidden" r:id="rId8"/>
    <sheet name="KCT" sheetId="149" state="hidden" r:id="rId9"/>
    <sheet name="OSD" sheetId="138" state="hidden" r:id="rId10"/>
    <sheet name="Obs" sheetId="109" state="hidden" r:id="rId11"/>
    <sheet name="NCR" sheetId="63" state="hidden" r:id="rId12"/>
    <sheet name="FAT" sheetId="90" state="hidden" r:id="rId13"/>
    <sheet name="Program" sheetId="145" state="hidden" r:id="rId14"/>
    <sheet name="Data_PQP" sheetId="25" state="hidden" r:id="rId15"/>
    <sheet name="KCT S Curve" sheetId="58" state="hidden" r:id="rId16"/>
    <sheet name="Test Status Bar Chart" sheetId="42" state="hidden" r:id="rId17"/>
    <sheet name="Key_Quality_Docs" sheetId="3" state="hidden" r:id="rId18"/>
    <sheet name="Data_NCR" sheetId="29" state="hidden" r:id="rId19"/>
    <sheet name="Data_Obs" sheetId="110" state="hidden" r:id="rId20"/>
    <sheet name="Data_ITP" sheetId="55" state="hidden" r:id="rId21"/>
    <sheet name="Data_KPI" sheetId="127" state="hidden" r:id="rId22"/>
    <sheet name="Data(notuse)_NOI" sheetId="38" state="hidden" r:id="rId23"/>
    <sheet name="Abbr" sheetId="64" state="hidden" r:id="rId24"/>
    <sheet name="Data-&gt;" sheetId="97" r:id="rId25"/>
    <sheet name="NOI" sheetId="102" state="hidden" r:id="rId26"/>
    <sheet name="ITP-&gt;" sheetId="96" r:id="rId27"/>
    <sheet name="ITP_Hellenic Cable" sheetId="4" state="hidden" r:id="rId28"/>
    <sheet name="ITP_Seaway7" sheetId="12" state="hidden" r:id="rId29"/>
    <sheet name="ITP_BMS" sheetId="2" state="hidden" r:id="rId30"/>
    <sheet name="ITP_CDWE" sheetId="27" state="hidden" r:id="rId31"/>
    <sheet name="ITP_LS Cable" sheetId="6" state="hidden" r:id="rId32"/>
    <sheet name="Subcon report" sheetId="91" state="hidden" r:id="rId33"/>
    <sheet name="ITP_JDN" sheetId="59" state="hidden" r:id="rId34"/>
    <sheet name="PQuery-&gt;" sheetId="116" r:id="rId35"/>
    <sheet name="Query_Overall" sheetId="136" state="hidden" r:id="rId36"/>
    <sheet name="Query_PQP" sheetId="132" state="hidden" r:id="rId37"/>
    <sheet name="Query_ITP" sheetId="120" state="hidden" r:id="rId38"/>
    <sheet name="Query_Obs" sheetId="135" state="hidden" r:id="rId39"/>
    <sheet name="Query_NCR" sheetId="118" state="hidden" r:id="rId40"/>
    <sheet name="Query_KPI" sheetId="133" state="hidden" r:id="rId41"/>
    <sheet name="Audit-&gt;" sheetId="94" r:id="rId42"/>
    <sheet name="Audit Schedule" sheetId="98" state="hidden" r:id="rId43"/>
    <sheet name="Action_Tracker" sheetId="99" state="hidden" r:id="rId44"/>
    <sheet name="Vessel Maintenance" sheetId="100" state="hidden" r:id="rId45"/>
    <sheet name="As-Built-&gt;" sheetId="85" r:id="rId46"/>
    <sheet name="Tools-&gt;" sheetId="104" r:id="rId47"/>
    <sheet name="Query_Basedata" sheetId="137" state="hidden" r:id="rId48"/>
    <sheet name="Contractor_Master" sheetId="143" state="hidden" r:id="rId49"/>
    <sheet name="Info-&gt;" sheetId="114" r:id="rId50"/>
    <sheet name="Q_Contacts" sheetId="8" state="hidden" r:id="rId51"/>
    <sheet name="Rock Sampling" sheetId="89" state="hidden" r:id="rId52"/>
    <sheet name="Quality Risk" sheetId="81" r:id="rId53"/>
    <sheet name="Loose Rock" sheetId="83" state="hidden" r:id="rId54"/>
    <sheet name="Info_Term" sheetId="71" state="hidden" r:id="rId55"/>
    <sheet name="Filter" sheetId="70" state="hidden" r:id="rId56"/>
    <sheet name="Checklist-&gt;" sheetId="107" r:id="rId57"/>
    <sheet name="CHK_ITP" sheetId="82" state="hidden" r:id="rId58"/>
    <sheet name="CHK_Site_Plan" sheetId="72" state="hidden" r:id="rId59"/>
    <sheet name="ROKUSUMI" sheetId="80" r:id="rId60"/>
    <sheet name="ITP-Rebar" sheetId="156" r:id="rId61"/>
    <sheet name="ITP_Excavation" sheetId="158" r:id="rId62"/>
    <sheet name="ITP_Formwork" sheetId="159" r:id="rId63"/>
    <sheet name="ITP-Piling" sheetId="153" r:id="rId64"/>
    <sheet name="ITP_Survey" sheetId="157" state="hidden" r:id="rId65"/>
    <sheet name="Problem Definition" sheetId="154" r:id="rId66"/>
    <sheet name="SpareParts" sheetId="150" r:id="rId67"/>
    <sheet name="ITPTNI_JPG_SUP_IQIP" sheetId="36" state="hidden" r:id="rId68"/>
    <sheet name="ITPFOU_Pin_Pile_LOC_CSBC" sheetId="32" state="hidden" r:id="rId69"/>
    <sheet name="ITPOSS_SMPTSC" sheetId="31" state="hidden" r:id="rId70"/>
    <sheet name="ITPFOU_JKT_LOC_CWP" sheetId="33" state="hidden" r:id="rId71"/>
    <sheet name="ITPFOU_JKT_INT_SKOP" sheetId="35" state="hidden" r:id="rId72"/>
    <sheet name="ITPSGRE" sheetId="30" state="hidden" r:id="rId73"/>
    <sheet name="ITPFOU_Pin_Pile_INT_EEW" sheetId="34" state="hidden" r:id="rId74"/>
    <sheet name="audit item" sheetId="67" state="hidden" r:id="rId75"/>
    <sheet name="GIS Checklist" sheetId="68" state="hidden" r:id="rId76"/>
    <sheet name="GIS Questionaire" sheetId="69" state="hidden" r:id="rId77"/>
    <sheet name="Walkdown Inspection" sheetId="57" state="hidden" r:id="rId78"/>
    <sheet name="Test Status Pie Chart" sheetId="43" state="hidden" r:id="rId79"/>
  </sheets>
  <definedNames>
    <definedName name="__123Graph_A" hidden="1">#REF!</definedName>
    <definedName name="__123Graph_B" hidden="1">#REF!</definedName>
    <definedName name="__123Graph_C" hidden="1">#REF!</definedName>
    <definedName name="__123Graph_X" hidden="1">#REF!</definedName>
    <definedName name="_123Graph_C"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Fill" hidden="1">#REF!</definedName>
    <definedName name="_Filll" hidden="1">#REF!</definedName>
    <definedName name="_xlnm._FilterDatabase" localSheetId="23" hidden="1">Abbr!$A$1:$F$24</definedName>
    <definedName name="_xlnm._FilterDatabase" localSheetId="43" hidden="1">Action_Tracker!$A$3:$L$103</definedName>
    <definedName name="_xlnm._FilterDatabase" localSheetId="42" hidden="1">'Audit Schedule'!$A$2:$BZ$33</definedName>
    <definedName name="_xlnm._FilterDatabase" localSheetId="57" hidden="1">CHK_ITP!$A$1:$C$18</definedName>
    <definedName name="_xlnm._FilterDatabase" localSheetId="20" hidden="1">Data_ITP!$A$1:$G$1</definedName>
    <definedName name="_xlnm._FilterDatabase" localSheetId="29" hidden="1">ITP_BMS!$A$1:$K$18</definedName>
    <definedName name="_xlnm._FilterDatabase" localSheetId="30" hidden="1">ITP_CDWE!$A$1:$K$39</definedName>
    <definedName name="_xlnm._FilterDatabase" localSheetId="27" hidden="1">'ITP_Hellenic Cable'!$A$1:$F$1</definedName>
    <definedName name="_xlnm._FilterDatabase" localSheetId="31" hidden="1">'ITP_LS Cable'!$A$1:$F$1</definedName>
    <definedName name="_xlnm._FilterDatabase" localSheetId="28" hidden="1">ITP_Seaway7!$A$1:$F$1</definedName>
    <definedName name="_xlnm._FilterDatabase" localSheetId="72" hidden="1">ITPSGRE!$A$2:$F$2</definedName>
    <definedName name="_xlnm._FilterDatabase" localSheetId="8" hidden="1">KCT!$A$2:$M$177</definedName>
    <definedName name="_xlnm._FilterDatabase" localSheetId="17" hidden="1">Key_Quality_Docs!$B$1:$K$240</definedName>
    <definedName name="_xlnm._FilterDatabase" localSheetId="11" hidden="1">NCR!$A$1:$AG$270</definedName>
    <definedName name="_xlnm._FilterDatabase" localSheetId="10" hidden="1">Obs!$A$2:$IY$3</definedName>
    <definedName name="_xlnm._FilterDatabase" localSheetId="9">OSD!$A$1:$J$1</definedName>
    <definedName name="_xlnm._FilterDatabase" localSheetId="13" hidden="1">Program!$B$1:$V$58</definedName>
    <definedName name="_xlnm._FilterDatabase" localSheetId="50" hidden="1">Q_Contacts!$A$1:$H$16</definedName>
    <definedName name="_xlnm._FilterDatabase" localSheetId="51" hidden="1">'Rock Sampling'!$A$2:$L$12</definedName>
    <definedName name="_xlnm._FilterDatabase" localSheetId="1" hidden="1">Summary!$K$1:$O$1</definedName>
    <definedName name="_xlnm._FilterDatabase" localSheetId="0" hidden="1">Template!$A$3:$N$293</definedName>
    <definedName name="_xlnm._FilterDatabase" localSheetId="3" hidden="1">'To-Do'!$A$2:$M$274</definedName>
    <definedName name="_xlnm._FilterDatabase" localSheetId="44" hidden="1">'Vessel Maintenance'!$A$1:$N$1</definedName>
    <definedName name="_xlnm._FilterDatabase" localSheetId="77" hidden="1">'Walkdown Inspection'!$A$2:$G$2</definedName>
    <definedName name="_Key1" hidden="1">#REF!</definedName>
    <definedName name="_Key2" hidden="1">#REF!</definedName>
    <definedName name="_Order1" hidden="1">255</definedName>
    <definedName name="_Order2" hidden="1">255</definedName>
    <definedName name="_Sort" hidden="1">#REF!</definedName>
    <definedName name="_xleta.IF" hidden="1" xlm="1">#NAME?</definedName>
    <definedName name="_xleta.MONTH" hidden="1" xlm="1">#NAME?</definedName>
    <definedName name="_xleta.NA" hidden="1" xlm="1">#NAME?</definedName>
    <definedName name="_xleta.TODAY" hidden="1" xlm="1">#NAME?</definedName>
    <definedName name="_xlpm.barLen" hidden="1" xlm="1">#NAME?</definedName>
    <definedName name="_xlpm.barSlots" hidden="1" xlm="1">#NAME?</definedName>
    <definedName name="_xlpm.countA" hidden="1" xlm="1">#NAME?</definedName>
    <definedName name="_xlpm.countB" hidden="1" xlm="1">#NAME?</definedName>
    <definedName name="_xlpm.done" hidden="1" xlm="1">#NAME?</definedName>
    <definedName name="_xlpm.emptyCnt" hidden="1" xlm="1">#NAME?</definedName>
    <definedName name="_xlpm.fillCnt" hidden="1" xlm="1">#NAME?</definedName>
    <definedName name="_xlpm.filled" hidden="1" xlm="1">#NAME?</definedName>
    <definedName name="_xlpm.full" hidden="1" xlm="1">#NAME?</definedName>
    <definedName name="_xlpm.fullLength" hidden="1" xlm="1">#NAME?</definedName>
    <definedName name="_xlpm.p" hidden="1" xlm="1">#NAME?</definedName>
    <definedName name="_xlpm.pct" hidden="1" xlm="1">#NAME?</definedName>
    <definedName name="_xlpm.pctTxt" hidden="1" xlm="1">#NAME?</definedName>
    <definedName name="_xlpm.rng" hidden="1" xlm="1">#NAME?</definedName>
    <definedName name="_xlpm.startCell" hidden="1" xlm="1">#NAME?</definedName>
    <definedName name="_xlpm.total" hidden="1" xlm="1">#NAME?</definedName>
    <definedName name="_xlpm.totalCols" hidden="1" xlm="1">#NAME?</definedName>
    <definedName name="_xlpm.totalLen" hidden="1" xlm="1">#NAME?</definedName>
    <definedName name="_xlpm.w" hidden="1" xlm="1">#NAME?</definedName>
    <definedName name="_xlpm.width" hidden="1" xlm="1">#NAME?</definedName>
    <definedName name="ContractorsList">OFFSET(Contractor_Master!$B$1,0,0,COUNTA(Contractor_Master!$B:$B)-1,1)</definedName>
    <definedName name="ExternalData_1" localSheetId="19" hidden="1">Data_Obs!#REF!</definedName>
    <definedName name="ExternalData_1" localSheetId="37" hidden="1">Query_ITP!$A$1:$G$7</definedName>
    <definedName name="ExternalData_1" localSheetId="40" hidden="1">Query_KPI!$A$1:$U$7</definedName>
    <definedName name="ExternalData_1" localSheetId="39" hidden="1">Query_NCR!$A$1:$H$7</definedName>
    <definedName name="ExternalData_1" localSheetId="38" hidden="1">Query_Obs!$A$1:$H$7</definedName>
    <definedName name="ExternalData_1" localSheetId="36" hidden="1">Query_PQP!$A$1:$F$7</definedName>
    <definedName name="ExternalData_2" localSheetId="35" hidden="1">Query_Overall!$A$1:$AK$7</definedName>
    <definedName name="Graph" hidden="1">#REF!</definedName>
    <definedName name="Graph_A" hidden="1">#REF!</definedName>
    <definedName name="Pal_Workbook_GUID" hidden="1">"9G65NT6ARW55GNCHN2VIKZKZ"</definedName>
    <definedName name="_xlnm.Print_Area" localSheetId="42">'Audit Schedule'!$A$1:$BY$30</definedName>
    <definedName name="_xlnm.Print_Area" localSheetId="4">CN!$A$1:$I$138</definedName>
    <definedName name="_xlnm.Print_Area" localSheetId="49">'Info-&gt;'!$A$1:$D$5</definedName>
    <definedName name="_xlnm.Print_Area" localSheetId="28">ITP_Seaway7!$A$1:$K$31</definedName>
    <definedName name="_xlnm.Print_Area" localSheetId="34">'PQuery-&gt;'!$A$1:$D$4</definedName>
    <definedName name="_xlnm.Print_Area" localSheetId="46">'Tools-&gt;'!$A$1:$E$8</definedName>
    <definedName name="_xlnm.Print_Titles" localSheetId="42">'Audit Schedule'!$A:$E,'Audit Schedule'!$1:$2</definedName>
    <definedName name="_xlnm.Print_Titles" localSheetId="4">CN!$49:$49</definedName>
    <definedName name="_xlnm.Print_Titles" localSheetId="63">'ITP-Piling'!$1:$2</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200000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licer_Contractor1">#N/A</definedName>
    <definedName name="Z_441FF031_D541_11D2_9CDE_0000F6B35B53_.wvu.PrintArea" hidden="1">#REF!</definedName>
    <definedName name="Z_441FF031_D541_11D2_9CDE_0000F6B35B53_.wvu.PrintTitles" hidden="1">#REF!,#REF!</definedName>
  </definedNames>
  <calcPr calcId="191029"/>
  <pivotCaches>
    <pivotCache cacheId="0" r:id="rId80"/>
    <pivotCache cacheId="1" r:id="rId81"/>
  </pivotCaches>
  <extLst>
    <ext xmlns:x14="http://schemas.microsoft.com/office/spreadsheetml/2009/9/main" uri="{BBE1A952-AA13-448e-AADC-164F8A28A991}">
      <x14:slicerCaches>
        <x14:slicerCache r:id="rId8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xlnp="http://schemas.microsoft.com/office/spreadsheetml/2019/extlinksprops" uri="{FCE6A71B-6B00-49CD-AB44-F6B1AE7CDE65}">
      <xxlnp:externalLinksPr autoRefresh="1"/>
    </ext>
  </extLst>
</workbook>
</file>

<file path=xl/calcChain.xml><?xml version="1.0" encoding="utf-8"?>
<calcChain xmlns="http://schemas.openxmlformats.org/spreadsheetml/2006/main">
  <c r="A38" i="62" l="1"/>
  <c r="U58" i="145"/>
  <c r="T58" i="145"/>
  <c r="S58" i="145"/>
  <c r="R58" i="145"/>
  <c r="Q58" i="145"/>
  <c r="P58" i="145"/>
  <c r="O58" i="145"/>
  <c r="N58" i="145"/>
  <c r="M58" i="145"/>
  <c r="L58" i="145"/>
  <c r="K58" i="145"/>
  <c r="J58" i="145"/>
  <c r="H57" i="145"/>
  <c r="G57" i="145" s="1"/>
  <c r="A57" i="145"/>
  <c r="U56" i="145"/>
  <c r="T56" i="145"/>
  <c r="S56" i="145"/>
  <c r="R56" i="145"/>
  <c r="Q56" i="145"/>
  <c r="P56" i="145"/>
  <c r="O56" i="145"/>
  <c r="N56" i="145"/>
  <c r="M56" i="145"/>
  <c r="L56" i="145"/>
  <c r="K56" i="145"/>
  <c r="J56" i="145"/>
  <c r="U54" i="145"/>
  <c r="T54" i="145"/>
  <c r="S54" i="145"/>
  <c r="R54" i="145"/>
  <c r="Q54" i="145"/>
  <c r="P54" i="145"/>
  <c r="O54" i="145"/>
  <c r="N54" i="145"/>
  <c r="M54" i="145"/>
  <c r="L54" i="145"/>
  <c r="K54" i="145"/>
  <c r="J54" i="145"/>
  <c r="U52" i="145"/>
  <c r="T52" i="145"/>
  <c r="S52" i="145"/>
  <c r="R52" i="145"/>
  <c r="Q52" i="145"/>
  <c r="P52" i="145"/>
  <c r="O52" i="145"/>
  <c r="N52" i="145"/>
  <c r="M52" i="145"/>
  <c r="L52" i="145"/>
  <c r="K52" i="145"/>
  <c r="J52" i="145"/>
  <c r="U50" i="145"/>
  <c r="T50" i="145"/>
  <c r="S50" i="145"/>
  <c r="R50" i="145"/>
  <c r="Q50" i="145"/>
  <c r="P50" i="145"/>
  <c r="O50" i="145"/>
  <c r="N50" i="145"/>
  <c r="M50" i="145"/>
  <c r="L50" i="145"/>
  <c r="K50" i="145"/>
  <c r="J50" i="145"/>
  <c r="U48" i="145"/>
  <c r="T48" i="145"/>
  <c r="S48" i="145"/>
  <c r="R48" i="145"/>
  <c r="Q48" i="145"/>
  <c r="P48" i="145"/>
  <c r="O48" i="145"/>
  <c r="N48" i="145"/>
  <c r="M48" i="145"/>
  <c r="L48" i="145"/>
  <c r="K48" i="145"/>
  <c r="J48" i="145"/>
  <c r="U46" i="145"/>
  <c r="T46" i="145"/>
  <c r="S46" i="145"/>
  <c r="R46" i="145"/>
  <c r="Q46" i="145"/>
  <c r="P46" i="145"/>
  <c r="O46" i="145"/>
  <c r="N46" i="145"/>
  <c r="M46" i="145"/>
  <c r="L46" i="145"/>
  <c r="K46" i="145"/>
  <c r="J46" i="145"/>
  <c r="U44" i="145"/>
  <c r="T44" i="145"/>
  <c r="S44" i="145"/>
  <c r="R44" i="145"/>
  <c r="Q44" i="145"/>
  <c r="P44" i="145"/>
  <c r="O44" i="145"/>
  <c r="N44" i="145"/>
  <c r="M44" i="145"/>
  <c r="L44" i="145"/>
  <c r="K44" i="145"/>
  <c r="J44" i="145"/>
  <c r="U42" i="145"/>
  <c r="T42" i="145"/>
  <c r="S42" i="145"/>
  <c r="R42" i="145"/>
  <c r="Q42" i="145"/>
  <c r="P42" i="145"/>
  <c r="O42" i="145"/>
  <c r="N42" i="145"/>
  <c r="M42" i="145"/>
  <c r="L42" i="145"/>
  <c r="K42" i="145"/>
  <c r="J42" i="145"/>
  <c r="U40" i="145"/>
  <c r="T40" i="145"/>
  <c r="S40" i="145"/>
  <c r="R40" i="145"/>
  <c r="Q40" i="145"/>
  <c r="P40" i="145"/>
  <c r="O40" i="145"/>
  <c r="N40" i="145"/>
  <c r="M40" i="145"/>
  <c r="L40" i="145"/>
  <c r="K40" i="145"/>
  <c r="J40" i="145"/>
  <c r="U38" i="145"/>
  <c r="T38" i="145"/>
  <c r="S38" i="145"/>
  <c r="R38" i="145"/>
  <c r="Q38" i="145"/>
  <c r="P38" i="145"/>
  <c r="O38" i="145"/>
  <c r="N38" i="145"/>
  <c r="M38" i="145"/>
  <c r="L38" i="145"/>
  <c r="K38" i="145"/>
  <c r="J38" i="145"/>
  <c r="U36" i="145"/>
  <c r="T36" i="145"/>
  <c r="S36" i="145"/>
  <c r="R36" i="145"/>
  <c r="Q36" i="145"/>
  <c r="P36" i="145"/>
  <c r="O36" i="145"/>
  <c r="N36" i="145"/>
  <c r="M36" i="145"/>
  <c r="L36" i="145"/>
  <c r="K36" i="145"/>
  <c r="J36" i="145"/>
  <c r="U34" i="145"/>
  <c r="T34" i="145"/>
  <c r="S34" i="145"/>
  <c r="R34" i="145"/>
  <c r="Q34" i="145"/>
  <c r="P34" i="145"/>
  <c r="O34" i="145"/>
  <c r="N34" i="145"/>
  <c r="M34" i="145"/>
  <c r="L34" i="145"/>
  <c r="K34" i="145"/>
  <c r="J34" i="145"/>
  <c r="U32" i="145"/>
  <c r="T32" i="145"/>
  <c r="S32" i="145"/>
  <c r="R32" i="145"/>
  <c r="Q32" i="145"/>
  <c r="P32" i="145"/>
  <c r="O32" i="145"/>
  <c r="N32" i="145"/>
  <c r="M32" i="145"/>
  <c r="L32" i="145"/>
  <c r="K32" i="145"/>
  <c r="J32" i="145"/>
  <c r="U30" i="145"/>
  <c r="T30" i="145"/>
  <c r="S30" i="145"/>
  <c r="R30" i="145"/>
  <c r="Q30" i="145"/>
  <c r="P30" i="145"/>
  <c r="O30" i="145"/>
  <c r="N30" i="145"/>
  <c r="M30" i="145"/>
  <c r="L30" i="145"/>
  <c r="K30" i="145"/>
  <c r="J30" i="145"/>
  <c r="U28" i="145"/>
  <c r="T28" i="145"/>
  <c r="S28" i="145"/>
  <c r="R28" i="145"/>
  <c r="Q28" i="145"/>
  <c r="P28" i="145"/>
  <c r="O28" i="145"/>
  <c r="N28" i="145"/>
  <c r="M28" i="145"/>
  <c r="L28" i="145"/>
  <c r="K28" i="145"/>
  <c r="J28" i="145"/>
  <c r="U26" i="145"/>
  <c r="T26" i="145"/>
  <c r="S26" i="145"/>
  <c r="R26" i="145"/>
  <c r="Q26" i="145"/>
  <c r="P26" i="145"/>
  <c r="O26" i="145"/>
  <c r="N26" i="145"/>
  <c r="M26" i="145"/>
  <c r="L26" i="145"/>
  <c r="K26" i="145"/>
  <c r="J26" i="145"/>
  <c r="U24" i="145"/>
  <c r="T24" i="145"/>
  <c r="S24" i="145"/>
  <c r="R24" i="145"/>
  <c r="Q24" i="145"/>
  <c r="P24" i="145"/>
  <c r="O24" i="145"/>
  <c r="N24" i="145"/>
  <c r="M24" i="145"/>
  <c r="L24" i="145"/>
  <c r="K24" i="145"/>
  <c r="J24" i="145"/>
  <c r="U22" i="145"/>
  <c r="T22" i="145"/>
  <c r="S22" i="145"/>
  <c r="R22" i="145"/>
  <c r="Q22" i="145"/>
  <c r="P22" i="145"/>
  <c r="O22" i="145"/>
  <c r="N22" i="145"/>
  <c r="M22" i="145"/>
  <c r="L22" i="145"/>
  <c r="K22" i="145"/>
  <c r="J22" i="145"/>
  <c r="U20" i="145"/>
  <c r="T20" i="145"/>
  <c r="S20" i="145"/>
  <c r="R20" i="145"/>
  <c r="Q20" i="145"/>
  <c r="P20" i="145"/>
  <c r="O20" i="145"/>
  <c r="N20" i="145"/>
  <c r="M20" i="145"/>
  <c r="L20" i="145"/>
  <c r="K20" i="145"/>
  <c r="J20" i="145"/>
  <c r="U18" i="145"/>
  <c r="T18" i="145"/>
  <c r="S18" i="145"/>
  <c r="R18" i="145"/>
  <c r="Q18" i="145"/>
  <c r="P18" i="145"/>
  <c r="O18" i="145"/>
  <c r="N18" i="145"/>
  <c r="M18" i="145"/>
  <c r="L18" i="145"/>
  <c r="K18" i="145"/>
  <c r="J18" i="145"/>
  <c r="U16" i="145"/>
  <c r="T16" i="145"/>
  <c r="S16" i="145"/>
  <c r="R16" i="145"/>
  <c r="Q16" i="145"/>
  <c r="P16" i="145"/>
  <c r="O16" i="145"/>
  <c r="N16" i="145"/>
  <c r="M16" i="145"/>
  <c r="L16" i="145"/>
  <c r="K16" i="145"/>
  <c r="J16" i="145"/>
  <c r="U14" i="145"/>
  <c r="T14" i="145"/>
  <c r="S14" i="145"/>
  <c r="R14" i="145"/>
  <c r="Q14" i="145"/>
  <c r="P14" i="145"/>
  <c r="O14" i="145"/>
  <c r="N14" i="145"/>
  <c r="M14" i="145"/>
  <c r="L14" i="145"/>
  <c r="K14" i="145"/>
  <c r="J14" i="145"/>
  <c r="U12" i="145"/>
  <c r="T12" i="145"/>
  <c r="S12" i="145"/>
  <c r="R12" i="145"/>
  <c r="Q12" i="145"/>
  <c r="P12" i="145"/>
  <c r="O12" i="145"/>
  <c r="N12" i="145"/>
  <c r="M12" i="145"/>
  <c r="L12" i="145"/>
  <c r="K12" i="145"/>
  <c r="J12" i="145"/>
  <c r="U10" i="145"/>
  <c r="T10" i="145"/>
  <c r="S10" i="145"/>
  <c r="R10" i="145"/>
  <c r="Q10" i="145"/>
  <c r="P10" i="145"/>
  <c r="O10" i="145"/>
  <c r="N10" i="145"/>
  <c r="M10" i="145"/>
  <c r="L10" i="145"/>
  <c r="K10" i="145"/>
  <c r="J10" i="145"/>
  <c r="U8" i="145"/>
  <c r="T8" i="145"/>
  <c r="S8" i="145"/>
  <c r="R8" i="145"/>
  <c r="Q8" i="145"/>
  <c r="P8" i="145"/>
  <c r="O8" i="145"/>
  <c r="N8" i="145"/>
  <c r="M8" i="145"/>
  <c r="L8" i="145"/>
  <c r="K8" i="145"/>
  <c r="J8" i="145"/>
  <c r="U6" i="145"/>
  <c r="T6" i="145"/>
  <c r="S6" i="145"/>
  <c r="R6" i="145"/>
  <c r="Q6" i="145"/>
  <c r="P6" i="145"/>
  <c r="O6" i="145"/>
  <c r="N6" i="145"/>
  <c r="M6" i="145"/>
  <c r="L6" i="145"/>
  <c r="K6" i="145"/>
  <c r="J6" i="145"/>
  <c r="J4" i="145"/>
  <c r="K4" i="145"/>
  <c r="L4" i="145"/>
  <c r="M4" i="145"/>
  <c r="N4" i="145"/>
  <c r="O4" i="145"/>
  <c r="P4" i="145"/>
  <c r="Q4" i="145"/>
  <c r="B101" i="63"/>
  <c r="A102" i="63"/>
  <c r="S4" i="145"/>
  <c r="T4" i="145"/>
  <c r="U4" i="145"/>
  <c r="R4" i="145"/>
  <c r="H55" i="145"/>
  <c r="G55" i="145" s="1"/>
  <c r="V54" i="145"/>
  <c r="H53" i="145"/>
  <c r="G53" i="145" s="1"/>
  <c r="A53" i="145"/>
  <c r="A55" i="145"/>
  <c r="H15" i="145"/>
  <c r="G15" i="145" s="1"/>
  <c r="H17" i="145"/>
  <c r="G17" i="145" s="1"/>
  <c r="H19" i="145"/>
  <c r="G19" i="145" s="1"/>
  <c r="H21" i="145"/>
  <c r="G21" i="145" s="1"/>
  <c r="H23" i="145"/>
  <c r="G23" i="145" s="1"/>
  <c r="H25" i="145"/>
  <c r="G25" i="145" s="1"/>
  <c r="H27" i="145"/>
  <c r="G27" i="145" s="1"/>
  <c r="H29" i="145"/>
  <c r="G29" i="145" s="1"/>
  <c r="H31" i="145"/>
  <c r="G31" i="145" s="1"/>
  <c r="H33" i="145"/>
  <c r="G33" i="145" s="1"/>
  <c r="H35" i="145"/>
  <c r="G35" i="145" s="1"/>
  <c r="H37" i="145"/>
  <c r="G37" i="145" s="1"/>
  <c r="H39" i="145"/>
  <c r="G39" i="145" s="1"/>
  <c r="H41" i="145"/>
  <c r="G41" i="145" s="1"/>
  <c r="H43" i="145"/>
  <c r="G43" i="145" s="1"/>
  <c r="H45" i="145"/>
  <c r="G45" i="145" s="1"/>
  <c r="H47" i="145"/>
  <c r="G47" i="145" s="1"/>
  <c r="H49" i="145"/>
  <c r="G49" i="145" s="1"/>
  <c r="H51" i="145"/>
  <c r="G51" i="145" s="1"/>
  <c r="A9" i="145"/>
  <c r="A11" i="145"/>
  <c r="A13" i="145"/>
  <c r="A15" i="145"/>
  <c r="A17" i="145"/>
  <c r="A19" i="145"/>
  <c r="A21" i="145"/>
  <c r="A23" i="145"/>
  <c r="A25" i="145"/>
  <c r="A27" i="145"/>
  <c r="A29" i="145"/>
  <c r="A31" i="145"/>
  <c r="A33" i="145"/>
  <c r="A35" i="145"/>
  <c r="A37" i="145"/>
  <c r="A39" i="145"/>
  <c r="A41" i="145"/>
  <c r="A43" i="145"/>
  <c r="A45" i="145"/>
  <c r="A47" i="145"/>
  <c r="A49" i="145"/>
  <c r="A51" i="145"/>
  <c r="A5" i="145"/>
  <c r="A7" i="145"/>
  <c r="A3" i="145"/>
  <c r="H5" i="145"/>
  <c r="I6" i="145" s="1"/>
  <c r="H7" i="145"/>
  <c r="G7" i="145" s="1"/>
  <c r="H9" i="145"/>
  <c r="I10" i="145" s="1"/>
  <c r="H11" i="145"/>
  <c r="I12" i="145" s="1"/>
  <c r="H13" i="145"/>
  <c r="I14" i="145" s="1"/>
  <c r="AI50" i="63"/>
  <c r="F32" i="152"/>
  <c r="G32" i="152" s="1"/>
  <c r="H32" i="152"/>
  <c r="I32" i="152"/>
  <c r="J32" i="152"/>
  <c r="A4" i="149"/>
  <c r="A5" i="149"/>
  <c r="A6" i="149"/>
  <c r="A7" i="149"/>
  <c r="A8" i="149"/>
  <c r="A9" i="149"/>
  <c r="A10" i="149"/>
  <c r="A11" i="149"/>
  <c r="A12" i="149"/>
  <c r="A13" i="149"/>
  <c r="A14" i="149"/>
  <c r="A15" i="149"/>
  <c r="A16" i="149"/>
  <c r="A17" i="149"/>
  <c r="A18" i="149"/>
  <c r="A19" i="149"/>
  <c r="A20" i="149"/>
  <c r="A21" i="149"/>
  <c r="A22" i="149"/>
  <c r="A23" i="149"/>
  <c r="A24" i="149"/>
  <c r="A25" i="149"/>
  <c r="A26" i="149"/>
  <c r="A27" i="149"/>
  <c r="A28" i="149"/>
  <c r="A29" i="149"/>
  <c r="A30" i="149"/>
  <c r="A31" i="149"/>
  <c r="A32" i="149"/>
  <c r="A33" i="149"/>
  <c r="A34" i="149"/>
  <c r="A35" i="149"/>
  <c r="A36" i="149"/>
  <c r="A37" i="149"/>
  <c r="A38" i="149"/>
  <c r="A39" i="149"/>
  <c r="A40" i="149"/>
  <c r="A41" i="149"/>
  <c r="A42" i="149"/>
  <c r="A43" i="149"/>
  <c r="A44" i="149"/>
  <c r="A45" i="149"/>
  <c r="A46" i="149"/>
  <c r="A47" i="149"/>
  <c r="A48" i="149"/>
  <c r="A49" i="149"/>
  <c r="A50" i="149"/>
  <c r="A51" i="149"/>
  <c r="A52" i="149"/>
  <c r="A53" i="149"/>
  <c r="A54" i="149"/>
  <c r="A55" i="149"/>
  <c r="A56" i="149"/>
  <c r="A57" i="149"/>
  <c r="A58" i="149"/>
  <c r="A59" i="149"/>
  <c r="A60" i="149"/>
  <c r="A61" i="149"/>
  <c r="A62" i="149"/>
  <c r="A63" i="149"/>
  <c r="A64" i="149"/>
  <c r="A65" i="149"/>
  <c r="A66" i="149"/>
  <c r="A67" i="149"/>
  <c r="A68" i="149"/>
  <c r="A69" i="149"/>
  <c r="A70" i="149"/>
  <c r="A71" i="149"/>
  <c r="A72" i="149"/>
  <c r="A73" i="149"/>
  <c r="A74" i="149"/>
  <c r="A75" i="149"/>
  <c r="A76" i="149"/>
  <c r="A77" i="149"/>
  <c r="A78" i="149"/>
  <c r="A79" i="149"/>
  <c r="A80" i="149"/>
  <c r="A81" i="149"/>
  <c r="A82" i="149"/>
  <c r="A83" i="149"/>
  <c r="A84" i="149"/>
  <c r="A85" i="149"/>
  <c r="A86" i="149"/>
  <c r="A87" i="149"/>
  <c r="A88" i="149"/>
  <c r="A89" i="149"/>
  <c r="A90" i="149"/>
  <c r="A91" i="149"/>
  <c r="A92" i="149"/>
  <c r="A93" i="149"/>
  <c r="A94" i="149"/>
  <c r="A95" i="149"/>
  <c r="A96" i="149"/>
  <c r="A97" i="149"/>
  <c r="A98" i="149"/>
  <c r="A99" i="149"/>
  <c r="A100" i="149"/>
  <c r="A101" i="149"/>
  <c r="A102" i="149"/>
  <c r="A103" i="149"/>
  <c r="A104" i="149"/>
  <c r="A105" i="149"/>
  <c r="A106" i="149"/>
  <c r="A107" i="149"/>
  <c r="A108" i="149"/>
  <c r="A109" i="149"/>
  <c r="A110" i="149"/>
  <c r="A111" i="149"/>
  <c r="A112" i="149"/>
  <c r="A113" i="149"/>
  <c r="A114" i="149"/>
  <c r="A115" i="149"/>
  <c r="A116" i="149"/>
  <c r="A117" i="149"/>
  <c r="A118" i="149"/>
  <c r="A119" i="149"/>
  <c r="A120" i="149"/>
  <c r="A121" i="149"/>
  <c r="A122" i="149"/>
  <c r="A123" i="149"/>
  <c r="A124" i="149"/>
  <c r="A125" i="149"/>
  <c r="A126" i="149"/>
  <c r="A127" i="149"/>
  <c r="A128" i="149"/>
  <c r="A129" i="149"/>
  <c r="A130" i="149"/>
  <c r="A131" i="149"/>
  <c r="A132" i="149"/>
  <c r="A133" i="149"/>
  <c r="A134" i="149"/>
  <c r="A135" i="149"/>
  <c r="A136" i="149"/>
  <c r="A137" i="149"/>
  <c r="A138" i="149"/>
  <c r="A139" i="149"/>
  <c r="A140" i="149"/>
  <c r="A141" i="149"/>
  <c r="A142" i="149"/>
  <c r="A143" i="149"/>
  <c r="A144" i="149"/>
  <c r="A145" i="149"/>
  <c r="A146" i="149"/>
  <c r="A147" i="149"/>
  <c r="A148" i="149"/>
  <c r="A149" i="149"/>
  <c r="A150" i="149"/>
  <c r="A151" i="149"/>
  <c r="A152" i="149"/>
  <c r="A153" i="149"/>
  <c r="A154" i="149"/>
  <c r="A155" i="149"/>
  <c r="A156" i="149"/>
  <c r="A157" i="149"/>
  <c r="A158" i="149"/>
  <c r="A159" i="149"/>
  <c r="A160" i="149"/>
  <c r="A161" i="149"/>
  <c r="A162" i="149"/>
  <c r="A163" i="149"/>
  <c r="A164" i="149"/>
  <c r="A165" i="149"/>
  <c r="A166" i="149"/>
  <c r="A167" i="149"/>
  <c r="A175" i="149"/>
  <c r="A176" i="149"/>
  <c r="A177" i="149"/>
  <c r="A168" i="149"/>
  <c r="A169" i="149"/>
  <c r="A170" i="149"/>
  <c r="A171" i="149"/>
  <c r="A172" i="149"/>
  <c r="A173" i="149"/>
  <c r="A174" i="149"/>
  <c r="M33" i="152"/>
  <c r="L4" i="149"/>
  <c r="L5" i="149"/>
  <c r="L167" i="149"/>
  <c r="L166" i="149"/>
  <c r="L165" i="149"/>
  <c r="L160" i="149"/>
  <c r="L159" i="149"/>
  <c r="L158" i="149"/>
  <c r="L164" i="149"/>
  <c r="L163" i="149"/>
  <c r="L162" i="149"/>
  <c r="L161" i="149"/>
  <c r="L157" i="149"/>
  <c r="L156" i="149"/>
  <c r="L135" i="149"/>
  <c r="L134" i="149"/>
  <c r="L137" i="149"/>
  <c r="L136" i="149"/>
  <c r="L133" i="149"/>
  <c r="L132" i="149"/>
  <c r="L131" i="149"/>
  <c r="L130" i="149"/>
  <c r="L129" i="149"/>
  <c r="L128" i="149"/>
  <c r="L127" i="149"/>
  <c r="L6" i="149"/>
  <c r="L7" i="149"/>
  <c r="L8" i="149"/>
  <c r="L9" i="149"/>
  <c r="L10" i="149"/>
  <c r="L12" i="149"/>
  <c r="L13" i="149"/>
  <c r="L14" i="149"/>
  <c r="L15" i="149"/>
  <c r="L16" i="149"/>
  <c r="L17" i="149"/>
  <c r="L18" i="149"/>
  <c r="L19" i="149"/>
  <c r="L20" i="149"/>
  <c r="L21" i="149"/>
  <c r="L22" i="149"/>
  <c r="L23" i="149"/>
  <c r="L24" i="149"/>
  <c r="L25" i="149"/>
  <c r="L26" i="149"/>
  <c r="L27" i="149"/>
  <c r="L28" i="149"/>
  <c r="L29" i="149"/>
  <c r="L30" i="149"/>
  <c r="L31" i="149"/>
  <c r="L32" i="149"/>
  <c r="L33" i="149"/>
  <c r="L34" i="149"/>
  <c r="L35" i="149"/>
  <c r="L36" i="149"/>
  <c r="L37" i="149"/>
  <c r="L38" i="149"/>
  <c r="L39" i="149"/>
  <c r="L40" i="149"/>
  <c r="L41" i="149"/>
  <c r="L42" i="149"/>
  <c r="L43" i="149"/>
  <c r="L44" i="149"/>
  <c r="L45" i="149"/>
  <c r="L46" i="149"/>
  <c r="L47" i="149"/>
  <c r="L48" i="149"/>
  <c r="L49" i="149"/>
  <c r="L50" i="149"/>
  <c r="L51" i="149"/>
  <c r="L52" i="149"/>
  <c r="L53" i="149"/>
  <c r="L54" i="149"/>
  <c r="L55" i="149"/>
  <c r="L56" i="149"/>
  <c r="L57" i="149"/>
  <c r="L58" i="149"/>
  <c r="L59" i="149"/>
  <c r="L60" i="149"/>
  <c r="L61" i="149"/>
  <c r="L62" i="149"/>
  <c r="L63" i="149"/>
  <c r="L64" i="149"/>
  <c r="L65" i="149"/>
  <c r="L66" i="149"/>
  <c r="L67" i="149"/>
  <c r="L68" i="149"/>
  <c r="L69" i="149"/>
  <c r="L70" i="149"/>
  <c r="L71" i="149"/>
  <c r="L72" i="149"/>
  <c r="L73" i="149"/>
  <c r="L74" i="149"/>
  <c r="L75" i="149"/>
  <c r="L76" i="149"/>
  <c r="L77" i="149"/>
  <c r="L78" i="149"/>
  <c r="L79" i="149"/>
  <c r="L80" i="149"/>
  <c r="L81" i="149"/>
  <c r="L82" i="149"/>
  <c r="L83" i="149"/>
  <c r="L84" i="149"/>
  <c r="L85" i="149"/>
  <c r="L86" i="149"/>
  <c r="L87" i="149"/>
  <c r="L88" i="149"/>
  <c r="L89" i="149"/>
  <c r="L90" i="149"/>
  <c r="L91" i="149"/>
  <c r="L92" i="149"/>
  <c r="L93" i="149"/>
  <c r="L94" i="149"/>
  <c r="L95" i="149"/>
  <c r="L96" i="149"/>
  <c r="L97" i="149"/>
  <c r="L98" i="149"/>
  <c r="L99" i="149"/>
  <c r="L100" i="149"/>
  <c r="L101" i="149"/>
  <c r="L102" i="149"/>
  <c r="L103" i="149"/>
  <c r="L104" i="149"/>
  <c r="L105" i="149"/>
  <c r="L106" i="149"/>
  <c r="L107" i="149"/>
  <c r="L108" i="149"/>
  <c r="L109" i="149"/>
  <c r="L110" i="149"/>
  <c r="L111" i="149"/>
  <c r="L112" i="149"/>
  <c r="L113" i="149"/>
  <c r="L114" i="149"/>
  <c r="L115" i="149"/>
  <c r="L116" i="149"/>
  <c r="L117" i="149"/>
  <c r="L118" i="149"/>
  <c r="L119" i="149"/>
  <c r="L120" i="149"/>
  <c r="L121" i="149"/>
  <c r="L122" i="149"/>
  <c r="L123" i="149"/>
  <c r="L124" i="149"/>
  <c r="L125" i="149"/>
  <c r="L126" i="149"/>
  <c r="L138" i="149"/>
  <c r="L139" i="149"/>
  <c r="L140" i="149"/>
  <c r="L141" i="149"/>
  <c r="L142" i="149"/>
  <c r="L143" i="149"/>
  <c r="L144" i="149"/>
  <c r="L145" i="149"/>
  <c r="L146" i="149"/>
  <c r="L147" i="149"/>
  <c r="L148" i="149"/>
  <c r="L149" i="149"/>
  <c r="L150" i="149"/>
  <c r="L151" i="149"/>
  <c r="L152" i="149"/>
  <c r="L153" i="149"/>
  <c r="L154" i="149"/>
  <c r="L155" i="149"/>
  <c r="L175" i="149"/>
  <c r="L176" i="149"/>
  <c r="L177" i="149"/>
  <c r="L168" i="149"/>
  <c r="L169" i="149"/>
  <c r="L170" i="149"/>
  <c r="L171" i="149"/>
  <c r="L172" i="149"/>
  <c r="L173" i="149"/>
  <c r="L174" i="149"/>
  <c r="F31" i="152"/>
  <c r="G31" i="152" s="1"/>
  <c r="H31" i="152"/>
  <c r="I31" i="152"/>
  <c r="J31" i="152"/>
  <c r="I1" i="149"/>
  <c r="F28" i="152"/>
  <c r="G28" i="152" s="1"/>
  <c r="H28" i="152"/>
  <c r="I28" i="152"/>
  <c r="J28" i="152"/>
  <c r="F29" i="152"/>
  <c r="G29" i="152" s="1"/>
  <c r="H29" i="152"/>
  <c r="I29" i="152"/>
  <c r="J29" i="152"/>
  <c r="F30" i="152"/>
  <c r="G30" i="152" s="1"/>
  <c r="H30" i="152"/>
  <c r="I30" i="152"/>
  <c r="J30" i="152"/>
  <c r="I58" i="145" l="1"/>
  <c r="I42" i="145"/>
  <c r="I32" i="145"/>
  <c r="I30" i="145"/>
  <c r="I56" i="145"/>
  <c r="I8" i="145"/>
  <c r="I40" i="145"/>
  <c r="I18" i="145"/>
  <c r="I48" i="145"/>
  <c r="I28" i="145"/>
  <c r="I54" i="145"/>
  <c r="I38" i="145"/>
  <c r="I16" i="145"/>
  <c r="I46" i="145"/>
  <c r="I26" i="145"/>
  <c r="I52" i="145"/>
  <c r="I20" i="145"/>
  <c r="I36" i="145"/>
  <c r="I24" i="145"/>
  <c r="I34" i="145"/>
  <c r="I44" i="145"/>
  <c r="I50" i="145"/>
  <c r="I22" i="145"/>
  <c r="G5" i="145"/>
  <c r="H3" i="145"/>
  <c r="O34" i="152"/>
  <c r="N34" i="152"/>
  <c r="M34" i="152"/>
  <c r="O31" i="152"/>
  <c r="N30" i="152"/>
  <c r="M30" i="152"/>
  <c r="O29" i="152"/>
  <c r="N29" i="152"/>
  <c r="N33" i="152"/>
  <c r="M28" i="152"/>
  <c r="M29" i="152"/>
  <c r="O28" i="152"/>
  <c r="O33" i="152"/>
  <c r="N28" i="152"/>
  <c r="N32" i="152"/>
  <c r="M32" i="152"/>
  <c r="N31" i="152"/>
  <c r="M31" i="152"/>
  <c r="O32" i="152"/>
  <c r="O30" i="152"/>
  <c r="B100" i="63"/>
  <c r="A2" i="90"/>
  <c r="J5" i="152"/>
  <c r="J6" i="152"/>
  <c r="J7" i="152"/>
  <c r="J8" i="152"/>
  <c r="J9" i="152"/>
  <c r="J10" i="152"/>
  <c r="J11" i="152"/>
  <c r="J12" i="152"/>
  <c r="J13" i="152"/>
  <c r="J14" i="152"/>
  <c r="J15" i="152"/>
  <c r="J16" i="152"/>
  <c r="J17" i="152"/>
  <c r="J18" i="152"/>
  <c r="J19" i="152"/>
  <c r="J20" i="152"/>
  <c r="J21" i="152"/>
  <c r="J22" i="152"/>
  <c r="J23" i="152"/>
  <c r="J24" i="152"/>
  <c r="J25" i="152"/>
  <c r="J26" i="152"/>
  <c r="J27" i="152"/>
  <c r="J4" i="152"/>
  <c r="H11" i="152"/>
  <c r="H12" i="152"/>
  <c r="H13" i="152"/>
  <c r="H14" i="152"/>
  <c r="H15" i="152"/>
  <c r="H16" i="152"/>
  <c r="H17" i="152"/>
  <c r="H18" i="152"/>
  <c r="H19" i="152"/>
  <c r="H20" i="152"/>
  <c r="H21" i="152"/>
  <c r="H22" i="152"/>
  <c r="H23" i="152"/>
  <c r="H24" i="152"/>
  <c r="H25" i="152"/>
  <c r="H26" i="152"/>
  <c r="H27" i="152"/>
  <c r="H4" i="152"/>
  <c r="H5" i="152"/>
  <c r="H6" i="152"/>
  <c r="H7" i="152"/>
  <c r="H8" i="152"/>
  <c r="H9" i="152"/>
  <c r="I5" i="152"/>
  <c r="I6" i="152"/>
  <c r="I7" i="152"/>
  <c r="I8" i="152"/>
  <c r="I9" i="152"/>
  <c r="I10" i="152"/>
  <c r="I11" i="152"/>
  <c r="I12" i="152"/>
  <c r="I13" i="152"/>
  <c r="I14" i="152"/>
  <c r="I15" i="152"/>
  <c r="I16" i="152"/>
  <c r="I17" i="152"/>
  <c r="I18" i="152"/>
  <c r="I19" i="152"/>
  <c r="I20" i="152"/>
  <c r="I21" i="152"/>
  <c r="I22" i="152"/>
  <c r="I23" i="152"/>
  <c r="I24" i="152"/>
  <c r="I25" i="152"/>
  <c r="I26" i="152"/>
  <c r="I27" i="152"/>
  <c r="I4" i="152"/>
  <c r="H10" i="152"/>
  <c r="F19" i="152"/>
  <c r="F20" i="152"/>
  <c r="F21" i="152"/>
  <c r="F22" i="152"/>
  <c r="F23" i="152"/>
  <c r="F24" i="152"/>
  <c r="F25" i="152"/>
  <c r="F26" i="152"/>
  <c r="F27" i="152"/>
  <c r="F5" i="152"/>
  <c r="F6" i="152"/>
  <c r="F7" i="152"/>
  <c r="F8" i="152"/>
  <c r="F9" i="152"/>
  <c r="F10" i="152"/>
  <c r="F11" i="152"/>
  <c r="F12" i="152"/>
  <c r="F13" i="152"/>
  <c r="F14" i="152"/>
  <c r="F15" i="152"/>
  <c r="F16" i="152"/>
  <c r="F17" i="152"/>
  <c r="F18" i="152"/>
  <c r="F4" i="152"/>
  <c r="A3" i="149"/>
  <c r="L3" i="149"/>
  <c r="B2" i="151"/>
  <c r="B3" i="151"/>
  <c r="B4" i="151"/>
  <c r="B5" i="151"/>
  <c r="B6" i="151"/>
  <c r="B7" i="151"/>
  <c r="B8" i="151"/>
  <c r="B9" i="151"/>
  <c r="B10" i="151"/>
  <c r="B11" i="151"/>
  <c r="B12" i="151"/>
  <c r="B13" i="151"/>
  <c r="B14" i="151"/>
  <c r="B15" i="151"/>
  <c r="G3" i="145" l="1"/>
  <c r="I4" i="145"/>
  <c r="G24" i="152"/>
  <c r="M24" i="152"/>
  <c r="N24" i="152"/>
  <c r="O24" i="152"/>
  <c r="G23" i="152"/>
  <c r="M23" i="152"/>
  <c r="O23" i="152"/>
  <c r="N23" i="152"/>
  <c r="G20" i="152"/>
  <c r="M20" i="152"/>
  <c r="O20" i="152"/>
  <c r="N20" i="152"/>
  <c r="G18" i="152"/>
  <c r="N18" i="152"/>
  <c r="M18" i="152"/>
  <c r="O18" i="152"/>
  <c r="G14" i="152"/>
  <c r="O14" i="152"/>
  <c r="M14" i="152"/>
  <c r="N14" i="152"/>
  <c r="G13" i="152"/>
  <c r="O13" i="152"/>
  <c r="N13" i="152"/>
  <c r="M13" i="152"/>
  <c r="G26" i="152"/>
  <c r="M26" i="152"/>
  <c r="N26" i="152"/>
  <c r="O26" i="152"/>
  <c r="G15" i="152"/>
  <c r="N15" i="152"/>
  <c r="M15" i="152"/>
  <c r="O15" i="152"/>
  <c r="M21" i="152"/>
  <c r="N21" i="152"/>
  <c r="O21" i="152"/>
  <c r="G19" i="152"/>
  <c r="M19" i="152"/>
  <c r="N19" i="152"/>
  <c r="O19" i="152"/>
  <c r="G9" i="152"/>
  <c r="N9" i="152"/>
  <c r="O9" i="152"/>
  <c r="M9" i="152"/>
  <c r="G11" i="152"/>
  <c r="M11" i="152"/>
  <c r="N11" i="152"/>
  <c r="O11" i="152"/>
  <c r="G4" i="152"/>
  <c r="M4" i="152"/>
  <c r="N4" i="152"/>
  <c r="O4" i="152"/>
  <c r="G16" i="152"/>
  <c r="O16" i="152"/>
  <c r="M16" i="152"/>
  <c r="N16" i="152"/>
  <c r="G6" i="152"/>
  <c r="M6" i="152"/>
  <c r="N6" i="152"/>
  <c r="O6" i="152"/>
  <c r="G25" i="152"/>
  <c r="N25" i="152"/>
  <c r="O25" i="152"/>
  <c r="M25" i="152"/>
  <c r="G17" i="152"/>
  <c r="M17" i="152"/>
  <c r="N17" i="152"/>
  <c r="O17" i="152"/>
  <c r="G22" i="152"/>
  <c r="M22" i="152"/>
  <c r="N22" i="152"/>
  <c r="O22" i="152"/>
  <c r="G7" i="152"/>
  <c r="M7" i="152"/>
  <c r="N7" i="152"/>
  <c r="O7" i="152"/>
  <c r="G5" i="152"/>
  <c r="M5" i="152"/>
  <c r="N5" i="152"/>
  <c r="O5" i="152"/>
  <c r="G12" i="152"/>
  <c r="N12" i="152"/>
  <c r="O12" i="152"/>
  <c r="M12" i="152"/>
  <c r="G10" i="152"/>
  <c r="M10" i="152"/>
  <c r="N10" i="152"/>
  <c r="O10" i="152"/>
  <c r="G8" i="152"/>
  <c r="M8" i="152"/>
  <c r="N8" i="152"/>
  <c r="O8" i="152"/>
  <c r="G27" i="152"/>
  <c r="M27" i="152"/>
  <c r="N27" i="152"/>
  <c r="O27" i="152"/>
  <c r="I4" i="150"/>
  <c r="E6" i="150"/>
  <c r="F6" i="150"/>
  <c r="G6" i="150"/>
  <c r="H6" i="150"/>
  <c r="D6" i="150"/>
  <c r="I6" i="150" s="1"/>
  <c r="J6" i="150" l="1"/>
  <c r="J1" i="149"/>
  <c r="K1" i="149"/>
  <c r="A20" i="71"/>
  <c r="A3" i="72"/>
  <c r="A4" i="72"/>
  <c r="A5" i="72"/>
  <c r="A6" i="72"/>
  <c r="A7" i="72"/>
  <c r="A8" i="72"/>
  <c r="A9" i="72"/>
  <c r="A2" i="72"/>
  <c r="A4" i="71"/>
  <c r="G13" i="145" l="1"/>
  <c r="G11" i="145"/>
  <c r="G9" i="145"/>
  <c r="A2" i="71"/>
  <c r="A2" i="138"/>
  <c r="H86" i="63" l="1" a="1"/>
  <c r="H86" i="63" s="1"/>
  <c r="H44" i="63" a="1"/>
  <c r="H44" i="63" s="1"/>
  <c r="H75" i="63" a="1"/>
  <c r="H75" i="63" s="1"/>
  <c r="B75" i="63"/>
  <c r="A46" i="81"/>
  <c r="A47" i="81"/>
  <c r="A5" i="109"/>
  <c r="A6" i="109"/>
  <c r="A7" i="109"/>
  <c r="A8" i="109"/>
  <c r="A9" i="109"/>
  <c r="A10" i="109"/>
  <c r="A11" i="109"/>
  <c r="A12" i="109"/>
  <c r="A13" i="109"/>
  <c r="A14" i="109"/>
  <c r="A15" i="109"/>
  <c r="A16" i="109"/>
  <c r="A17" i="109"/>
  <c r="A18" i="109"/>
  <c r="A19" i="109"/>
  <c r="A20" i="109"/>
  <c r="A21" i="109"/>
  <c r="A22" i="109"/>
  <c r="A4" i="109"/>
  <c r="A3" i="90"/>
  <c r="A4" i="90"/>
  <c r="A5" i="90"/>
  <c r="A6" i="90"/>
  <c r="A7" i="90"/>
  <c r="A8" i="90"/>
  <c r="A9" i="90"/>
  <c r="A10" i="90"/>
  <c r="A11" i="90"/>
  <c r="A12" i="90"/>
  <c r="A13" i="90"/>
  <c r="A14" i="90"/>
  <c r="A15" i="90"/>
  <c r="A16" i="90"/>
  <c r="A17" i="90"/>
  <c r="A18" i="90"/>
  <c r="A19" i="90"/>
  <c r="A20" i="90"/>
  <c r="A21" i="90"/>
  <c r="A22" i="90"/>
  <c r="A23" i="90"/>
  <c r="A24" i="90"/>
  <c r="A25" i="90"/>
  <c r="A26" i="90"/>
  <c r="A27" i="90"/>
  <c r="D3" i="127" l="1"/>
  <c r="D4" i="127"/>
  <c r="D5" i="127"/>
  <c r="D6" i="127"/>
  <c r="D7" i="127"/>
  <c r="D2" i="127"/>
  <c r="B3" i="109"/>
  <c r="V35" i="137"/>
  <c r="N35" i="137"/>
  <c r="F36" i="137"/>
  <c r="N36" i="137"/>
  <c r="V34" i="137"/>
  <c r="AE35" i="137"/>
  <c r="AE34" i="137"/>
  <c r="F35" i="137"/>
  <c r="N34" i="137"/>
  <c r="V36" i="137"/>
  <c r="F34" i="137"/>
  <c r="AE36" i="137"/>
  <c r="O35" i="137" l="1"/>
  <c r="N39" i="137"/>
  <c r="N43" i="137" s="1"/>
  <c r="N37" i="137"/>
  <c r="F38" i="137"/>
  <c r="B97" i="63"/>
  <c r="M43" i="137" l="1"/>
  <c r="B44" i="63"/>
  <c r="J3" i="110"/>
  <c r="AI46" i="109"/>
  <c r="AI45" i="109"/>
  <c r="AI44" i="109"/>
  <c r="AI43" i="109"/>
  <c r="AI42" i="109"/>
  <c r="AI41" i="109"/>
  <c r="AI40" i="109"/>
  <c r="AI39" i="109"/>
  <c r="AI38" i="109"/>
  <c r="AI37" i="109"/>
  <c r="AI36" i="109"/>
  <c r="AI35" i="109"/>
  <c r="AI34" i="109"/>
  <c r="AI33" i="109"/>
  <c r="AI32" i="109"/>
  <c r="AI31" i="109"/>
  <c r="AI30" i="109"/>
  <c r="AI29" i="109"/>
  <c r="AI28" i="109"/>
  <c r="AI27" i="109"/>
  <c r="AI26" i="109"/>
  <c r="AI25" i="109"/>
  <c r="AI24" i="109"/>
  <c r="AI23" i="109"/>
  <c r="AI22" i="109"/>
  <c r="AI21" i="109"/>
  <c r="AI20" i="109"/>
  <c r="AI19" i="109"/>
  <c r="AI18" i="109"/>
  <c r="AI17" i="109"/>
  <c r="AI16" i="109"/>
  <c r="AI15" i="109"/>
  <c r="AI14" i="109"/>
  <c r="AI13" i="109"/>
  <c r="AI12" i="109"/>
  <c r="AI11" i="109"/>
  <c r="AI10" i="109"/>
  <c r="AI9" i="109"/>
  <c r="AI8" i="109"/>
  <c r="AI7" i="109"/>
  <c r="AI6" i="109"/>
  <c r="AI5" i="109"/>
  <c r="AI4" i="109"/>
  <c r="AI3" i="109"/>
  <c r="H3" i="109" a="1"/>
  <c r="H3" i="109" s="1"/>
  <c r="A3" i="109"/>
  <c r="D6" i="55"/>
  <c r="D5" i="55"/>
  <c r="D4" i="55"/>
  <c r="D3" i="55"/>
  <c r="F33" i="98"/>
  <c r="F30" i="98"/>
  <c r="A103" i="99"/>
  <c r="A102" i="99"/>
  <c r="A101" i="99"/>
  <c r="A100" i="99"/>
  <c r="A99" i="99"/>
  <c r="A98" i="99"/>
  <c r="A97" i="99"/>
  <c r="A96" i="99"/>
  <c r="A95" i="99"/>
  <c r="A94" i="99"/>
  <c r="A93" i="99"/>
  <c r="A92" i="99"/>
  <c r="A91" i="99"/>
  <c r="A90" i="99"/>
  <c r="A89" i="99"/>
  <c r="A88" i="99"/>
  <c r="A87" i="99"/>
  <c r="A86" i="99"/>
  <c r="A85" i="99"/>
  <c r="A84" i="99"/>
  <c r="A83" i="99"/>
  <c r="A82" i="99"/>
  <c r="A81" i="99"/>
  <c r="A80" i="99"/>
  <c r="A79" i="99"/>
  <c r="A78" i="99"/>
  <c r="A77" i="99"/>
  <c r="A76" i="99"/>
  <c r="A75" i="99"/>
  <c r="A74" i="99"/>
  <c r="A73" i="99"/>
  <c r="A72" i="99"/>
  <c r="A71" i="99"/>
  <c r="A70" i="99"/>
  <c r="A69" i="99"/>
  <c r="A68" i="99"/>
  <c r="A67" i="99"/>
  <c r="A66" i="99"/>
  <c r="A65" i="99"/>
  <c r="A64" i="99"/>
  <c r="A63" i="99"/>
  <c r="A62" i="99"/>
  <c r="A61" i="99"/>
  <c r="A60" i="99"/>
  <c r="A59" i="99"/>
  <c r="A58" i="99"/>
  <c r="A57" i="99"/>
  <c r="A56" i="99"/>
  <c r="A55" i="99"/>
  <c r="A54" i="99"/>
  <c r="A53" i="99"/>
  <c r="A52" i="99"/>
  <c r="A51" i="99"/>
  <c r="A50" i="99"/>
  <c r="A49" i="99"/>
  <c r="A48" i="99"/>
  <c r="A47" i="99"/>
  <c r="A46" i="99"/>
  <c r="A45" i="99"/>
  <c r="A44" i="99"/>
  <c r="A43" i="99"/>
  <c r="A42" i="99"/>
  <c r="A41" i="99"/>
  <c r="A40" i="99"/>
  <c r="A39" i="99"/>
  <c r="A38" i="99"/>
  <c r="A37" i="99"/>
  <c r="A36" i="99"/>
  <c r="A35" i="99"/>
  <c r="A34" i="99"/>
  <c r="A33" i="99"/>
  <c r="A32" i="99"/>
  <c r="A31" i="99"/>
  <c r="A30" i="99"/>
  <c r="A29" i="99"/>
  <c r="A28" i="99"/>
  <c r="A27" i="99"/>
  <c r="A26" i="99"/>
  <c r="A25" i="99"/>
  <c r="A24" i="99"/>
  <c r="A23" i="99"/>
  <c r="A22" i="99"/>
  <c r="A21" i="99"/>
  <c r="A20" i="99"/>
  <c r="A19" i="99"/>
  <c r="A18" i="99"/>
  <c r="A17" i="99"/>
  <c r="A16" i="99"/>
  <c r="A15" i="99"/>
  <c r="A14" i="99"/>
  <c r="A13" i="99"/>
  <c r="A12" i="99"/>
  <c r="A11" i="99"/>
  <c r="A10" i="99"/>
  <c r="A9" i="99"/>
  <c r="A8" i="99"/>
  <c r="A7" i="99"/>
  <c r="A6" i="99"/>
  <c r="A5" i="99"/>
  <c r="A4" i="99"/>
  <c r="BC32" i="98"/>
  <c r="BA32" i="98"/>
  <c r="AZ32" i="98"/>
  <c r="AY32" i="98"/>
  <c r="AX32" i="98"/>
  <c r="AW32" i="98"/>
  <c r="AV32" i="98"/>
  <c r="AU32" i="98"/>
  <c r="AT32" i="98"/>
  <c r="AS32" i="98"/>
  <c r="AQ32" i="98"/>
  <c r="AP32" i="98"/>
  <c r="AO32" i="98"/>
  <c r="AN32" i="98"/>
  <c r="AM32" i="98"/>
  <c r="AL32" i="98"/>
  <c r="AK32" i="98"/>
  <c r="AI32" i="98"/>
  <c r="AH32" i="98"/>
  <c r="AG32" i="98"/>
  <c r="AB32" i="98"/>
  <c r="AA32" i="98"/>
  <c r="Z32" i="98"/>
  <c r="Y32" i="98"/>
  <c r="X32" i="98"/>
  <c r="W32" i="98"/>
  <c r="V32" i="98"/>
  <c r="T32" i="98"/>
  <c r="N32" i="98"/>
  <c r="M32" i="98"/>
  <c r="L32" i="98"/>
  <c r="G32" i="98"/>
  <c r="G33" i="98" s="1"/>
  <c r="H33" i="98" s="1"/>
  <c r="I33" i="98" s="1"/>
  <c r="J33" i="98" s="1"/>
  <c r="K33" i="98" s="1"/>
  <c r="L33" i="98" s="1"/>
  <c r="BY30" i="98"/>
  <c r="BX30" i="98"/>
  <c r="BW30" i="98"/>
  <c r="BV30" i="98"/>
  <c r="BU30" i="98"/>
  <c r="BT30" i="98"/>
  <c r="BS30" i="98"/>
  <c r="BR30" i="98"/>
  <c r="BQ30" i="98"/>
  <c r="BP30" i="98"/>
  <c r="BO30" i="98"/>
  <c r="BN30" i="98"/>
  <c r="BM30" i="98"/>
  <c r="BL30" i="98"/>
  <c r="BK30" i="98"/>
  <c r="BJ30" i="98"/>
  <c r="BI30" i="98"/>
  <c r="BH30" i="98"/>
  <c r="BG30" i="98"/>
  <c r="BE30" i="98"/>
  <c r="BD30" i="98"/>
  <c r="BB30" i="98"/>
  <c r="AR30" i="98"/>
  <c r="AR32" i="98" s="1"/>
  <c r="AJ30" i="98"/>
  <c r="AJ32" i="98" s="1"/>
  <c r="AF30" i="98"/>
  <c r="AE30" i="98"/>
  <c r="AD30" i="98"/>
  <c r="AD32" i="98" s="1"/>
  <c r="AC30" i="98"/>
  <c r="U30" i="98"/>
  <c r="S30" i="98"/>
  <c r="R30" i="98"/>
  <c r="Q30" i="98"/>
  <c r="P30" i="98"/>
  <c r="O30" i="98"/>
  <c r="K30" i="98"/>
  <c r="J30" i="98"/>
  <c r="I30" i="98"/>
  <c r="H30" i="98"/>
  <c r="D7" i="55" l="1"/>
  <c r="I3" i="110"/>
  <c r="F6" i="110"/>
  <c r="E6" i="110"/>
  <c r="G3" i="110"/>
  <c r="BA5" i="110"/>
  <c r="F5" i="110"/>
  <c r="E5" i="110"/>
  <c r="BF3" i="110"/>
  <c r="F3" i="110"/>
  <c r="E3" i="110"/>
  <c r="T3" i="110"/>
  <c r="BG4" i="110"/>
  <c r="F4" i="110"/>
  <c r="E4" i="110"/>
  <c r="BE7" i="110"/>
  <c r="F7" i="110"/>
  <c r="E7" i="110"/>
  <c r="AG3" i="110"/>
  <c r="AH3" i="110"/>
  <c r="AI3" i="110"/>
  <c r="AX3" i="110"/>
  <c r="AK3" i="110"/>
  <c r="AY3" i="110"/>
  <c r="AZ3" i="110"/>
  <c r="AJ3" i="110"/>
  <c r="BA3" i="110"/>
  <c r="BB3" i="110"/>
  <c r="P3" i="110"/>
  <c r="Q3" i="110"/>
  <c r="R3" i="110"/>
  <c r="S3" i="110"/>
  <c r="V3" i="110"/>
  <c r="AM3" i="110"/>
  <c r="BD3" i="110"/>
  <c r="U3" i="110"/>
  <c r="AL3" i="110"/>
  <c r="BC3" i="110"/>
  <c r="W3" i="110"/>
  <c r="AN3" i="110"/>
  <c r="BE3" i="110"/>
  <c r="X3" i="110"/>
  <c r="AO3" i="110"/>
  <c r="BG3" i="110"/>
  <c r="Y3" i="110"/>
  <c r="AQ3" i="110"/>
  <c r="BH3" i="110"/>
  <c r="AA3" i="110"/>
  <c r="AR3" i="110"/>
  <c r="AB3" i="110"/>
  <c r="AS3" i="110"/>
  <c r="AC3" i="110"/>
  <c r="AT3" i="110"/>
  <c r="M3" i="110"/>
  <c r="AD3" i="110"/>
  <c r="AU3" i="110"/>
  <c r="N3" i="110"/>
  <c r="AE3" i="110"/>
  <c r="AV3" i="110"/>
  <c r="O3" i="110"/>
  <c r="AF3" i="110"/>
  <c r="AW3" i="110"/>
  <c r="AU6" i="110"/>
  <c r="J4" i="110"/>
  <c r="AB4" i="110"/>
  <c r="AR4" i="110"/>
  <c r="BH4" i="110"/>
  <c r="V5" i="110"/>
  <c r="AL5" i="110"/>
  <c r="BB5" i="110"/>
  <c r="P6" i="110"/>
  <c r="AF6" i="110"/>
  <c r="AV6" i="110"/>
  <c r="H7" i="110"/>
  <c r="Z7" i="110"/>
  <c r="AP7" i="110"/>
  <c r="BF7" i="110"/>
  <c r="M4" i="110"/>
  <c r="AC4" i="110"/>
  <c r="AS4" i="110"/>
  <c r="W5" i="110"/>
  <c r="AM5" i="110"/>
  <c r="BC5" i="110"/>
  <c r="Q6" i="110"/>
  <c r="AG6" i="110"/>
  <c r="AW6" i="110"/>
  <c r="I7" i="110"/>
  <c r="AA7" i="110"/>
  <c r="AQ7" i="110"/>
  <c r="BG7" i="110"/>
  <c r="P4" i="110"/>
  <c r="AF4" i="110"/>
  <c r="AV4" i="110"/>
  <c r="H5" i="110"/>
  <c r="Z5" i="110"/>
  <c r="AP5" i="110"/>
  <c r="BF5" i="110"/>
  <c r="T6" i="110"/>
  <c r="AJ6" i="110"/>
  <c r="AZ6" i="110"/>
  <c r="N7" i="110"/>
  <c r="AD7" i="110"/>
  <c r="AT7" i="110"/>
  <c r="Q4" i="110"/>
  <c r="AG4" i="110"/>
  <c r="AW4" i="110"/>
  <c r="I5" i="110"/>
  <c r="AA5" i="110"/>
  <c r="AQ5" i="110"/>
  <c r="BG5" i="110"/>
  <c r="U6" i="110"/>
  <c r="AK6" i="110"/>
  <c r="BA6" i="110"/>
  <c r="O7" i="110"/>
  <c r="AE7" i="110"/>
  <c r="AU7" i="110"/>
  <c r="N4" i="110"/>
  <c r="AD4" i="110"/>
  <c r="AT4" i="110"/>
  <c r="X5" i="110"/>
  <c r="AN5" i="110"/>
  <c r="BD5" i="110"/>
  <c r="R6" i="110"/>
  <c r="AH6" i="110"/>
  <c r="AX6" i="110"/>
  <c r="J7" i="110"/>
  <c r="AB7" i="110"/>
  <c r="AR7" i="110"/>
  <c r="BH7" i="110"/>
  <c r="R4" i="110"/>
  <c r="AH4" i="110"/>
  <c r="AX4" i="110"/>
  <c r="J5" i="110"/>
  <c r="AB5" i="110"/>
  <c r="AR5" i="110"/>
  <c r="BH5" i="110"/>
  <c r="V6" i="110"/>
  <c r="AL6" i="110"/>
  <c r="BB6" i="110"/>
  <c r="P7" i="110"/>
  <c r="AF7" i="110"/>
  <c r="AV7" i="110"/>
  <c r="S4" i="110"/>
  <c r="AI4" i="110"/>
  <c r="AY4" i="110"/>
  <c r="M5" i="110"/>
  <c r="AC5" i="110"/>
  <c r="AS5" i="110"/>
  <c r="W6" i="110"/>
  <c r="AM6" i="110"/>
  <c r="BC6" i="110"/>
  <c r="Q7" i="110"/>
  <c r="AG7" i="110"/>
  <c r="AW7" i="110"/>
  <c r="O4" i="110"/>
  <c r="AE4" i="110"/>
  <c r="AU4" i="110"/>
  <c r="G5" i="110"/>
  <c r="Y5" i="110"/>
  <c r="AO5" i="110"/>
  <c r="BE5" i="110"/>
  <c r="S6" i="110"/>
  <c r="AI6" i="110"/>
  <c r="AY6" i="110"/>
  <c r="M7" i="110"/>
  <c r="AC7" i="110"/>
  <c r="AS7" i="110"/>
  <c r="H3" i="110"/>
  <c r="Z3" i="110"/>
  <c r="AP3" i="110"/>
  <c r="T4" i="110"/>
  <c r="AJ4" i="110"/>
  <c r="AZ4" i="110"/>
  <c r="N5" i="110"/>
  <c r="AD5" i="110"/>
  <c r="AT5" i="110"/>
  <c r="X6" i="110"/>
  <c r="AN6" i="110"/>
  <c r="BD6" i="110"/>
  <c r="R7" i="110"/>
  <c r="AH7" i="110"/>
  <c r="AX7" i="110"/>
  <c r="U4" i="110"/>
  <c r="AK4" i="110"/>
  <c r="BA4" i="110"/>
  <c r="O5" i="110"/>
  <c r="AE5" i="110"/>
  <c r="AU5" i="110"/>
  <c r="G6" i="110"/>
  <c r="Y6" i="110"/>
  <c r="AO6" i="110"/>
  <c r="BE6" i="110"/>
  <c r="S7" i="110"/>
  <c r="AI7" i="110"/>
  <c r="AY7" i="110"/>
  <c r="V4" i="110"/>
  <c r="AL4" i="110"/>
  <c r="BB4" i="110"/>
  <c r="P5" i="110"/>
  <c r="AF5" i="110"/>
  <c r="AV5" i="110"/>
  <c r="H6" i="110"/>
  <c r="Z6" i="110"/>
  <c r="AP6" i="110"/>
  <c r="BF6" i="110"/>
  <c r="T7" i="110"/>
  <c r="AJ7" i="110"/>
  <c r="AZ7" i="110"/>
  <c r="W4" i="110"/>
  <c r="AM4" i="110"/>
  <c r="BC4" i="110"/>
  <c r="Q5" i="110"/>
  <c r="AG5" i="110"/>
  <c r="AW5" i="110"/>
  <c r="I6" i="110"/>
  <c r="AA6" i="110"/>
  <c r="AQ6" i="110"/>
  <c r="BG6" i="110"/>
  <c r="U7" i="110"/>
  <c r="AK7" i="110"/>
  <c r="BA7" i="110"/>
  <c r="X4" i="110"/>
  <c r="AN4" i="110"/>
  <c r="BD4" i="110"/>
  <c r="R5" i="110"/>
  <c r="AH5" i="110"/>
  <c r="AX5" i="110"/>
  <c r="J6" i="110"/>
  <c r="AB6" i="110"/>
  <c r="AR6" i="110"/>
  <c r="BH6" i="110"/>
  <c r="V7" i="110"/>
  <c r="AL7" i="110"/>
  <c r="BB7" i="110"/>
  <c r="G4" i="110"/>
  <c r="Y4" i="110"/>
  <c r="AO4" i="110"/>
  <c r="BE4" i="110"/>
  <c r="S5" i="110"/>
  <c r="AI5" i="110"/>
  <c r="AY5" i="110"/>
  <c r="M6" i="110"/>
  <c r="AC6" i="110"/>
  <c r="AS6" i="110"/>
  <c r="W7" i="110"/>
  <c r="AM7" i="110"/>
  <c r="BC7" i="110"/>
  <c r="H4" i="110"/>
  <c r="Z4" i="110"/>
  <c r="AP4" i="110"/>
  <c r="BF4" i="110"/>
  <c r="T5" i="110"/>
  <c r="AJ5" i="110"/>
  <c r="AZ5" i="110"/>
  <c r="N6" i="110"/>
  <c r="AD6" i="110"/>
  <c r="AT6" i="110"/>
  <c r="X7" i="110"/>
  <c r="AN7" i="110"/>
  <c r="BD7" i="110"/>
  <c r="I4" i="110"/>
  <c r="AA4" i="110"/>
  <c r="AQ4" i="110"/>
  <c r="U5" i="110"/>
  <c r="AK5" i="110"/>
  <c r="O6" i="110"/>
  <c r="AE6" i="110"/>
  <c r="G7" i="110"/>
  <c r="Y7" i="110"/>
  <c r="AO7" i="110"/>
  <c r="M33" i="98"/>
  <c r="N33" i="98" s="1"/>
  <c r="O33" i="98" s="1"/>
  <c r="P33" i="98" s="1"/>
  <c r="Q33" i="98" s="1"/>
  <c r="R33" i="98" s="1"/>
  <c r="S33" i="98" s="1"/>
  <c r="T33" i="98" s="1"/>
  <c r="U33" i="98" s="1"/>
  <c r="V33" i="98" s="1"/>
  <c r="W33" i="98" s="1"/>
  <c r="X33" i="98" s="1"/>
  <c r="Y33" i="98" s="1"/>
  <c r="Z33" i="98" s="1"/>
  <c r="AA33" i="98" s="1"/>
  <c r="AB33" i="98" s="1"/>
  <c r="AC33" i="98" s="1"/>
  <c r="AD33" i="98" s="1"/>
  <c r="AE33" i="98" s="1"/>
  <c r="AF33" i="98" s="1"/>
  <c r="AG33" i="98" s="1"/>
  <c r="AH33" i="98" s="1"/>
  <c r="AI33" i="98" s="1"/>
  <c r="AJ33" i="98" s="1"/>
  <c r="AK33" i="98" s="1"/>
  <c r="AL33" i="98" s="1"/>
  <c r="AM33" i="98" s="1"/>
  <c r="AN33" i="98" s="1"/>
  <c r="AO33" i="98" s="1"/>
  <c r="AP33" i="98" s="1"/>
  <c r="AQ33" i="98" s="1"/>
  <c r="AR33" i="98" s="1"/>
  <c r="AS33" i="98" s="1"/>
  <c r="AT33" i="98" s="1"/>
  <c r="AU33" i="98" s="1"/>
  <c r="AV33" i="98" s="1"/>
  <c r="AW33" i="98" s="1"/>
  <c r="AX33" i="98" s="1"/>
  <c r="AY33" i="98" s="1"/>
  <c r="AZ33" i="98" s="1"/>
  <c r="BA33" i="98" s="1"/>
  <c r="BB33" i="98" s="1"/>
  <c r="BC33" i="98" s="1"/>
  <c r="BD33" i="98" s="1"/>
  <c r="BE33" i="98" s="1"/>
  <c r="BF33" i="98" s="1"/>
  <c r="BG33" i="98" s="1"/>
  <c r="BH33" i="98" s="1"/>
  <c r="D3" i="110" l="1"/>
  <c r="D5" i="110"/>
  <c r="D7" i="110"/>
  <c r="F7" i="127" s="1"/>
  <c r="D4" i="110"/>
  <c r="F4" i="127" s="1"/>
  <c r="D6" i="110"/>
  <c r="F6" i="127" s="1"/>
  <c r="A29" i="81"/>
  <c r="A30" i="81"/>
  <c r="A31" i="81"/>
  <c r="A32" i="81"/>
  <c r="A33" i="81"/>
  <c r="A34" i="81"/>
  <c r="A35" i="81"/>
  <c r="A36" i="81"/>
  <c r="A37" i="81"/>
  <c r="A38" i="81"/>
  <c r="A39" i="81"/>
  <c r="A40" i="81"/>
  <c r="A41" i="81"/>
  <c r="A42" i="81"/>
  <c r="A43" i="81"/>
  <c r="A44" i="81"/>
  <c r="A45" i="81"/>
  <c r="A23" i="81"/>
  <c r="A24" i="81"/>
  <c r="A25" i="81"/>
  <c r="A26" i="81"/>
  <c r="A27" i="81"/>
  <c r="A28" i="81"/>
  <c r="I6" i="89"/>
  <c r="I5" i="89"/>
  <c r="I4" i="89"/>
  <c r="I3" i="89"/>
  <c r="F5" i="127" l="1"/>
  <c r="L3" i="110"/>
  <c r="K3" i="110"/>
  <c r="L5" i="110"/>
  <c r="K5" i="110"/>
  <c r="K6" i="110"/>
  <c r="L4" i="110"/>
  <c r="K7" i="110"/>
  <c r="F7" i="29"/>
  <c r="E7" i="29"/>
  <c r="G7" i="29"/>
  <c r="H7" i="29"/>
  <c r="L7" i="110"/>
  <c r="L6" i="110"/>
  <c r="K4" i="110"/>
  <c r="A22" i="81"/>
  <c r="A21" i="81"/>
  <c r="I7" i="89"/>
  <c r="A19" i="81"/>
  <c r="A20" i="81"/>
  <c r="H96" i="63" a="1"/>
  <c r="H96" i="63" s="1"/>
  <c r="B86" i="63"/>
  <c r="B96" i="63"/>
  <c r="H95" i="63" a="1"/>
  <c r="H95" i="63" s="1"/>
  <c r="B95" i="63"/>
  <c r="H41" i="63" a="1"/>
  <c r="H41" i="63" s="1"/>
  <c r="B94" i="63"/>
  <c r="H94" i="63" l="1" a="1"/>
  <c r="H94" i="63" s="1"/>
  <c r="B41" i="63"/>
  <c r="B2" i="80"/>
  <c r="E2" i="80" s="1"/>
  <c r="B92" i="63"/>
  <c r="H92" i="63" a="1"/>
  <c r="H92" i="63" s="1"/>
  <c r="H91" i="63" a="1"/>
  <c r="H91" i="63" s="1"/>
  <c r="H83" i="63" a="1"/>
  <c r="H83" i="63" s="1"/>
  <c r="H82" i="63" a="1"/>
  <c r="H82" i="63" s="1"/>
  <c r="H77" i="63" a="1"/>
  <c r="H77" i="63" s="1"/>
  <c r="B91" i="63"/>
  <c r="A12" i="80"/>
  <c r="H71" i="63" a="1"/>
  <c r="H71" i="63" s="1"/>
  <c r="B71" i="63"/>
  <c r="I12" i="89" l="1"/>
  <c r="A12" i="89"/>
  <c r="I11" i="89"/>
  <c r="A11" i="89"/>
  <c r="I10" i="89"/>
  <c r="A10" i="89"/>
  <c r="I9" i="89"/>
  <c r="A9" i="89"/>
  <c r="I8" i="89"/>
  <c r="A8" i="89"/>
  <c r="A7" i="89"/>
  <c r="A6" i="89"/>
  <c r="A5" i="89"/>
  <c r="A4" i="89"/>
  <c r="A3" i="89"/>
  <c r="H57" i="63" l="1" a="1"/>
  <c r="H57" i="63" s="1"/>
  <c r="AI57" i="63"/>
  <c r="B57" i="63"/>
  <c r="H46" i="63" l="1" a="1"/>
  <c r="H46" i="63" s="1"/>
  <c r="B46" i="63"/>
  <c r="A4" i="81"/>
  <c r="A5" i="81"/>
  <c r="A6" i="81"/>
  <c r="A3" i="81"/>
  <c r="A18" i="81"/>
  <c r="A10" i="81" l="1"/>
  <c r="H93" i="63" l="1" a="1"/>
  <c r="H93" i="63" s="1"/>
  <c r="B93" i="63"/>
  <c r="B83" i="63"/>
  <c r="A17" i="81"/>
  <c r="A13" i="81"/>
  <c r="H45" i="63" a="1"/>
  <c r="H45" i="63" s="1"/>
  <c r="A7" i="81"/>
  <c r="A8" i="81"/>
  <c r="A9" i="81"/>
  <c r="A11" i="81"/>
  <c r="A12" i="81"/>
  <c r="A14" i="81"/>
  <c r="A15" i="81"/>
  <c r="A16" i="81"/>
  <c r="AI99" i="63"/>
  <c r="E2" i="59"/>
  <c r="J10" i="59"/>
  <c r="E10" i="4"/>
  <c r="E2"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6" i="4"/>
  <c r="A17" i="4"/>
  <c r="A18" i="4"/>
  <c r="A19" i="4"/>
  <c r="A20" i="4"/>
  <c r="A15" i="4"/>
  <c r="E4" i="4"/>
  <c r="E5" i="4"/>
  <c r="E6" i="4"/>
  <c r="E7" i="4"/>
  <c r="E8" i="4"/>
  <c r="E9" i="4"/>
  <c r="E11" i="4"/>
  <c r="E12" i="4"/>
  <c r="E13" i="4"/>
  <c r="E14" i="4"/>
  <c r="E3" i="4"/>
  <c r="A3" i="6"/>
  <c r="A4" i="6"/>
  <c r="A5" i="6"/>
  <c r="A6" i="6"/>
  <c r="A7" i="6"/>
  <c r="A8" i="6"/>
  <c r="A9" i="6"/>
  <c r="A10" i="6"/>
  <c r="A11" i="6"/>
  <c r="A2" i="6"/>
  <c r="J10" i="6"/>
  <c r="J10" i="2"/>
  <c r="A3" i="2"/>
  <c r="A4" i="2"/>
  <c r="A5" i="2"/>
  <c r="A2" i="2"/>
  <c r="J10" i="27"/>
  <c r="J10" i="4"/>
  <c r="J10" i="12"/>
  <c r="A2" i="59"/>
  <c r="A3" i="27"/>
  <c r="A4" i="27"/>
  <c r="A5" i="27"/>
  <c r="A6" i="27"/>
  <c r="A7" i="27"/>
  <c r="A8" i="27"/>
  <c r="A9" i="27"/>
  <c r="A10" i="27"/>
  <c r="A11" i="27"/>
  <c r="A12" i="27"/>
  <c r="A13" i="27"/>
  <c r="A14" i="27"/>
  <c r="A15" i="27"/>
  <c r="A16" i="27"/>
  <c r="A17" i="27"/>
  <c r="A18" i="27"/>
  <c r="A19" i="27"/>
  <c r="A20" i="27"/>
  <c r="A21" i="27"/>
  <c r="A22" i="27"/>
  <c r="A23" i="27"/>
  <c r="A24" i="27"/>
  <c r="A25" i="27"/>
  <c r="A26" i="27"/>
  <c r="A27" i="27"/>
  <c r="A28" i="27"/>
  <c r="A29" i="27"/>
  <c r="A30" i="27"/>
  <c r="A31" i="27"/>
  <c r="A32" i="27"/>
  <c r="A33" i="27"/>
  <c r="A34" i="27"/>
  <c r="A35" i="27"/>
  <c r="A36" i="27"/>
  <c r="A37" i="27"/>
  <c r="A38" i="27"/>
  <c r="A39" i="27"/>
  <c r="A40" i="27"/>
  <c r="A2" i="27"/>
  <c r="A2" i="4"/>
  <c r="A3" i="4"/>
  <c r="A4" i="4"/>
  <c r="A5" i="4"/>
  <c r="A6" i="4"/>
  <c r="A7" i="4"/>
  <c r="A8" i="4"/>
  <c r="A9" i="4"/>
  <c r="A10" i="4"/>
  <c r="A11" i="4"/>
  <c r="A12" i="4"/>
  <c r="A13" i="4"/>
  <c r="A14" i="4"/>
  <c r="A2" i="82"/>
  <c r="A3" i="82"/>
  <c r="A4" i="82"/>
  <c r="A5" i="82"/>
  <c r="A6" i="82"/>
  <c r="A7" i="82"/>
  <c r="A8" i="82"/>
  <c r="A9" i="82"/>
  <c r="A10" i="82"/>
  <c r="A11" i="82"/>
  <c r="A12" i="82"/>
  <c r="A13" i="82"/>
  <c r="A14" i="82"/>
  <c r="A15" i="82"/>
  <c r="A16" i="82"/>
  <c r="A17" i="82"/>
  <c r="A18" i="82"/>
  <c r="I3" i="29" l="1"/>
  <c r="I4" i="29"/>
  <c r="I5" i="29"/>
  <c r="I6" i="29"/>
  <c r="I7" i="29"/>
  <c r="J3" i="29"/>
  <c r="J4" i="29"/>
  <c r="J5" i="29"/>
  <c r="J6" i="29"/>
  <c r="J7" i="29"/>
  <c r="Y7" i="29"/>
  <c r="Z7" i="29"/>
  <c r="AA7" i="29"/>
  <c r="AB7" i="29"/>
  <c r="AC7" i="29"/>
  <c r="AD7" i="29"/>
  <c r="AE7" i="29"/>
  <c r="AF7" i="29"/>
  <c r="AG7" i="29"/>
  <c r="AH7" i="29"/>
  <c r="AI7" i="29"/>
  <c r="AJ7" i="29"/>
  <c r="AW7" i="29"/>
  <c r="AX7" i="29"/>
  <c r="AY7" i="29"/>
  <c r="AZ7" i="29"/>
  <c r="BA7" i="29"/>
  <c r="BB7" i="29"/>
  <c r="BC7" i="29"/>
  <c r="BD7" i="29"/>
  <c r="BE7" i="29"/>
  <c r="BF7" i="29"/>
  <c r="BG7" i="29"/>
  <c r="BH7" i="29"/>
  <c r="AK7" i="29"/>
  <c r="AL7" i="29"/>
  <c r="AM7" i="29"/>
  <c r="AN7" i="29"/>
  <c r="AO7" i="29"/>
  <c r="AP7" i="29"/>
  <c r="AQ7" i="29"/>
  <c r="AR7" i="29"/>
  <c r="AS7" i="29"/>
  <c r="AT7" i="29"/>
  <c r="AU7" i="29"/>
  <c r="AV7" i="29"/>
  <c r="M7" i="29"/>
  <c r="N7" i="29"/>
  <c r="O7" i="29"/>
  <c r="P7" i="29"/>
  <c r="Q7" i="29"/>
  <c r="R7" i="29"/>
  <c r="S7" i="29"/>
  <c r="T7" i="29"/>
  <c r="U7" i="29"/>
  <c r="V7" i="29"/>
  <c r="W7" i="29"/>
  <c r="X7" i="29"/>
  <c r="B45" i="63"/>
  <c r="B99" i="63"/>
  <c r="H85" i="63" a="1"/>
  <c r="H85" i="63" s="1"/>
  <c r="B85" i="63"/>
  <c r="H84" i="63" a="1"/>
  <c r="H84" i="63" s="1"/>
  <c r="B84" i="63"/>
  <c r="C43" i="62"/>
  <c r="A43" i="62"/>
  <c r="A44" i="62"/>
  <c r="C44" i="62"/>
  <c r="B82" i="63"/>
  <c r="D7" i="29" l="1"/>
  <c r="E40" i="27"/>
  <c r="G7" i="127" l="1"/>
  <c r="K7" i="29"/>
  <c r="L7" i="29"/>
  <c r="B80" i="63"/>
  <c r="B56" i="63"/>
  <c r="H80" i="63" a="1"/>
  <c r="H80" i="63" s="1"/>
  <c r="G4" i="29" l="1"/>
  <c r="E4" i="29"/>
  <c r="H4" i="29"/>
  <c r="F4" i="29"/>
  <c r="B79" i="63"/>
  <c r="H79" i="63" a="1"/>
  <c r="H79" i="63" s="1"/>
  <c r="H78" i="63" l="1" a="1"/>
  <c r="H78" i="63" s="1"/>
  <c r="B78" i="63"/>
  <c r="A13" i="80" l="1"/>
  <c r="A11" i="80"/>
  <c r="A10" i="80"/>
  <c r="A9" i="80"/>
  <c r="A8" i="80"/>
  <c r="A6" i="80"/>
  <c r="A5" i="80"/>
  <c r="C5" i="62" l="1"/>
  <c r="C6" i="62"/>
  <c r="C7" i="62"/>
  <c r="C8" i="62"/>
  <c r="C9" i="62"/>
  <c r="C10" i="62"/>
  <c r="C11" i="62"/>
  <c r="C12" i="62"/>
  <c r="C13" i="62"/>
  <c r="C14" i="62"/>
  <c r="C15" i="62"/>
  <c r="C16" i="62"/>
  <c r="C17" i="62"/>
  <c r="C18" i="62"/>
  <c r="C19" i="62"/>
  <c r="C20" i="62"/>
  <c r="C21" i="62"/>
  <c r="C22" i="62"/>
  <c r="C23" i="62"/>
  <c r="C24" i="62"/>
  <c r="C25" i="62"/>
  <c r="C26" i="62"/>
  <c r="C27" i="62"/>
  <c r="C28" i="62"/>
  <c r="C29" i="62"/>
  <c r="C30" i="62"/>
  <c r="C31" i="62"/>
  <c r="C32" i="62"/>
  <c r="C33" i="62"/>
  <c r="C34" i="62"/>
  <c r="C35" i="62"/>
  <c r="C36" i="62"/>
  <c r="C37" i="62"/>
  <c r="C38" i="62"/>
  <c r="C39" i="62"/>
  <c r="C40" i="62"/>
  <c r="C41" i="62"/>
  <c r="C42" i="62"/>
  <c r="C45" i="62"/>
  <c r="C46" i="62"/>
  <c r="C47" i="62"/>
  <c r="C48" i="62"/>
  <c r="C49" i="62"/>
  <c r="C50" i="62"/>
  <c r="C51" i="62"/>
  <c r="C52" i="62"/>
  <c r="C53" i="62"/>
  <c r="C54" i="62"/>
  <c r="C55" i="62"/>
  <c r="C56" i="62"/>
  <c r="C57" i="62"/>
  <c r="C58" i="62"/>
  <c r="C59" i="62"/>
  <c r="C60" i="62"/>
  <c r="C61" i="62"/>
  <c r="C62" i="62"/>
  <c r="C63" i="62"/>
  <c r="C64" i="62"/>
  <c r="C65" i="62"/>
  <c r="C66" i="62"/>
  <c r="C67" i="62"/>
  <c r="C68" i="62"/>
  <c r="C69" i="62"/>
  <c r="C70" i="62"/>
  <c r="C71" i="62"/>
  <c r="C72" i="62"/>
  <c r="C73" i="62"/>
  <c r="C74" i="62"/>
  <c r="C75" i="62"/>
  <c r="C76" i="62"/>
  <c r="C77" i="62"/>
  <c r="C78" i="62"/>
  <c r="C79" i="62"/>
  <c r="C80" i="62"/>
  <c r="C81" i="62"/>
  <c r="C82" i="62"/>
  <c r="C83" i="62"/>
  <c r="C84" i="62"/>
  <c r="C85" i="62"/>
  <c r="C86" i="62"/>
  <c r="C87" i="62"/>
  <c r="C88" i="62"/>
  <c r="C89" i="62"/>
  <c r="C90" i="62"/>
  <c r="C91" i="62"/>
  <c r="C92" i="62"/>
  <c r="C93" i="62"/>
  <c r="C94" i="62"/>
  <c r="C95" i="62"/>
  <c r="C96" i="62"/>
  <c r="C97" i="62"/>
  <c r="C98" i="62"/>
  <c r="C99" i="62"/>
  <c r="C100" i="62"/>
  <c r="C101" i="62"/>
  <c r="C102" i="62"/>
  <c r="C103" i="62"/>
  <c r="C104" i="62"/>
  <c r="C105" i="62"/>
  <c r="C106" i="62"/>
  <c r="C107" i="62"/>
  <c r="C108" i="62"/>
  <c r="C109" i="62"/>
  <c r="C110" i="62"/>
  <c r="C111" i="62"/>
  <c r="C112" i="62"/>
  <c r="C113" i="62"/>
  <c r="C114" i="62"/>
  <c r="C115" i="62"/>
  <c r="C116" i="62"/>
  <c r="C117" i="62"/>
  <c r="C118" i="62"/>
  <c r="C119" i="62"/>
  <c r="C120" i="62"/>
  <c r="C121" i="62"/>
  <c r="C122" i="62"/>
  <c r="C123" i="62"/>
  <c r="C124" i="62"/>
  <c r="C125" i="62"/>
  <c r="C126" i="62"/>
  <c r="C127" i="62"/>
  <c r="C128" i="62"/>
  <c r="C129" i="62"/>
  <c r="C130" i="62"/>
  <c r="C131" i="62"/>
  <c r="C132" i="62"/>
  <c r="C133" i="62"/>
  <c r="C134" i="62"/>
  <c r="C135" i="62"/>
  <c r="C136" i="62"/>
  <c r="C137" i="62"/>
  <c r="C138" i="62"/>
  <c r="C139" i="62"/>
  <c r="C140" i="62"/>
  <c r="C141" i="62"/>
  <c r="C142" i="62"/>
  <c r="C143" i="62"/>
  <c r="C144" i="62"/>
  <c r="C145" i="62"/>
  <c r="C146" i="62"/>
  <c r="C147" i="62"/>
  <c r="C148" i="62"/>
  <c r="C149" i="62"/>
  <c r="C150" i="62"/>
  <c r="C151" i="62"/>
  <c r="C152" i="62"/>
  <c r="C153" i="62"/>
  <c r="C154" i="62"/>
  <c r="C155" i="62"/>
  <c r="C156" i="62"/>
  <c r="C157" i="62"/>
  <c r="C158" i="62"/>
  <c r="C159" i="62"/>
  <c r="C160" i="62"/>
  <c r="C161" i="62"/>
  <c r="C162" i="62"/>
  <c r="C163" i="62"/>
  <c r="C164" i="62"/>
  <c r="C165" i="62"/>
  <c r="C166" i="62"/>
  <c r="C167" i="62"/>
  <c r="C168" i="62"/>
  <c r="C169" i="62"/>
  <c r="C170" i="62"/>
  <c r="C171" i="62"/>
  <c r="C172" i="62"/>
  <c r="C173" i="62"/>
  <c r="C174" i="62"/>
  <c r="C175" i="62"/>
  <c r="C176" i="62"/>
  <c r="C177" i="62"/>
  <c r="C178" i="62"/>
  <c r="C179" i="62"/>
  <c r="C180" i="62"/>
  <c r="C181" i="62"/>
  <c r="C182" i="62"/>
  <c r="C183" i="62"/>
  <c r="C184" i="62"/>
  <c r="C185" i="62"/>
  <c r="C186" i="62"/>
  <c r="C187" i="62"/>
  <c r="C188" i="62"/>
  <c r="C189" i="62"/>
  <c r="C190" i="62"/>
  <c r="C191" i="62"/>
  <c r="C192" i="62"/>
  <c r="C193" i="62"/>
  <c r="C194" i="62"/>
  <c r="C195" i="62"/>
  <c r="C196" i="62"/>
  <c r="C197" i="62"/>
  <c r="C198" i="62"/>
  <c r="C199" i="62"/>
  <c r="C200" i="62"/>
  <c r="C201" i="62"/>
  <c r="C202" i="62"/>
  <c r="C203" i="62"/>
  <c r="C204" i="62"/>
  <c r="C205" i="62"/>
  <c r="C206" i="62"/>
  <c r="C207" i="62"/>
  <c r="C208" i="62"/>
  <c r="C209" i="62"/>
  <c r="C210" i="62"/>
  <c r="C211" i="62"/>
  <c r="C212" i="62"/>
  <c r="C213" i="62"/>
  <c r="C214" i="62"/>
  <c r="C215" i="62"/>
  <c r="C216" i="62"/>
  <c r="C217" i="62"/>
  <c r="C218" i="62"/>
  <c r="C219" i="62"/>
  <c r="C220" i="62"/>
  <c r="C221" i="62"/>
  <c r="C222" i="62"/>
  <c r="C223" i="62"/>
  <c r="C224" i="62"/>
  <c r="C225" i="62"/>
  <c r="C226" i="62"/>
  <c r="C227" i="62"/>
  <c r="C228" i="62"/>
  <c r="C229" i="62"/>
  <c r="C230" i="62"/>
  <c r="C231" i="62"/>
  <c r="C232" i="62"/>
  <c r="C233" i="62"/>
  <c r="C234" i="62"/>
  <c r="C235" i="62"/>
  <c r="C236" i="62"/>
  <c r="C237" i="62"/>
  <c r="C238" i="62"/>
  <c r="C239" i="62"/>
  <c r="C240" i="62"/>
  <c r="C241" i="62"/>
  <c r="C242" i="62"/>
  <c r="C243" i="62"/>
  <c r="C244" i="62"/>
  <c r="C245" i="62"/>
  <c r="C246" i="62"/>
  <c r="C247" i="62"/>
  <c r="C248" i="62"/>
  <c r="C249" i="62"/>
  <c r="C250" i="62"/>
  <c r="C251" i="62"/>
  <c r="C252" i="62"/>
  <c r="C253" i="62"/>
  <c r="C254" i="62"/>
  <c r="C255" i="62"/>
  <c r="C256" i="62"/>
  <c r="C257" i="62"/>
  <c r="C258" i="62"/>
  <c r="C259" i="62"/>
  <c r="C260" i="62"/>
  <c r="C261" i="62"/>
  <c r="C262" i="62"/>
  <c r="C263" i="62"/>
  <c r="C264" i="62"/>
  <c r="C265" i="62"/>
  <c r="C266" i="62"/>
  <c r="C267" i="62"/>
  <c r="C268" i="62"/>
  <c r="C269" i="62"/>
  <c r="C270" i="62"/>
  <c r="C271" i="62"/>
  <c r="C272" i="62"/>
  <c r="C273" i="62"/>
  <c r="C274" i="62"/>
  <c r="C4" i="62"/>
  <c r="C3" i="62"/>
  <c r="H76" i="63" l="1" a="1"/>
  <c r="H76" i="63" s="1"/>
  <c r="F69" i="63" l="1"/>
  <c r="AI69" i="63"/>
  <c r="B69" i="63"/>
  <c r="AI270" i="63"/>
  <c r="AI269" i="63"/>
  <c r="AI268" i="63"/>
  <c r="AI267" i="63"/>
  <c r="AI266" i="63"/>
  <c r="AI265" i="63"/>
  <c r="AI264" i="63"/>
  <c r="AI263" i="63"/>
  <c r="AI262" i="63"/>
  <c r="AI261" i="63"/>
  <c r="AI260" i="63"/>
  <c r="AI259" i="63"/>
  <c r="AI258" i="63"/>
  <c r="AI257" i="63"/>
  <c r="AI256" i="63"/>
  <c r="AI255" i="63"/>
  <c r="AI254" i="63"/>
  <c r="AI253" i="63"/>
  <c r="AI252" i="63"/>
  <c r="AI251" i="63"/>
  <c r="AI250" i="63"/>
  <c r="AI249" i="63"/>
  <c r="AI248" i="63"/>
  <c r="AI247" i="63"/>
  <c r="AI246" i="63"/>
  <c r="AI245" i="63"/>
  <c r="AI244" i="63"/>
  <c r="AI243" i="63"/>
  <c r="AI242" i="63"/>
  <c r="AI241" i="63"/>
  <c r="AI240" i="63"/>
  <c r="AI239" i="63"/>
  <c r="AI238" i="63"/>
  <c r="AI237" i="63"/>
  <c r="AI236" i="63"/>
  <c r="AI235" i="63"/>
  <c r="AI234" i="63"/>
  <c r="AI233" i="63"/>
  <c r="AI232" i="63"/>
  <c r="AI231" i="63"/>
  <c r="AI230" i="63"/>
  <c r="AI229" i="63"/>
  <c r="AI228" i="63"/>
  <c r="AI227" i="63"/>
  <c r="AI226" i="63"/>
  <c r="AI225" i="63"/>
  <c r="AI224" i="63"/>
  <c r="AI223" i="63"/>
  <c r="AI222" i="63"/>
  <c r="AI221" i="63"/>
  <c r="AI220" i="63"/>
  <c r="AI219" i="63"/>
  <c r="AI218" i="63"/>
  <c r="AI217" i="63"/>
  <c r="AI216" i="63"/>
  <c r="AI215" i="63"/>
  <c r="AI214" i="63"/>
  <c r="AI213" i="63"/>
  <c r="AI212" i="63"/>
  <c r="AI211" i="63"/>
  <c r="AI210" i="63"/>
  <c r="AI209" i="63"/>
  <c r="AI208" i="63"/>
  <c r="AI207" i="63"/>
  <c r="AI206" i="63"/>
  <c r="AI205" i="63"/>
  <c r="AI204" i="63"/>
  <c r="AI203" i="63"/>
  <c r="AI202" i="63"/>
  <c r="AI201" i="63"/>
  <c r="AI200" i="63"/>
  <c r="AI199" i="63"/>
  <c r="AI198" i="63"/>
  <c r="AI197" i="63"/>
  <c r="AI196" i="63"/>
  <c r="AI195" i="63"/>
  <c r="AI194" i="63"/>
  <c r="AI193" i="63"/>
  <c r="AI192" i="63"/>
  <c r="AI191" i="63"/>
  <c r="AI190" i="63"/>
  <c r="AI189" i="63"/>
  <c r="AI188" i="63"/>
  <c r="AI187" i="63"/>
  <c r="AI186" i="63"/>
  <c r="AI185" i="63"/>
  <c r="AI184" i="63"/>
  <c r="AI183" i="63"/>
  <c r="AI182" i="63"/>
  <c r="AI181" i="63"/>
  <c r="AI180" i="63"/>
  <c r="AI179" i="63"/>
  <c r="AI178" i="63"/>
  <c r="AI177" i="63"/>
  <c r="AI176" i="63"/>
  <c r="AI175" i="63"/>
  <c r="AI174" i="63"/>
  <c r="AI173" i="63"/>
  <c r="AI172" i="63"/>
  <c r="AI171" i="63"/>
  <c r="AI170" i="63"/>
  <c r="AI169" i="63"/>
  <c r="AI168" i="63"/>
  <c r="AI167" i="63"/>
  <c r="AI166" i="63"/>
  <c r="AI165" i="63"/>
  <c r="AI164" i="63"/>
  <c r="AI163" i="63"/>
  <c r="AI162" i="63"/>
  <c r="AI161" i="63"/>
  <c r="AI160" i="63"/>
  <c r="AI159" i="63"/>
  <c r="AI158" i="63"/>
  <c r="AI157" i="63"/>
  <c r="AI156" i="63"/>
  <c r="AI155" i="63"/>
  <c r="AI154" i="63"/>
  <c r="AI153" i="63"/>
  <c r="AI152" i="63"/>
  <c r="AI151" i="63"/>
  <c r="AI150" i="63"/>
  <c r="AI149" i="63"/>
  <c r="AI148" i="63"/>
  <c r="AI147" i="63"/>
  <c r="AI146" i="63"/>
  <c r="AI145" i="63"/>
  <c r="AI144" i="63"/>
  <c r="AI143" i="63"/>
  <c r="AI142" i="63"/>
  <c r="AI141" i="63"/>
  <c r="AI140" i="63"/>
  <c r="AI139" i="63"/>
  <c r="AI138" i="63"/>
  <c r="AI137" i="63"/>
  <c r="AI136" i="63"/>
  <c r="AI135" i="63"/>
  <c r="AI134" i="63"/>
  <c r="AI133" i="63"/>
  <c r="AI132" i="63"/>
  <c r="AI131" i="63"/>
  <c r="AI130" i="63"/>
  <c r="AI129" i="63"/>
  <c r="AI128" i="63"/>
  <c r="AI127" i="63"/>
  <c r="AI126" i="63"/>
  <c r="AI125" i="63"/>
  <c r="AI124" i="63"/>
  <c r="AI123" i="63"/>
  <c r="AI122" i="63"/>
  <c r="AI121" i="63"/>
  <c r="AI120" i="63"/>
  <c r="AI119" i="63"/>
  <c r="AI118" i="63"/>
  <c r="AI117" i="63"/>
  <c r="AI116" i="63"/>
  <c r="AI115" i="63"/>
  <c r="AI114" i="63"/>
  <c r="AI113" i="63"/>
  <c r="AI112" i="63"/>
  <c r="AI111" i="63"/>
  <c r="AI110" i="63"/>
  <c r="AI109" i="63"/>
  <c r="AI108" i="63"/>
  <c r="AI107" i="63"/>
  <c r="AI106" i="63"/>
  <c r="AI105" i="63"/>
  <c r="AI104" i="63"/>
  <c r="AI103" i="63"/>
  <c r="AI102" i="63"/>
  <c r="AI101" i="63"/>
  <c r="AI100" i="63"/>
  <c r="AI75" i="63"/>
  <c r="AI44" i="63"/>
  <c r="AI86" i="63"/>
  <c r="AI96" i="63"/>
  <c r="AI95" i="63"/>
  <c r="AI94" i="63"/>
  <c r="AI41" i="63"/>
  <c r="AI92" i="63"/>
  <c r="AI91" i="63"/>
  <c r="AI71" i="63"/>
  <c r="AI46" i="63"/>
  <c r="AI93" i="63"/>
  <c r="AI45" i="63"/>
  <c r="AI85" i="63"/>
  <c r="AI84" i="63"/>
  <c r="AI83" i="63"/>
  <c r="AI82" i="63"/>
  <c r="AI80" i="63"/>
  <c r="AI79" i="63"/>
  <c r="AI78" i="63"/>
  <c r="AI77" i="63"/>
  <c r="B77" i="63"/>
  <c r="AL4" i="29" l="1"/>
  <c r="AM4" i="29"/>
  <c r="X4" i="29"/>
  <c r="AN4" i="29"/>
  <c r="AZ4" i="29"/>
  <c r="Y4" i="29"/>
  <c r="AW4" i="29"/>
  <c r="AO4" i="29"/>
  <c r="V4" i="29"/>
  <c r="W4" i="29"/>
  <c r="Z4" i="29"/>
  <c r="AX4" i="29"/>
  <c r="AP4" i="29"/>
  <c r="AR4" i="29"/>
  <c r="AA4" i="29"/>
  <c r="AY4" i="29"/>
  <c r="AQ4" i="29"/>
  <c r="AB4" i="29"/>
  <c r="M4" i="29"/>
  <c r="AC4" i="29"/>
  <c r="BA4" i="29"/>
  <c r="AS4" i="29"/>
  <c r="AT4" i="29"/>
  <c r="N4" i="29"/>
  <c r="AD4" i="29"/>
  <c r="BB4" i="29"/>
  <c r="O4" i="29"/>
  <c r="AE4" i="29"/>
  <c r="BC4" i="29"/>
  <c r="AU4" i="29"/>
  <c r="P4" i="29"/>
  <c r="AF4" i="29"/>
  <c r="BD4" i="29"/>
  <c r="AV4" i="29"/>
  <c r="Q4" i="29"/>
  <c r="AG4" i="29"/>
  <c r="BE4" i="29"/>
  <c r="R4" i="29"/>
  <c r="AH4" i="29"/>
  <c r="BF4" i="29"/>
  <c r="S4" i="29"/>
  <c r="AI4" i="29"/>
  <c r="BG4" i="29"/>
  <c r="T4" i="29"/>
  <c r="AJ4" i="29"/>
  <c r="BH4" i="29"/>
  <c r="U4" i="29"/>
  <c r="AK4" i="29"/>
  <c r="AI76" i="63"/>
  <c r="B76" i="63"/>
  <c r="A24" i="12"/>
  <c r="A25" i="12"/>
  <c r="A26" i="12"/>
  <c r="A27" i="12"/>
  <c r="A28" i="12"/>
  <c r="A29" i="12"/>
  <c r="A30" i="12"/>
  <c r="E22" i="12"/>
  <c r="E23" i="12"/>
  <c r="E24" i="12"/>
  <c r="E25" i="12"/>
  <c r="E26" i="12"/>
  <c r="E27" i="12"/>
  <c r="E28" i="12"/>
  <c r="E29" i="12"/>
  <c r="E30" i="12"/>
  <c r="E10" i="12"/>
  <c r="E11" i="12"/>
  <c r="E12" i="12"/>
  <c r="E13" i="12"/>
  <c r="E14" i="12"/>
  <c r="E15" i="12"/>
  <c r="E16" i="12"/>
  <c r="E17" i="12"/>
  <c r="E18" i="12"/>
  <c r="E19" i="12"/>
  <c r="E20" i="12"/>
  <c r="E21" i="12"/>
  <c r="B3" i="63"/>
  <c r="B47" i="63"/>
  <c r="F3" i="63"/>
  <c r="F7" i="63"/>
  <c r="F51" i="63"/>
  <c r="F70" i="63"/>
  <c r="F68" i="63"/>
  <c r="F67" i="63"/>
  <c r="F66" i="63"/>
  <c r="F65" i="63"/>
  <c r="F64" i="63"/>
  <c r="F63" i="63"/>
  <c r="F62" i="63"/>
  <c r="D4" i="29" l="1"/>
  <c r="H50" i="63" a="1"/>
  <c r="H50" i="63" s="1"/>
  <c r="B50" i="63"/>
  <c r="AI47" i="63"/>
  <c r="B49" i="63"/>
  <c r="F74" i="63"/>
  <c r="H74" i="63" a="1"/>
  <c r="H74" i="63" s="1"/>
  <c r="A3" i="12"/>
  <c r="A4" i="12"/>
  <c r="A5" i="12"/>
  <c r="A6" i="12"/>
  <c r="A7" i="12"/>
  <c r="A8" i="12"/>
  <c r="A9" i="12"/>
  <c r="A10" i="12"/>
  <c r="A11" i="12"/>
  <c r="A12" i="12"/>
  <c r="A13" i="12"/>
  <c r="A14" i="12"/>
  <c r="A15" i="12"/>
  <c r="A16" i="12"/>
  <c r="A17" i="12"/>
  <c r="A18" i="12"/>
  <c r="A19" i="12"/>
  <c r="A20" i="12"/>
  <c r="A21" i="12"/>
  <c r="A22" i="12"/>
  <c r="A23" i="12"/>
  <c r="A2" i="12"/>
  <c r="A226" i="3"/>
  <c r="A227" i="3"/>
  <c r="A228" i="3"/>
  <c r="A229" i="3"/>
  <c r="A230" i="3"/>
  <c r="A231" i="3"/>
  <c r="A232" i="3"/>
  <c r="A233" i="3"/>
  <c r="A234" i="3"/>
  <c r="A235" i="3"/>
  <c r="A236" i="3"/>
  <c r="A237" i="3"/>
  <c r="A238" i="3"/>
  <c r="A239" i="3"/>
  <c r="A240" i="3"/>
  <c r="A225" i="3"/>
  <c r="A223" i="3"/>
  <c r="A209" i="3"/>
  <c r="A210" i="3"/>
  <c r="A211" i="3"/>
  <c r="A212" i="3"/>
  <c r="A213" i="3"/>
  <c r="A214" i="3"/>
  <c r="A215" i="3"/>
  <c r="A216" i="3"/>
  <c r="A217" i="3"/>
  <c r="A218" i="3"/>
  <c r="A219" i="3"/>
  <c r="A220" i="3"/>
  <c r="A221" i="3"/>
  <c r="A222" i="3"/>
  <c r="A208" i="3"/>
  <c r="A199" i="3"/>
  <c r="A200" i="3"/>
  <c r="A201" i="3"/>
  <c r="A202" i="3"/>
  <c r="A203" i="3"/>
  <c r="A204" i="3"/>
  <c r="A205" i="3"/>
  <c r="A206" i="3"/>
  <c r="A192" i="3"/>
  <c r="A193" i="3"/>
  <c r="A194" i="3"/>
  <c r="A195" i="3"/>
  <c r="A196" i="3"/>
  <c r="A197" i="3"/>
  <c r="A198" i="3"/>
  <c r="A191" i="3"/>
  <c r="A189" i="3"/>
  <c r="A175" i="3"/>
  <c r="A176" i="3"/>
  <c r="A177" i="3"/>
  <c r="A178" i="3"/>
  <c r="A179" i="3"/>
  <c r="A180" i="3"/>
  <c r="A181" i="3"/>
  <c r="A182" i="3"/>
  <c r="A183" i="3"/>
  <c r="A184" i="3"/>
  <c r="A185" i="3"/>
  <c r="A186" i="3"/>
  <c r="A187" i="3"/>
  <c r="A188" i="3"/>
  <c r="A174" i="3"/>
  <c r="A163" i="3"/>
  <c r="A164" i="3"/>
  <c r="A165" i="3"/>
  <c r="A166" i="3"/>
  <c r="A167" i="3"/>
  <c r="A168" i="3"/>
  <c r="A169" i="3"/>
  <c r="A170" i="3"/>
  <c r="A171" i="3"/>
  <c r="A172" i="3"/>
  <c r="A158" i="3"/>
  <c r="A159" i="3"/>
  <c r="A160" i="3"/>
  <c r="A161" i="3"/>
  <c r="A162" i="3"/>
  <c r="A157" i="3"/>
  <c r="A153" i="3"/>
  <c r="A154" i="3"/>
  <c r="A155" i="3"/>
  <c r="A141" i="3"/>
  <c r="A142" i="3"/>
  <c r="A143" i="3"/>
  <c r="A144" i="3"/>
  <c r="A145" i="3"/>
  <c r="A146" i="3"/>
  <c r="A147" i="3"/>
  <c r="A148" i="3"/>
  <c r="A149" i="3"/>
  <c r="A150" i="3"/>
  <c r="A151" i="3"/>
  <c r="A152" i="3"/>
  <c r="A140" i="3"/>
  <c r="A133" i="3"/>
  <c r="A134" i="3"/>
  <c r="A135" i="3"/>
  <c r="A136" i="3"/>
  <c r="A137" i="3"/>
  <c r="A138" i="3"/>
  <c r="A124" i="3"/>
  <c r="A125" i="3"/>
  <c r="A126" i="3"/>
  <c r="A127" i="3"/>
  <c r="A128" i="3"/>
  <c r="A129" i="3"/>
  <c r="A130" i="3"/>
  <c r="A131" i="3"/>
  <c r="A132" i="3"/>
  <c r="A123" i="3"/>
  <c r="A117" i="3"/>
  <c r="A118" i="3"/>
  <c r="A119" i="3"/>
  <c r="A120" i="3"/>
  <c r="A121" i="3"/>
  <c r="A112" i="3"/>
  <c r="A113" i="3"/>
  <c r="A114" i="3"/>
  <c r="A115" i="3"/>
  <c r="A116" i="3"/>
  <c r="A106" i="3"/>
  <c r="A107" i="3"/>
  <c r="A108" i="3"/>
  <c r="A109" i="3"/>
  <c r="A110" i="3"/>
  <c r="A111" i="3"/>
  <c r="A105" i="3"/>
  <c r="A103" i="3"/>
  <c r="A96" i="3"/>
  <c r="A97" i="3"/>
  <c r="A98" i="3"/>
  <c r="A99" i="3"/>
  <c r="A100" i="3"/>
  <c r="A101" i="3"/>
  <c r="A102" i="3"/>
  <c r="A89" i="3"/>
  <c r="A90" i="3"/>
  <c r="A91" i="3"/>
  <c r="A92" i="3"/>
  <c r="A93" i="3"/>
  <c r="A94" i="3"/>
  <c r="A95" i="3"/>
  <c r="A88" i="3"/>
  <c r="A72" i="3"/>
  <c r="A73" i="3"/>
  <c r="A74" i="3"/>
  <c r="A75" i="3"/>
  <c r="A76" i="3"/>
  <c r="A77" i="3"/>
  <c r="A78" i="3"/>
  <c r="A79" i="3"/>
  <c r="A80" i="3"/>
  <c r="A81" i="3"/>
  <c r="A82" i="3"/>
  <c r="A83" i="3"/>
  <c r="A84" i="3"/>
  <c r="A85" i="3"/>
  <c r="A86" i="3"/>
  <c r="A71" i="3"/>
  <c r="A55" i="3"/>
  <c r="A56" i="3"/>
  <c r="A57" i="3"/>
  <c r="A58" i="3"/>
  <c r="A59" i="3"/>
  <c r="A60" i="3"/>
  <c r="A61" i="3"/>
  <c r="A62" i="3"/>
  <c r="A63" i="3"/>
  <c r="A64" i="3"/>
  <c r="A65" i="3"/>
  <c r="A66" i="3"/>
  <c r="A67" i="3"/>
  <c r="A68" i="3"/>
  <c r="A69" i="3"/>
  <c r="A54" i="3"/>
  <c r="A38" i="3"/>
  <c r="A39" i="3"/>
  <c r="A40" i="3"/>
  <c r="A41" i="3"/>
  <c r="A42" i="3"/>
  <c r="A43" i="3"/>
  <c r="A44" i="3"/>
  <c r="A45" i="3"/>
  <c r="A46" i="3"/>
  <c r="A47" i="3"/>
  <c r="A48" i="3"/>
  <c r="A49" i="3"/>
  <c r="A50" i="3"/>
  <c r="A51" i="3"/>
  <c r="A52" i="3"/>
  <c r="A37" i="3"/>
  <c r="A35" i="3"/>
  <c r="A34" i="3"/>
  <c r="A26" i="3"/>
  <c r="A27" i="3"/>
  <c r="A28" i="3"/>
  <c r="A29" i="3"/>
  <c r="A30" i="3"/>
  <c r="A31" i="3"/>
  <c r="A32" i="3"/>
  <c r="A33" i="3"/>
  <c r="A21" i="3"/>
  <c r="A22" i="3"/>
  <c r="A23" i="3"/>
  <c r="A24" i="3"/>
  <c r="A25" i="3"/>
  <c r="A20" i="3"/>
  <c r="A4" i="3"/>
  <c r="A5" i="3"/>
  <c r="A6" i="3"/>
  <c r="A7" i="3"/>
  <c r="A8" i="3"/>
  <c r="A9" i="3"/>
  <c r="A10" i="3"/>
  <c r="A11" i="3"/>
  <c r="A12" i="3"/>
  <c r="A13" i="3"/>
  <c r="A14" i="3"/>
  <c r="A15" i="3"/>
  <c r="A16" i="3"/>
  <c r="A17" i="3"/>
  <c r="A18" i="3"/>
  <c r="A3" i="3"/>
  <c r="A7" i="62"/>
  <c r="E39" i="27"/>
  <c r="E38" i="27"/>
  <c r="E37" i="27"/>
  <c r="E36" i="27"/>
  <c r="E35" i="27"/>
  <c r="E28" i="27"/>
  <c r="E27" i="27"/>
  <c r="E24" i="27"/>
  <c r="E23" i="27"/>
  <c r="E22" i="27"/>
  <c r="E21" i="27"/>
  <c r="E20" i="27"/>
  <c r="E19" i="27"/>
  <c r="E18" i="27"/>
  <c r="E17" i="27"/>
  <c r="E16" i="27"/>
  <c r="E15" i="27"/>
  <c r="E14" i="27"/>
  <c r="E13" i="27"/>
  <c r="E12" i="27"/>
  <c r="E11" i="27"/>
  <c r="E10" i="27"/>
  <c r="E9" i="27"/>
  <c r="E3" i="27"/>
  <c r="E4" i="27"/>
  <c r="E5" i="27"/>
  <c r="E6" i="27"/>
  <c r="E7" i="27"/>
  <c r="E8" i="27"/>
  <c r="E2" i="27"/>
  <c r="G4" i="127" l="1"/>
  <c r="K4" i="29"/>
  <c r="L4" i="29"/>
  <c r="B74" i="63"/>
  <c r="A21" i="62" l="1"/>
  <c r="AI8" i="63" l="1"/>
  <c r="AI7" i="63"/>
  <c r="AI6" i="63"/>
  <c r="AI5" i="63"/>
  <c r="AI4" i="63"/>
  <c r="AI3" i="63"/>
  <c r="AI2" i="63"/>
  <c r="AI40" i="63"/>
  <c r="AI52" i="63"/>
  <c r="AI51" i="63"/>
  <c r="AI55" i="63"/>
  <c r="AI61" i="63"/>
  <c r="AI67" i="63"/>
  <c r="AI68" i="63"/>
  <c r="AI70" i="63"/>
  <c r="AI66" i="63"/>
  <c r="AI65" i="63"/>
  <c r="AI64" i="63"/>
  <c r="AI63" i="63"/>
  <c r="AI62" i="63"/>
  <c r="AI89" i="63"/>
  <c r="AI42" i="63"/>
  <c r="AI53" i="63"/>
  <c r="AI54" i="63"/>
  <c r="AI49" i="63"/>
  <c r="AI88" i="63"/>
  <c r="AI48" i="63"/>
  <c r="AI73" i="63"/>
  <c r="AI72" i="63"/>
  <c r="AI98" i="63"/>
  <c r="AI60" i="63"/>
  <c r="AI58" i="63"/>
  <c r="AI97" i="63"/>
  <c r="AI43" i="63"/>
  <c r="AI81" i="63"/>
  <c r="AI87" i="63"/>
  <c r="AI56" i="63"/>
  <c r="AI90" i="63"/>
  <c r="B88" i="63"/>
  <c r="AI34" i="63"/>
  <c r="AI33" i="63"/>
  <c r="AI32" i="63"/>
  <c r="AI31" i="63"/>
  <c r="AI30" i="63"/>
  <c r="AI29" i="63"/>
  <c r="AI28" i="63"/>
  <c r="AI27" i="63"/>
  <c r="AI26" i="63"/>
  <c r="AI25" i="63"/>
  <c r="AI24" i="63"/>
  <c r="AI23" i="63"/>
  <c r="AI22" i="63"/>
  <c r="AI21" i="63"/>
  <c r="AI20" i="63"/>
  <c r="AI19" i="63"/>
  <c r="AI18" i="63"/>
  <c r="AI17" i="63"/>
  <c r="AI16" i="63"/>
  <c r="AI15" i="63"/>
  <c r="AI14" i="63"/>
  <c r="AI13" i="63"/>
  <c r="AI12" i="63"/>
  <c r="AI11" i="63"/>
  <c r="AI10" i="63"/>
  <c r="AI9" i="63"/>
  <c r="AI74" i="63"/>
  <c r="AI59" i="63"/>
  <c r="AI39" i="63"/>
  <c r="AI38" i="63"/>
  <c r="AI37" i="63"/>
  <c r="AI36" i="63"/>
  <c r="AI35" i="63"/>
  <c r="A8" i="62"/>
  <c r="A9" i="62"/>
  <c r="A10" i="62"/>
  <c r="A11" i="62"/>
  <c r="A12" i="62"/>
  <c r="A13" i="62"/>
  <c r="A14" i="62"/>
  <c r="A15" i="62"/>
  <c r="A16" i="62"/>
  <c r="A17" i="62"/>
  <c r="A18" i="62"/>
  <c r="A19" i="62"/>
  <c r="A20" i="62"/>
  <c r="A22" i="62"/>
  <c r="A23" i="62"/>
  <c r="A24" i="62"/>
  <c r="A25" i="62"/>
  <c r="A26" i="62"/>
  <c r="A27" i="62"/>
  <c r="A28" i="62"/>
  <c r="A29" i="62"/>
  <c r="A30" i="62"/>
  <c r="A31" i="62"/>
  <c r="A32" i="62"/>
  <c r="A33" i="62"/>
  <c r="A34" i="62"/>
  <c r="A35" i="62"/>
  <c r="A36" i="62"/>
  <c r="A37" i="62"/>
  <c r="A39" i="62"/>
  <c r="A40" i="62"/>
  <c r="A41" i="62"/>
  <c r="A42" i="62"/>
  <c r="A45" i="62"/>
  <c r="A46" i="62"/>
  <c r="A47" i="62"/>
  <c r="A48" i="62"/>
  <c r="A49" i="62"/>
  <c r="A50" i="62"/>
  <c r="A51" i="62"/>
  <c r="A52" i="62"/>
  <c r="A53" i="62"/>
  <c r="A54" i="62"/>
  <c r="A55" i="62"/>
  <c r="A56" i="62"/>
  <c r="A57" i="62"/>
  <c r="A58" i="62"/>
  <c r="A59" i="62"/>
  <c r="A60" i="62"/>
  <c r="A61" i="62"/>
  <c r="A62" i="62"/>
  <c r="A63" i="62"/>
  <c r="A64" i="62"/>
  <c r="A65" i="62"/>
  <c r="A66" i="62"/>
  <c r="A67" i="62"/>
  <c r="A68" i="62"/>
  <c r="A69" i="62"/>
  <c r="A70" i="62"/>
  <c r="A71" i="62"/>
  <c r="A72" i="62"/>
  <c r="A73" i="62"/>
  <c r="A74" i="62"/>
  <c r="A75" i="62"/>
  <c r="A76" i="62"/>
  <c r="A77" i="62"/>
  <c r="A78" i="62"/>
  <c r="A79" i="62"/>
  <c r="A80" i="62"/>
  <c r="A81" i="62"/>
  <c r="A82" i="62"/>
  <c r="A83" i="62"/>
  <c r="A84" i="62"/>
  <c r="A85" i="62"/>
  <c r="A86" i="62"/>
  <c r="A87" i="62"/>
  <c r="A88" i="62"/>
  <c r="A89" i="62"/>
  <c r="A90" i="62"/>
  <c r="A91" i="62"/>
  <c r="A92" i="62"/>
  <c r="A93" i="62"/>
  <c r="A94" i="62"/>
  <c r="A95" i="62"/>
  <c r="A96" i="62"/>
  <c r="A97" i="62"/>
  <c r="A98" i="62"/>
  <c r="A99" i="62"/>
  <c r="A100" i="62"/>
  <c r="A101" i="62"/>
  <c r="A102" i="62"/>
  <c r="A103" i="62"/>
  <c r="A104" i="62"/>
  <c r="A105" i="62"/>
  <c r="A106" i="62"/>
  <c r="A107" i="62"/>
  <c r="A108" i="62"/>
  <c r="A109" i="62"/>
  <c r="A110" i="62"/>
  <c r="A111" i="62"/>
  <c r="A112" i="62"/>
  <c r="A113" i="62"/>
  <c r="A114" i="62"/>
  <c r="A115" i="62"/>
  <c r="A116" i="62"/>
  <c r="A117" i="62"/>
  <c r="A118" i="62"/>
  <c r="A119" i="62"/>
  <c r="A120" i="62"/>
  <c r="A121" i="62"/>
  <c r="A122" i="62"/>
  <c r="A123" i="62"/>
  <c r="A124" i="62"/>
  <c r="A125" i="62"/>
  <c r="A126" i="62"/>
  <c r="A127" i="62"/>
  <c r="A128" i="62"/>
  <c r="A129" i="62"/>
  <c r="A130" i="62"/>
  <c r="A131" i="62"/>
  <c r="A132" i="62"/>
  <c r="A133" i="62"/>
  <c r="A134" i="62"/>
  <c r="A135" i="62"/>
  <c r="A136" i="62"/>
  <c r="A137" i="62"/>
  <c r="A138" i="62"/>
  <c r="A139" i="62"/>
  <c r="A140" i="62"/>
  <c r="A141" i="62"/>
  <c r="A142" i="62"/>
  <c r="A143" i="62"/>
  <c r="A144" i="62"/>
  <c r="A145" i="62"/>
  <c r="A146" i="62"/>
  <c r="A147" i="62"/>
  <c r="A148" i="62"/>
  <c r="A149" i="62"/>
  <c r="A150" i="62"/>
  <c r="A151" i="62"/>
  <c r="A152" i="62"/>
  <c r="A153" i="62"/>
  <c r="A154" i="62"/>
  <c r="A155" i="62"/>
  <c r="A156" i="62"/>
  <c r="A157" i="62"/>
  <c r="A158" i="62"/>
  <c r="A159" i="62"/>
  <c r="A160" i="62"/>
  <c r="A161" i="62"/>
  <c r="A162" i="62"/>
  <c r="A163" i="62"/>
  <c r="A164" i="62"/>
  <c r="A165" i="62"/>
  <c r="A166" i="62"/>
  <c r="A167" i="62"/>
  <c r="A168" i="62"/>
  <c r="A169" i="62"/>
  <c r="A170" i="62"/>
  <c r="A171" i="62"/>
  <c r="A172" i="62"/>
  <c r="A173" i="62"/>
  <c r="A174" i="62"/>
  <c r="A175" i="62"/>
  <c r="A176" i="62"/>
  <c r="A177" i="62"/>
  <c r="A178" i="62"/>
  <c r="A179" i="62"/>
  <c r="A180" i="62"/>
  <c r="A181" i="62"/>
  <c r="A182" i="62"/>
  <c r="A183" i="62"/>
  <c r="A184" i="62"/>
  <c r="A185" i="62"/>
  <c r="A186" i="62"/>
  <c r="A187" i="62"/>
  <c r="A188" i="62"/>
  <c r="A189" i="62"/>
  <c r="A190" i="62"/>
  <c r="A191" i="62"/>
  <c r="A192" i="62"/>
  <c r="A193" i="62"/>
  <c r="A194" i="62"/>
  <c r="A195" i="62"/>
  <c r="A196" i="62"/>
  <c r="A197" i="62"/>
  <c r="A198" i="62"/>
  <c r="A199" i="62"/>
  <c r="A200" i="62"/>
  <c r="A201" i="62"/>
  <c r="A202" i="62"/>
  <c r="A203" i="62"/>
  <c r="A204" i="62"/>
  <c r="A205" i="62"/>
  <c r="A206" i="62"/>
  <c r="A207" i="62"/>
  <c r="A208" i="62"/>
  <c r="A209" i="62"/>
  <c r="A210" i="62"/>
  <c r="A211" i="62"/>
  <c r="A212" i="62"/>
  <c r="A213" i="62"/>
  <c r="A214" i="62"/>
  <c r="A215" i="62"/>
  <c r="A216" i="62"/>
  <c r="A217" i="62"/>
  <c r="A218" i="62"/>
  <c r="A219" i="62"/>
  <c r="A220" i="62"/>
  <c r="A221" i="62"/>
  <c r="A222" i="62"/>
  <c r="A223" i="62"/>
  <c r="A224" i="62"/>
  <c r="A225" i="62"/>
  <c r="A226" i="62"/>
  <c r="A227" i="62"/>
  <c r="A228" i="62"/>
  <c r="A229" i="62"/>
  <c r="A230" i="62"/>
  <c r="A231" i="62"/>
  <c r="A232" i="62"/>
  <c r="A233" i="62"/>
  <c r="A234" i="62"/>
  <c r="A235" i="62"/>
  <c r="A236" i="62"/>
  <c r="A237" i="62"/>
  <c r="A238" i="62"/>
  <c r="A239" i="62"/>
  <c r="A240" i="62"/>
  <c r="A241" i="62"/>
  <c r="A242" i="62"/>
  <c r="A243" i="62"/>
  <c r="A244" i="62"/>
  <c r="A245" i="62"/>
  <c r="A246" i="62"/>
  <c r="A247" i="62"/>
  <c r="A248" i="62"/>
  <c r="A249" i="62"/>
  <c r="A250" i="62"/>
  <c r="A251" i="62"/>
  <c r="A252" i="62"/>
  <c r="A253" i="62"/>
  <c r="A254" i="62"/>
  <c r="A255" i="62"/>
  <c r="A256" i="62"/>
  <c r="A257" i="62"/>
  <c r="A258" i="62"/>
  <c r="A5" i="62"/>
  <c r="A6" i="62"/>
  <c r="A4" i="62"/>
  <c r="A3" i="62"/>
  <c r="A5" i="61"/>
  <c r="A4" i="61"/>
  <c r="O3" i="29" l="1"/>
  <c r="AH3" i="29"/>
  <c r="BF3" i="29"/>
  <c r="AP3" i="29"/>
  <c r="AQ3" i="29"/>
  <c r="V3" i="29"/>
  <c r="P3" i="29"/>
  <c r="AI3" i="29"/>
  <c r="BG3" i="29"/>
  <c r="Q3" i="29"/>
  <c r="AJ3" i="29"/>
  <c r="BH3" i="29"/>
  <c r="AR3" i="29"/>
  <c r="R3" i="29"/>
  <c r="AS3" i="29"/>
  <c r="S3" i="29"/>
  <c r="AT3" i="29"/>
  <c r="AV3" i="29"/>
  <c r="T3" i="29"/>
  <c r="AU3" i="29"/>
  <c r="U3" i="29"/>
  <c r="Y3" i="29"/>
  <c r="AW3" i="29"/>
  <c r="W3" i="29"/>
  <c r="X3" i="29"/>
  <c r="Z3" i="29"/>
  <c r="AX3" i="29"/>
  <c r="AA3" i="29"/>
  <c r="AY3" i="29"/>
  <c r="AB3" i="29"/>
  <c r="AZ3" i="29"/>
  <c r="AK3" i="29"/>
  <c r="AC3" i="29"/>
  <c r="BA3" i="29"/>
  <c r="AL3" i="29"/>
  <c r="AD3" i="29"/>
  <c r="BB3" i="29"/>
  <c r="AE3" i="29"/>
  <c r="BC3" i="29"/>
  <c r="AM3" i="29"/>
  <c r="M3" i="29"/>
  <c r="AF3" i="29"/>
  <c r="BD3" i="29"/>
  <c r="AN3" i="29"/>
  <c r="N3" i="29"/>
  <c r="AG3" i="29"/>
  <c r="BE3" i="29"/>
  <c r="AO3" i="29"/>
  <c r="AH6" i="29"/>
  <c r="BF6" i="29"/>
  <c r="AL6" i="29"/>
  <c r="AI6" i="29"/>
  <c r="BG6" i="29"/>
  <c r="AM6" i="29"/>
  <c r="M6" i="29"/>
  <c r="AJ6" i="29"/>
  <c r="BH6" i="29"/>
  <c r="AN6" i="29"/>
  <c r="AR6" i="29"/>
  <c r="N6" i="29"/>
  <c r="AO6" i="29"/>
  <c r="O6" i="29"/>
  <c r="AP6" i="29"/>
  <c r="P6" i="29"/>
  <c r="AQ6" i="29"/>
  <c r="V6" i="29"/>
  <c r="Q6" i="29"/>
  <c r="R6" i="29"/>
  <c r="Y6" i="29"/>
  <c r="AW6" i="29"/>
  <c r="AS6" i="29"/>
  <c r="W6" i="29"/>
  <c r="X6" i="29"/>
  <c r="S6" i="29"/>
  <c r="Z6" i="29"/>
  <c r="AX6" i="29"/>
  <c r="AT6" i="29"/>
  <c r="T6" i="29"/>
  <c r="AA6" i="29"/>
  <c r="AY6" i="29"/>
  <c r="AU6" i="29"/>
  <c r="U6" i="29"/>
  <c r="AB6" i="29"/>
  <c r="AZ6" i="29"/>
  <c r="AV6" i="29"/>
  <c r="AC6" i="29"/>
  <c r="BA6" i="29"/>
  <c r="AD6" i="29"/>
  <c r="BB6" i="29"/>
  <c r="AE6" i="29"/>
  <c r="BC6" i="29"/>
  <c r="AF6" i="29"/>
  <c r="BD6" i="29"/>
  <c r="AG6" i="29"/>
  <c r="BE6" i="29"/>
  <c r="AK6" i="29"/>
  <c r="T5" i="29"/>
  <c r="AD5" i="29"/>
  <c r="BB5" i="29"/>
  <c r="BH5" i="29"/>
  <c r="U5" i="29"/>
  <c r="AE5" i="29"/>
  <c r="BC5" i="29"/>
  <c r="AF5" i="29"/>
  <c r="BD5" i="29"/>
  <c r="V5" i="29"/>
  <c r="AN5" i="29"/>
  <c r="AG5" i="29"/>
  <c r="BE5" i="29"/>
  <c r="AK5" i="29"/>
  <c r="AH5" i="29"/>
  <c r="BF5" i="29"/>
  <c r="AL5" i="29"/>
  <c r="W5" i="29"/>
  <c r="AI5" i="29"/>
  <c r="BG5" i="29"/>
  <c r="AM5" i="29"/>
  <c r="X5" i="29"/>
  <c r="AJ5" i="29"/>
  <c r="AO5" i="29"/>
  <c r="AP5" i="29"/>
  <c r="M5" i="29"/>
  <c r="AQ5" i="29"/>
  <c r="N5" i="29"/>
  <c r="AR5" i="29"/>
  <c r="O5" i="29"/>
  <c r="Y5" i="29"/>
  <c r="AW5" i="29"/>
  <c r="AS5" i="29"/>
  <c r="P5" i="29"/>
  <c r="Z5" i="29"/>
  <c r="AX5" i="29"/>
  <c r="AT5" i="29"/>
  <c r="Q5" i="29"/>
  <c r="AA5" i="29"/>
  <c r="AY5" i="29"/>
  <c r="AU5" i="29"/>
  <c r="R5" i="29"/>
  <c r="AB5" i="29"/>
  <c r="AZ5" i="29"/>
  <c r="AV5" i="29"/>
  <c r="S5" i="29"/>
  <c r="AC5" i="29"/>
  <c r="BA5" i="29"/>
  <c r="D6" i="29" l="1"/>
  <c r="D5" i="29"/>
  <c r="D3" i="29"/>
  <c r="H73" i="63" a="1"/>
  <c r="H73" i="63" s="1"/>
  <c r="B73" i="63"/>
  <c r="H72" i="63" a="1"/>
  <c r="H72" i="63" s="1"/>
  <c r="B72" i="63"/>
  <c r="L3" i="29" l="1"/>
  <c r="K3" i="29"/>
  <c r="K5" i="29"/>
  <c r="L5" i="29"/>
  <c r="K6" i="29"/>
  <c r="L6" i="29"/>
  <c r="E137" i="73"/>
  <c r="E136" i="73"/>
  <c r="E135" i="73"/>
  <c r="E134" i="73"/>
  <c r="E133" i="73"/>
  <c r="E132" i="73"/>
  <c r="E131" i="73"/>
  <c r="D131" i="73"/>
  <c r="C131" i="73" s="1"/>
  <c r="E130" i="73"/>
  <c r="E129" i="73"/>
  <c r="E128" i="73"/>
  <c r="E127" i="73"/>
  <c r="E126" i="73"/>
  <c r="E125" i="73"/>
  <c r="E124" i="73"/>
  <c r="E123" i="73"/>
  <c r="E122" i="73"/>
  <c r="E121" i="73"/>
  <c r="E120" i="73"/>
  <c r="D119" i="73"/>
  <c r="E119" i="73" s="1"/>
  <c r="E118" i="73"/>
  <c r="E117" i="73"/>
  <c r="E116" i="73"/>
  <c r="E115" i="73"/>
  <c r="E113" i="73"/>
  <c r="E112" i="73"/>
  <c r="E111" i="73"/>
  <c r="E110" i="73"/>
  <c r="E109" i="73"/>
  <c r="E108" i="73"/>
  <c r="E107" i="73"/>
  <c r="E106" i="73"/>
  <c r="D105" i="73"/>
  <c r="C105" i="73" s="1"/>
  <c r="E104" i="73"/>
  <c r="E103" i="73"/>
  <c r="E102" i="73"/>
  <c r="D101" i="73"/>
  <c r="D89" i="73" s="1"/>
  <c r="C89" i="73" s="1"/>
  <c r="E100" i="73"/>
  <c r="E99" i="73"/>
  <c r="E98" i="73"/>
  <c r="E97" i="73"/>
  <c r="E96" i="73"/>
  <c r="E95" i="73"/>
  <c r="E94" i="73"/>
  <c r="E93" i="73"/>
  <c r="E92" i="73"/>
  <c r="E91" i="73"/>
  <c r="E90" i="73"/>
  <c r="E88" i="73"/>
  <c r="E87" i="73"/>
  <c r="E86" i="73"/>
  <c r="E85" i="73"/>
  <c r="E84" i="73"/>
  <c r="E83" i="73"/>
  <c r="E82" i="73"/>
  <c r="E81" i="73"/>
  <c r="E80" i="73"/>
  <c r="E79" i="73"/>
  <c r="E78" i="73"/>
  <c r="E77" i="73"/>
  <c r="E76" i="73"/>
  <c r="E75" i="73"/>
  <c r="E74" i="73"/>
  <c r="E73" i="73"/>
  <c r="D72" i="73"/>
  <c r="C72" i="73" s="1"/>
  <c r="E71" i="73"/>
  <c r="E70" i="73"/>
  <c r="E69" i="73"/>
  <c r="E68" i="73"/>
  <c r="E67" i="73"/>
  <c r="E66" i="73"/>
  <c r="E65" i="73"/>
  <c r="E64" i="73"/>
  <c r="E63" i="73"/>
  <c r="E62" i="73"/>
  <c r="D61" i="73"/>
  <c r="C61" i="73"/>
  <c r="E60" i="73"/>
  <c r="E59" i="73"/>
  <c r="E58" i="73"/>
  <c r="E57" i="73"/>
  <c r="E56" i="73"/>
  <c r="E55" i="73"/>
  <c r="E54" i="73"/>
  <c r="E53" i="73"/>
  <c r="E52" i="73"/>
  <c r="E51" i="73"/>
  <c r="E50" i="73"/>
  <c r="D50" i="73"/>
  <c r="C50" i="73" s="1"/>
  <c r="A23" i="69"/>
  <c r="A22" i="69"/>
  <c r="A21" i="69"/>
  <c r="A20" i="69"/>
  <c r="A19" i="69"/>
  <c r="A18" i="69"/>
  <c r="A17" i="69"/>
  <c r="A16" i="69"/>
  <c r="A15" i="69"/>
  <c r="A14" i="69"/>
  <c r="A13" i="69"/>
  <c r="A12" i="69"/>
  <c r="A11" i="69"/>
  <c r="A10" i="69"/>
  <c r="A9" i="69"/>
  <c r="A8" i="69"/>
  <c r="A7" i="69"/>
  <c r="A6" i="69"/>
  <c r="A5" i="69"/>
  <c r="A4" i="69"/>
  <c r="A3" i="69"/>
  <c r="A2" i="69"/>
  <c r="A51" i="64"/>
  <c r="A50" i="64"/>
  <c r="A49" i="64"/>
  <c r="A48" i="64"/>
  <c r="A47" i="64"/>
  <c r="A46" i="64"/>
  <c r="A45" i="64"/>
  <c r="A44" i="64"/>
  <c r="A43" i="64"/>
  <c r="A42" i="64"/>
  <c r="A41" i="64"/>
  <c r="A40" i="64"/>
  <c r="A39" i="64"/>
  <c r="A38" i="64"/>
  <c r="A37" i="64"/>
  <c r="A36" i="64"/>
  <c r="A35" i="64"/>
  <c r="A34" i="64"/>
  <c r="A33" i="64"/>
  <c r="A32" i="64"/>
  <c r="A31" i="64"/>
  <c r="A30" i="64"/>
  <c r="A29" i="64"/>
  <c r="A28" i="64"/>
  <c r="A27" i="64"/>
  <c r="A26" i="64"/>
  <c r="A25" i="64"/>
  <c r="A24" i="64"/>
  <c r="A23" i="64"/>
  <c r="A22" i="64"/>
  <c r="A21" i="64"/>
  <c r="A20" i="64"/>
  <c r="A19" i="64"/>
  <c r="A18" i="64"/>
  <c r="A17" i="64"/>
  <c r="A16" i="64"/>
  <c r="A15" i="64"/>
  <c r="A14" i="64"/>
  <c r="A13" i="64"/>
  <c r="A12" i="64"/>
  <c r="A11" i="64"/>
  <c r="A10" i="64"/>
  <c r="A9" i="64"/>
  <c r="A8" i="64"/>
  <c r="A7" i="64"/>
  <c r="A6" i="64"/>
  <c r="A5" i="64"/>
  <c r="A4" i="64"/>
  <c r="A3" i="64"/>
  <c r="A2" i="64"/>
  <c r="H98" i="63" a="1"/>
  <c r="H98" i="63" s="1"/>
  <c r="B98" i="63"/>
  <c r="H70" i="63" a="1"/>
  <c r="H70" i="63" s="1"/>
  <c r="B70" i="63"/>
  <c r="H68" i="63" a="1"/>
  <c r="H68" i="63" s="1"/>
  <c r="B68" i="63"/>
  <c r="H67" i="63" a="1"/>
  <c r="H67" i="63" s="1"/>
  <c r="B67" i="63"/>
  <c r="H66" i="63" a="1"/>
  <c r="H66" i="63" s="1"/>
  <c r="B66" i="63"/>
  <c r="H65" i="63" a="1"/>
  <c r="H65" i="63" s="1"/>
  <c r="B65" i="63"/>
  <c r="H64" i="63" a="1"/>
  <c r="H64" i="63" s="1"/>
  <c r="B64" i="63"/>
  <c r="H63" i="63" a="1"/>
  <c r="H63" i="63" s="1"/>
  <c r="B63" i="63"/>
  <c r="H62" i="63" a="1"/>
  <c r="H62" i="63" s="1"/>
  <c r="B62" i="63"/>
  <c r="H61" i="63" a="1"/>
  <c r="H61" i="63" s="1"/>
  <c r="B61" i="63"/>
  <c r="H60" i="63" a="1"/>
  <c r="H60" i="63" s="1"/>
  <c r="B60" i="63"/>
  <c r="H59" i="63" a="1"/>
  <c r="H59" i="63" s="1"/>
  <c r="B59" i="63"/>
  <c r="H58" i="63" a="1"/>
  <c r="H58" i="63" s="1"/>
  <c r="B58" i="63"/>
  <c r="H97" i="63" a="1"/>
  <c r="H97" i="63" s="1"/>
  <c r="H43" i="63" a="1"/>
  <c r="H43" i="63" s="1"/>
  <c r="B43" i="63"/>
  <c r="H55" i="63" a="1"/>
  <c r="H55" i="63" s="1"/>
  <c r="B55" i="63"/>
  <c r="H81" i="63" a="1"/>
  <c r="H81" i="63" s="1"/>
  <c r="B81" i="63"/>
  <c r="H87" i="63" a="1"/>
  <c r="H87" i="63" s="1"/>
  <c r="B87" i="63"/>
  <c r="H52" i="63" a="1"/>
  <c r="H52" i="63" s="1"/>
  <c r="B52" i="63"/>
  <c r="H51" i="63" a="1"/>
  <c r="H51" i="63" s="1"/>
  <c r="B51" i="63"/>
  <c r="H56" i="63" a="1"/>
  <c r="H56" i="63" s="1"/>
  <c r="H90" i="63" a="1"/>
  <c r="H90" i="63" s="1"/>
  <c r="B90" i="63"/>
  <c r="H48" i="63" a="1"/>
  <c r="H48" i="63" s="1"/>
  <c r="B48" i="63"/>
  <c r="H88" i="63" a="1"/>
  <c r="H88" i="63" s="1"/>
  <c r="H47" i="63" a="1"/>
  <c r="H47" i="63" s="1"/>
  <c r="H49" i="63" a="1"/>
  <c r="H49" i="63" s="1"/>
  <c r="H54" i="63" a="1"/>
  <c r="H54" i="63" s="1"/>
  <c r="B54" i="63"/>
  <c r="H53" i="63" a="1"/>
  <c r="H53" i="63" s="1"/>
  <c r="B53" i="63"/>
  <c r="H42" i="63" a="1"/>
  <c r="H42" i="63" s="1"/>
  <c r="B42" i="63"/>
  <c r="H89" i="63" a="1"/>
  <c r="H89" i="63" s="1"/>
  <c r="B89" i="63"/>
  <c r="H40" i="63" a="1"/>
  <c r="H40" i="63" s="1"/>
  <c r="B40" i="63"/>
  <c r="H39" i="63" a="1"/>
  <c r="H39" i="63" s="1"/>
  <c r="B39" i="63"/>
  <c r="H38" i="63" a="1"/>
  <c r="H38" i="63" s="1"/>
  <c r="B38" i="63"/>
  <c r="H37" i="63" a="1"/>
  <c r="H37" i="63" s="1"/>
  <c r="B37" i="63"/>
  <c r="H36" i="63" a="1"/>
  <c r="H36" i="63" s="1"/>
  <c r="B36" i="63"/>
  <c r="H35" i="63" a="1"/>
  <c r="H35" i="63" s="1"/>
  <c r="B35" i="63"/>
  <c r="H34" i="63" a="1"/>
  <c r="H34" i="63" s="1"/>
  <c r="B34" i="63"/>
  <c r="H33" i="63" a="1"/>
  <c r="H33" i="63" s="1"/>
  <c r="B33" i="63"/>
  <c r="H32" i="63" a="1"/>
  <c r="H32" i="63" s="1"/>
  <c r="B32" i="63"/>
  <c r="H31" i="63" a="1"/>
  <c r="H31" i="63" s="1"/>
  <c r="B31" i="63"/>
  <c r="H30" i="63" a="1"/>
  <c r="H30" i="63" s="1"/>
  <c r="B30" i="63"/>
  <c r="H29" i="63" a="1"/>
  <c r="H29" i="63" s="1"/>
  <c r="B29" i="63"/>
  <c r="H28" i="63" a="1"/>
  <c r="H28" i="63" s="1"/>
  <c r="B28" i="63"/>
  <c r="H27" i="63" a="1"/>
  <c r="H27" i="63" s="1"/>
  <c r="B27" i="63"/>
  <c r="H26" i="63" a="1"/>
  <c r="H26" i="63" s="1"/>
  <c r="B26" i="63"/>
  <c r="H25" i="63" a="1"/>
  <c r="H25" i="63" s="1"/>
  <c r="B25" i="63"/>
  <c r="H24" i="63" a="1"/>
  <c r="H24" i="63" s="1"/>
  <c r="B24" i="63"/>
  <c r="H23" i="63" a="1"/>
  <c r="H23" i="63" s="1"/>
  <c r="B23" i="63"/>
  <c r="H22" i="63" a="1"/>
  <c r="H22" i="63" s="1"/>
  <c r="B22" i="63"/>
  <c r="H21" i="63" a="1"/>
  <c r="H21" i="63" s="1"/>
  <c r="B21" i="63"/>
  <c r="H20" i="63" a="1"/>
  <c r="H20" i="63" s="1"/>
  <c r="B20" i="63"/>
  <c r="H19" i="63" a="1"/>
  <c r="H19" i="63" s="1"/>
  <c r="B19" i="63"/>
  <c r="H18" i="63" a="1"/>
  <c r="H18" i="63" s="1"/>
  <c r="B18" i="63"/>
  <c r="H17" i="63" a="1"/>
  <c r="H17" i="63" s="1"/>
  <c r="B17" i="63"/>
  <c r="H16" i="63" a="1"/>
  <c r="H16" i="63" s="1"/>
  <c r="B16" i="63"/>
  <c r="H15" i="63" a="1"/>
  <c r="H15" i="63" s="1"/>
  <c r="B15" i="63"/>
  <c r="H14" i="63" a="1"/>
  <c r="H14" i="63" s="1"/>
  <c r="B14" i="63"/>
  <c r="H13" i="63" a="1"/>
  <c r="H13" i="63" s="1"/>
  <c r="B13" i="63"/>
  <c r="H12" i="63" a="1"/>
  <c r="H12" i="63" s="1"/>
  <c r="B12" i="63"/>
  <c r="H11" i="63" a="1"/>
  <c r="H11" i="63" s="1"/>
  <c r="B11" i="63"/>
  <c r="H10" i="63" a="1"/>
  <c r="H10" i="63" s="1"/>
  <c r="B10" i="63"/>
  <c r="H9" i="63" a="1"/>
  <c r="H9" i="63" s="1"/>
  <c r="B9" i="63"/>
  <c r="H8" i="63" a="1"/>
  <c r="H8" i="63" s="1"/>
  <c r="B8" i="63"/>
  <c r="H7" i="63" a="1"/>
  <c r="H7" i="63" s="1"/>
  <c r="B7" i="63"/>
  <c r="H6" i="63" a="1"/>
  <c r="H6" i="63" s="1"/>
  <c r="B6" i="63"/>
  <c r="H5" i="63" a="1"/>
  <c r="H5" i="63" s="1"/>
  <c r="B5" i="63"/>
  <c r="H4" i="63" a="1"/>
  <c r="H4" i="63" s="1"/>
  <c r="B4" i="63"/>
  <c r="H3" i="63" a="1"/>
  <c r="H3" i="63" s="1"/>
  <c r="H2" i="63" a="1"/>
  <c r="H2" i="63" s="1"/>
  <c r="B2" i="63"/>
  <c r="M293" i="61"/>
  <c r="M292" i="61"/>
  <c r="M291" i="61"/>
  <c r="M290" i="61"/>
  <c r="M289" i="61"/>
  <c r="M288" i="61"/>
  <c r="M287" i="61"/>
  <c r="M286" i="61"/>
  <c r="M285" i="61"/>
  <c r="M284" i="61"/>
  <c r="M283" i="61"/>
  <c r="M282" i="61"/>
  <c r="M281" i="61"/>
  <c r="M280" i="61"/>
  <c r="M279" i="61"/>
  <c r="M278" i="61"/>
  <c r="M277" i="61"/>
  <c r="M276" i="61"/>
  <c r="M275" i="61"/>
  <c r="M274" i="61"/>
  <c r="M273" i="61"/>
  <c r="M272" i="61"/>
  <c r="M271" i="61"/>
  <c r="M270" i="61"/>
  <c r="M269" i="61"/>
  <c r="M268" i="61"/>
  <c r="M267" i="61"/>
  <c r="M266" i="61"/>
  <c r="M265" i="61"/>
  <c r="M264" i="61"/>
  <c r="M263" i="61"/>
  <c r="M262" i="61"/>
  <c r="M261" i="61"/>
  <c r="M260" i="61"/>
  <c r="M259" i="61"/>
  <c r="M258" i="61"/>
  <c r="M257" i="61"/>
  <c r="M256" i="61"/>
  <c r="M255" i="61"/>
  <c r="M254" i="61"/>
  <c r="M253" i="61"/>
  <c r="M252" i="61"/>
  <c r="M251" i="61"/>
  <c r="M250" i="61"/>
  <c r="M249" i="61"/>
  <c r="M248" i="61"/>
  <c r="M247" i="61"/>
  <c r="M246" i="61"/>
  <c r="M245" i="61"/>
  <c r="M244" i="61"/>
  <c r="M243" i="61"/>
  <c r="M242" i="61"/>
  <c r="M241" i="61"/>
  <c r="M240" i="61"/>
  <c r="M239" i="61"/>
  <c r="M238" i="61"/>
  <c r="M237" i="61"/>
  <c r="M236" i="61"/>
  <c r="M235" i="61"/>
  <c r="M234" i="61"/>
  <c r="M233" i="61"/>
  <c r="M232" i="61"/>
  <c r="M231" i="61"/>
  <c r="M230" i="61"/>
  <c r="M229" i="61"/>
  <c r="M228" i="61"/>
  <c r="M227" i="61"/>
  <c r="M226" i="61"/>
  <c r="M225" i="61"/>
  <c r="M224" i="61"/>
  <c r="M223" i="61"/>
  <c r="M222" i="61"/>
  <c r="M221" i="61"/>
  <c r="M220" i="61"/>
  <c r="M219" i="61"/>
  <c r="M218" i="61"/>
  <c r="M217" i="61"/>
  <c r="M216" i="61"/>
  <c r="M215" i="61"/>
  <c r="M214" i="61"/>
  <c r="M213" i="61"/>
  <c r="M212" i="61"/>
  <c r="M211" i="61"/>
  <c r="M210" i="61"/>
  <c r="M209" i="61"/>
  <c r="M208" i="61"/>
  <c r="M207" i="61"/>
  <c r="M206" i="61"/>
  <c r="M205" i="61"/>
  <c r="M204" i="61"/>
  <c r="M203" i="61"/>
  <c r="M202" i="61"/>
  <c r="M201" i="61"/>
  <c r="M200" i="61"/>
  <c r="M199" i="61"/>
  <c r="M198" i="61"/>
  <c r="M197" i="61"/>
  <c r="M196" i="61"/>
  <c r="M195" i="61"/>
  <c r="M194" i="61"/>
  <c r="M193" i="61"/>
  <c r="M192" i="61"/>
  <c r="M191" i="61"/>
  <c r="M190" i="61"/>
  <c r="M189" i="61"/>
  <c r="M188" i="61"/>
  <c r="M187" i="61"/>
  <c r="M186" i="61"/>
  <c r="M185" i="61"/>
  <c r="M184" i="61"/>
  <c r="M183" i="61"/>
  <c r="M182" i="61"/>
  <c r="M181" i="61"/>
  <c r="M180" i="61"/>
  <c r="M179" i="61"/>
  <c r="M178" i="61"/>
  <c r="M177" i="61"/>
  <c r="M176" i="61"/>
  <c r="M175" i="61"/>
  <c r="M174" i="61"/>
  <c r="M173" i="61"/>
  <c r="M172" i="61"/>
  <c r="M171" i="61"/>
  <c r="M170" i="61"/>
  <c r="M169" i="61"/>
  <c r="M168" i="61"/>
  <c r="M167" i="61"/>
  <c r="M166" i="61"/>
  <c r="M165" i="61"/>
  <c r="M164" i="61"/>
  <c r="M163" i="61"/>
  <c r="M162" i="61"/>
  <c r="M161" i="61"/>
  <c r="M160" i="61"/>
  <c r="M159" i="61"/>
  <c r="M158" i="61"/>
  <c r="M157" i="61"/>
  <c r="M156" i="61"/>
  <c r="M155" i="61"/>
  <c r="M154" i="61"/>
  <c r="M153" i="61"/>
  <c r="M152" i="61"/>
  <c r="M151" i="61"/>
  <c r="M150" i="61"/>
  <c r="M149" i="61"/>
  <c r="M148" i="61"/>
  <c r="M147" i="61"/>
  <c r="M146" i="61"/>
  <c r="M145" i="61"/>
  <c r="M144" i="61"/>
  <c r="M143" i="61"/>
  <c r="M142" i="61"/>
  <c r="M141" i="61"/>
  <c r="M140" i="61"/>
  <c r="M139" i="61"/>
  <c r="M138" i="61"/>
  <c r="M137" i="61"/>
  <c r="M136" i="61"/>
  <c r="M135" i="61"/>
  <c r="M134" i="61"/>
  <c r="M133" i="61"/>
  <c r="M132" i="61"/>
  <c r="M131" i="61"/>
  <c r="M130" i="61"/>
  <c r="M129" i="61"/>
  <c r="M128" i="61"/>
  <c r="M127" i="61"/>
  <c r="M126" i="61"/>
  <c r="M125" i="61"/>
  <c r="M124" i="61"/>
  <c r="M123" i="61"/>
  <c r="M122" i="61"/>
  <c r="M121" i="61"/>
  <c r="M120" i="61"/>
  <c r="M119" i="61"/>
  <c r="M118" i="61"/>
  <c r="M117" i="61"/>
  <c r="M116" i="61"/>
  <c r="M115" i="61"/>
  <c r="M114" i="61"/>
  <c r="M113" i="61"/>
  <c r="M112" i="61"/>
  <c r="M111" i="61"/>
  <c r="M110" i="61"/>
  <c r="M109" i="61"/>
  <c r="M108" i="61"/>
  <c r="M107" i="61"/>
  <c r="M106" i="61"/>
  <c r="M105" i="61"/>
  <c r="M104" i="61"/>
  <c r="M103" i="61"/>
  <c r="M102" i="61"/>
  <c r="M101" i="61"/>
  <c r="M100" i="61"/>
  <c r="M99" i="61"/>
  <c r="M98" i="61"/>
  <c r="M97" i="61"/>
  <c r="M96" i="61"/>
  <c r="M95" i="61"/>
  <c r="M94" i="61"/>
  <c r="M93" i="61"/>
  <c r="M92" i="61"/>
  <c r="M91" i="61"/>
  <c r="M90" i="61"/>
  <c r="M89" i="61"/>
  <c r="M88" i="61"/>
  <c r="M87" i="61"/>
  <c r="M86" i="61"/>
  <c r="M85" i="61"/>
  <c r="M84" i="61"/>
  <c r="M83" i="61"/>
  <c r="M82" i="61"/>
  <c r="M81" i="61"/>
  <c r="M80" i="61"/>
  <c r="M79" i="61"/>
  <c r="M78" i="61"/>
  <c r="M77" i="61"/>
  <c r="M76" i="61"/>
  <c r="M75" i="61"/>
  <c r="M74" i="61"/>
  <c r="M73" i="61"/>
  <c r="M72" i="61"/>
  <c r="M71" i="61"/>
  <c r="M70" i="61"/>
  <c r="M69" i="61"/>
  <c r="M68" i="61"/>
  <c r="M67" i="61"/>
  <c r="M66" i="61"/>
  <c r="M65" i="61"/>
  <c r="M64" i="61"/>
  <c r="M63" i="61"/>
  <c r="M62" i="61"/>
  <c r="M61" i="61"/>
  <c r="M60" i="61"/>
  <c r="M59" i="61"/>
  <c r="M58" i="61"/>
  <c r="M57" i="61"/>
  <c r="M56" i="61"/>
  <c r="M55" i="61"/>
  <c r="M54" i="61"/>
  <c r="M53" i="61"/>
  <c r="M52" i="61"/>
  <c r="M51" i="61"/>
  <c r="M50" i="61"/>
  <c r="M49" i="61"/>
  <c r="M48" i="61"/>
  <c r="M47" i="61"/>
  <c r="M46" i="61"/>
  <c r="M45" i="61"/>
  <c r="M44" i="61"/>
  <c r="M43" i="61"/>
  <c r="M42" i="61"/>
  <c r="M41" i="61"/>
  <c r="M40" i="61"/>
  <c r="M39" i="61"/>
  <c r="M38" i="61"/>
  <c r="M37" i="61"/>
  <c r="M36" i="61"/>
  <c r="M35" i="61"/>
  <c r="M34" i="61"/>
  <c r="M33" i="61"/>
  <c r="M32" i="61"/>
  <c r="M31" i="61"/>
  <c r="M30" i="61"/>
  <c r="M29" i="61"/>
  <c r="M28" i="61"/>
  <c r="M27" i="61"/>
  <c r="M26" i="61"/>
  <c r="M25" i="61"/>
  <c r="M24" i="61"/>
  <c r="M23" i="61"/>
  <c r="M22" i="61"/>
  <c r="M21" i="61"/>
  <c r="M20" i="61"/>
  <c r="M19" i="61"/>
  <c r="M18" i="61"/>
  <c r="M17" i="61"/>
  <c r="M16" i="61"/>
  <c r="M15" i="61"/>
  <c r="M14" i="61"/>
  <c r="M13" i="61"/>
  <c r="M12" i="61"/>
  <c r="M11" i="61"/>
  <c r="M10" i="61"/>
  <c r="M9" i="61"/>
  <c r="M8" i="61"/>
  <c r="M7" i="61"/>
  <c r="M6" i="61"/>
  <c r="M5" i="61"/>
  <c r="M4" i="61"/>
  <c r="A9" i="30"/>
  <c r="A11" i="30"/>
  <c r="A14" i="30"/>
  <c r="A10" i="30"/>
  <c r="A6" i="35"/>
  <c r="J12" i="59"/>
  <c r="J9" i="59"/>
  <c r="J8" i="59"/>
  <c r="J7" i="59"/>
  <c r="J6" i="59"/>
  <c r="J5" i="59"/>
  <c r="J4" i="59"/>
  <c r="E25" i="27"/>
  <c r="A13" i="30"/>
  <c r="I6" i="30"/>
  <c r="G6" i="30" s="1"/>
  <c r="I12" i="33"/>
  <c r="A9" i="33"/>
  <c r="E2" i="12"/>
  <c r="E34" i="27"/>
  <c r="E33" i="27"/>
  <c r="E32" i="27"/>
  <c r="E31" i="27"/>
  <c r="E30" i="27"/>
  <c r="E29" i="27"/>
  <c r="E9" i="12"/>
  <c r="E8" i="12"/>
  <c r="E7" i="12"/>
  <c r="E6" i="12"/>
  <c r="E5" i="12"/>
  <c r="E4" i="12"/>
  <c r="E3" i="12"/>
  <c r="H18" i="3"/>
  <c r="A15" i="30"/>
  <c r="I9" i="30"/>
  <c r="J9" i="12"/>
  <c r="F7" i="55" a="1"/>
  <c r="E114" i="73" l="1"/>
  <c r="J11" i="59"/>
  <c r="E72" i="73"/>
  <c r="E89" i="73"/>
  <c r="E105" i="73"/>
  <c r="E61" i="73"/>
  <c r="A101" i="63"/>
  <c r="A100" i="63"/>
  <c r="A75" i="63"/>
  <c r="F6" i="29"/>
  <c r="E6" i="29"/>
  <c r="H6" i="29"/>
  <c r="G6" i="29"/>
  <c r="A44" i="63"/>
  <c r="H3" i="29"/>
  <c r="F3" i="29"/>
  <c r="E3" i="29"/>
  <c r="G3" i="29"/>
  <c r="F3" i="127" s="1"/>
  <c r="E5" i="29"/>
  <c r="F5" i="29"/>
  <c r="H5" i="29"/>
  <c r="G5" i="29"/>
  <c r="A86" i="63"/>
  <c r="A96" i="63"/>
  <c r="A95" i="63"/>
  <c r="A94" i="63"/>
  <c r="A41" i="63"/>
  <c r="A92" i="63"/>
  <c r="A91" i="63"/>
  <c r="A71" i="63"/>
  <c r="A57" i="63"/>
  <c r="A46" i="63"/>
  <c r="A93" i="63"/>
  <c r="A83" i="63"/>
  <c r="A49" i="63"/>
  <c r="F7" i="55"/>
  <c r="A99" i="63"/>
  <c r="A45" i="63"/>
  <c r="A84" i="63"/>
  <c r="A85" i="63"/>
  <c r="A82" i="63"/>
  <c r="A80" i="63"/>
  <c r="A79" i="63"/>
  <c r="A78" i="63"/>
  <c r="A69" i="63"/>
  <c r="A68" i="63"/>
  <c r="A77" i="63"/>
  <c r="A76" i="63"/>
  <c r="A50" i="63"/>
  <c r="A47" i="63"/>
  <c r="A74" i="63"/>
  <c r="A2" i="63"/>
  <c r="A3" i="63"/>
  <c r="A7" i="63"/>
  <c r="A15" i="63"/>
  <c r="A6" i="63"/>
  <c r="A14" i="63"/>
  <c r="A22" i="63"/>
  <c r="A30" i="63"/>
  <c r="A38" i="63"/>
  <c r="A81" i="63"/>
  <c r="A62" i="63"/>
  <c r="A98" i="63"/>
  <c r="A9" i="63"/>
  <c r="A17" i="63"/>
  <c r="A25" i="63"/>
  <c r="A33" i="63"/>
  <c r="A89" i="63"/>
  <c r="A90" i="63"/>
  <c r="A97" i="63"/>
  <c r="A65" i="63"/>
  <c r="A23" i="63"/>
  <c r="A31" i="63"/>
  <c r="A88" i="63"/>
  <c r="A63" i="63"/>
  <c r="A8" i="63"/>
  <c r="A32" i="63"/>
  <c r="A64" i="63"/>
  <c r="A39" i="63"/>
  <c r="A16" i="63"/>
  <c r="A24" i="63"/>
  <c r="A40" i="63"/>
  <c r="A48" i="63"/>
  <c r="A43" i="63"/>
  <c r="A10" i="63"/>
  <c r="A18" i="63"/>
  <c r="A26" i="63"/>
  <c r="A34" i="63"/>
  <c r="A42" i="63"/>
  <c r="A56" i="63"/>
  <c r="A58" i="63"/>
  <c r="A66" i="63"/>
  <c r="A55" i="63"/>
  <c r="A11" i="63"/>
  <c r="A19" i="63"/>
  <c r="A27" i="63"/>
  <c r="A35" i="63"/>
  <c r="A53" i="63"/>
  <c r="A51" i="63"/>
  <c r="A59" i="63"/>
  <c r="A67" i="63"/>
  <c r="A4" i="63"/>
  <c r="A12" i="63"/>
  <c r="A20" i="63"/>
  <c r="A28" i="63"/>
  <c r="A36" i="63"/>
  <c r="A54" i="63"/>
  <c r="A52" i="63"/>
  <c r="A60" i="63"/>
  <c r="A5" i="63"/>
  <c r="A13" i="63"/>
  <c r="A21" i="63"/>
  <c r="A29" i="63"/>
  <c r="A37" i="63"/>
  <c r="A87" i="63"/>
  <c r="A61" i="63"/>
  <c r="A70" i="63"/>
  <c r="A73" i="63"/>
  <c r="A72" i="63"/>
  <c r="E138" i="73"/>
  <c r="E101" i="73"/>
  <c r="D114" i="73"/>
  <c r="C114" i="73" s="1"/>
  <c r="K4" i="59"/>
  <c r="E14" i="31"/>
  <c r="G7" i="55" a="1"/>
  <c r="E7" i="55" a="1"/>
  <c r="G3" i="127" l="1"/>
  <c r="G5" i="127"/>
  <c r="G6" i="127"/>
  <c r="G7" i="55"/>
  <c r="E7" i="55"/>
  <c r="J13" i="59"/>
  <c r="D138" i="73"/>
  <c r="J14" i="59" a="1"/>
  <c r="J14" i="59" s="1"/>
  <c r="I12" i="36"/>
  <c r="I10" i="30"/>
  <c r="G10" i="30" s="1"/>
  <c r="I8" i="30"/>
  <c r="G9" i="30" s="1"/>
  <c r="I7" i="30"/>
  <c r="G7" i="30" s="1"/>
  <c r="I5" i="30"/>
  <c r="I9" i="31"/>
  <c r="I10" i="31"/>
  <c r="I10" i="36"/>
  <c r="G3" i="30"/>
  <c r="G4" i="30"/>
  <c r="E4" i="30"/>
  <c r="E3" i="30"/>
  <c r="A12" i="30"/>
  <c r="A6" i="30"/>
  <c r="A7" i="30"/>
  <c r="A8" i="30"/>
  <c r="E7" i="127" l="1"/>
  <c r="I7" i="127" s="1" a="1"/>
  <c r="I7" i="127" s="1"/>
  <c r="I11" i="30"/>
  <c r="J5" i="30"/>
  <c r="G8" i="30"/>
  <c r="I12" i="30"/>
  <c r="A11" i="33"/>
  <c r="A8" i="33"/>
  <c r="A10" i="33"/>
  <c r="A7" i="33"/>
  <c r="I13" i="30" l="1"/>
  <c r="K7" i="127"/>
  <c r="J7" i="127"/>
  <c r="G11" i="30"/>
  <c r="G5" i="30"/>
  <c r="I14" i="30" a="1"/>
  <c r="I14" i="30" s="1"/>
  <c r="G14" i="30" l="1"/>
  <c r="J4" i="2"/>
  <c r="J5" i="2"/>
  <c r="J6" i="2"/>
  <c r="J7" i="2"/>
  <c r="J8" i="2"/>
  <c r="J9" i="2"/>
  <c r="I105" i="3"/>
  <c r="J11" i="2" l="1"/>
  <c r="K4" i="2"/>
  <c r="G4" i="55" a="1"/>
  <c r="E4" i="55" a="1"/>
  <c r="G4" i="55" l="1"/>
  <c r="E4" i="55"/>
  <c r="J14" i="2" a="1"/>
  <c r="J14" i="2" s="1"/>
  <c r="E4" i="127" l="1"/>
  <c r="I4" i="127" s="1" a="1"/>
  <c r="I4" i="127" s="1"/>
  <c r="A4" i="31"/>
  <c r="A5" i="31"/>
  <c r="A6" i="31"/>
  <c r="A7" i="31"/>
  <c r="A8" i="31"/>
  <c r="A9" i="31"/>
  <c r="A10" i="31"/>
  <c r="A11" i="31"/>
  <c r="A12" i="31"/>
  <c r="A13" i="31"/>
  <c r="A14" i="31"/>
  <c r="A15" i="31"/>
  <c r="A3" i="31"/>
  <c r="A4" i="32"/>
  <c r="A5" i="32"/>
  <c r="A3" i="32"/>
  <c r="A4" i="33"/>
  <c r="A5" i="33"/>
  <c r="A6" i="33"/>
  <c r="A3" i="33"/>
  <c r="A4" i="34"/>
  <c r="A6" i="34"/>
  <c r="A3" i="34"/>
  <c r="A4" i="35"/>
  <c r="A5" i="35"/>
  <c r="A7" i="35"/>
  <c r="A8" i="35"/>
  <c r="A3" i="35"/>
  <c r="A3" i="36"/>
  <c r="A4" i="30"/>
  <c r="A5" i="30"/>
  <c r="A3" i="30"/>
  <c r="K4" i="127" l="1"/>
  <c r="J4" i="127"/>
  <c r="H33" i="3"/>
  <c r="E234" i="3" l="1"/>
  <c r="F234" i="3"/>
  <c r="G234" i="3"/>
  <c r="D234" i="3"/>
  <c r="I225" i="3" s="1"/>
  <c r="H225" i="3"/>
  <c r="H226" i="3"/>
  <c r="H227" i="3"/>
  <c r="H228" i="3"/>
  <c r="H229" i="3"/>
  <c r="H230" i="3"/>
  <c r="H231" i="3"/>
  <c r="H232" i="3"/>
  <c r="H233" i="3"/>
  <c r="H235" i="3"/>
  <c r="H236" i="3"/>
  <c r="H237" i="3"/>
  <c r="H238" i="3"/>
  <c r="H239" i="3"/>
  <c r="H240" i="3"/>
  <c r="J225" i="3" l="1"/>
  <c r="H222" i="3" l="1"/>
  <c r="H221" i="3"/>
  <c r="H220" i="3"/>
  <c r="H219" i="3"/>
  <c r="H218" i="3"/>
  <c r="H216" i="3"/>
  <c r="H215" i="3"/>
  <c r="H214" i="3"/>
  <c r="H213" i="3"/>
  <c r="H212" i="3"/>
  <c r="H211" i="3"/>
  <c r="H210" i="3"/>
  <c r="H209" i="3"/>
  <c r="I208" i="3"/>
  <c r="H208" i="3"/>
  <c r="H206" i="3"/>
  <c r="I9" i="36"/>
  <c r="I8" i="36"/>
  <c r="I7" i="36"/>
  <c r="I6" i="36"/>
  <c r="I5" i="36"/>
  <c r="E179" i="3"/>
  <c r="F179" i="3"/>
  <c r="G179" i="3"/>
  <c r="H179" i="3" s="1"/>
  <c r="D179" i="3"/>
  <c r="I174" i="3" s="1"/>
  <c r="I12" i="35"/>
  <c r="I10" i="35"/>
  <c r="I9" i="35"/>
  <c r="I8" i="35"/>
  <c r="I7" i="35"/>
  <c r="I6" i="35"/>
  <c r="I5" i="35"/>
  <c r="I12" i="34"/>
  <c r="I10" i="34"/>
  <c r="I9" i="34"/>
  <c r="I8" i="34"/>
  <c r="I7" i="34"/>
  <c r="I6" i="34"/>
  <c r="I5" i="34"/>
  <c r="F146" i="3"/>
  <c r="E144" i="3"/>
  <c r="F144" i="3"/>
  <c r="G144" i="3"/>
  <c r="H144" i="3" s="1"/>
  <c r="D144" i="3"/>
  <c r="D148" i="3" s="1"/>
  <c r="D146" i="3"/>
  <c r="I10" i="33"/>
  <c r="I9" i="33"/>
  <c r="I8" i="33"/>
  <c r="I7" i="33"/>
  <c r="I6" i="33"/>
  <c r="I5" i="33"/>
  <c r="H205" i="3"/>
  <c r="H204" i="3"/>
  <c r="H203" i="3"/>
  <c r="H202" i="3"/>
  <c r="H201" i="3"/>
  <c r="H199" i="3"/>
  <c r="H198" i="3"/>
  <c r="H197" i="3"/>
  <c r="H196" i="3"/>
  <c r="H195" i="3"/>
  <c r="H194" i="3"/>
  <c r="H193" i="3"/>
  <c r="H192" i="3"/>
  <c r="I191" i="3"/>
  <c r="H191" i="3"/>
  <c r="H189" i="3"/>
  <c r="H188" i="3"/>
  <c r="H187" i="3"/>
  <c r="H186" i="3"/>
  <c r="H185" i="3"/>
  <c r="H184" i="3"/>
  <c r="H182" i="3"/>
  <c r="H181" i="3"/>
  <c r="H180" i="3"/>
  <c r="H178" i="3"/>
  <c r="H177" i="3"/>
  <c r="H176" i="3"/>
  <c r="H175" i="3"/>
  <c r="H174" i="3"/>
  <c r="H172" i="3"/>
  <c r="H171" i="3"/>
  <c r="H170" i="3"/>
  <c r="H169" i="3"/>
  <c r="H168" i="3"/>
  <c r="H167" i="3"/>
  <c r="H165" i="3"/>
  <c r="H164" i="3"/>
  <c r="H163" i="3"/>
  <c r="H162" i="3"/>
  <c r="H161" i="3"/>
  <c r="H160" i="3"/>
  <c r="H159" i="3"/>
  <c r="H158" i="3"/>
  <c r="I157" i="3"/>
  <c r="H157" i="3"/>
  <c r="H155" i="3"/>
  <c r="H154" i="3"/>
  <c r="H153" i="3"/>
  <c r="H152" i="3"/>
  <c r="H150" i="3"/>
  <c r="H148" i="3"/>
  <c r="H147" i="3"/>
  <c r="H146" i="3"/>
  <c r="H145" i="3"/>
  <c r="H143" i="3"/>
  <c r="H142" i="3"/>
  <c r="H141" i="3"/>
  <c r="H140" i="3"/>
  <c r="H135" i="3"/>
  <c r="H136" i="3"/>
  <c r="H137" i="3"/>
  <c r="H128" i="3"/>
  <c r="H138" i="3"/>
  <c r="H134" i="3"/>
  <c r="H133" i="3"/>
  <c r="H132" i="3"/>
  <c r="H131" i="3"/>
  <c r="H130" i="3"/>
  <c r="H129" i="3"/>
  <c r="H127" i="3"/>
  <c r="H126" i="3"/>
  <c r="H125" i="3"/>
  <c r="H124" i="3"/>
  <c r="I123" i="3"/>
  <c r="H123" i="3"/>
  <c r="I10" i="32"/>
  <c r="I9" i="32"/>
  <c r="I8" i="32"/>
  <c r="I7" i="32"/>
  <c r="I6" i="32"/>
  <c r="I5" i="32"/>
  <c r="E5" i="32"/>
  <c r="E4" i="32"/>
  <c r="E3" i="32"/>
  <c r="I5" i="31"/>
  <c r="I8" i="31"/>
  <c r="I7" i="31"/>
  <c r="I6" i="31"/>
  <c r="J4" i="27"/>
  <c r="E5" i="31"/>
  <c r="E6" i="31"/>
  <c r="E7" i="31"/>
  <c r="E8" i="31"/>
  <c r="E9" i="31"/>
  <c r="E10" i="31"/>
  <c r="E11" i="31"/>
  <c r="E4" i="31"/>
  <c r="E3" i="31"/>
  <c r="H86" i="3"/>
  <c r="H85" i="3"/>
  <c r="H84" i="3"/>
  <c r="H83" i="3"/>
  <c r="H82" i="3"/>
  <c r="H81" i="3"/>
  <c r="H80" i="3"/>
  <c r="H79" i="3"/>
  <c r="H78" i="3"/>
  <c r="H77" i="3"/>
  <c r="H76" i="3"/>
  <c r="H75" i="3"/>
  <c r="H74" i="3"/>
  <c r="H72" i="3"/>
  <c r="H71" i="3"/>
  <c r="H95" i="3"/>
  <c r="H93" i="3"/>
  <c r="E3" i="6"/>
  <c r="E4" i="6"/>
  <c r="E5" i="6"/>
  <c r="E6" i="6"/>
  <c r="E7" i="6"/>
  <c r="E8" i="6"/>
  <c r="E9" i="6"/>
  <c r="E10" i="6"/>
  <c r="E11" i="6"/>
  <c r="E2" i="6"/>
  <c r="I12" i="31" l="1"/>
  <c r="I11" i="31"/>
  <c r="I11" i="36"/>
  <c r="I13" i="36" s="1"/>
  <c r="J12" i="6"/>
  <c r="I12" i="32"/>
  <c r="I14" i="36" a="1"/>
  <c r="I14" i="36" s="1"/>
  <c r="J5" i="36"/>
  <c r="J5" i="31"/>
  <c r="I11" i="35"/>
  <c r="I14" i="35" s="1" a="1"/>
  <c r="I14" i="35" s="1"/>
  <c r="J5" i="35"/>
  <c r="I11" i="33"/>
  <c r="I16" i="33" s="1" a="1"/>
  <c r="I16" i="33" s="1"/>
  <c r="J5" i="33"/>
  <c r="I11" i="32"/>
  <c r="I14" i="32" s="1" a="1"/>
  <c r="I14" i="32" s="1"/>
  <c r="J5" i="32"/>
  <c r="I11" i="34"/>
  <c r="I13" i="34" s="1"/>
  <c r="H166" i="3" s="1"/>
  <c r="J157" i="3" s="1"/>
  <c r="J5" i="34"/>
  <c r="I140" i="3"/>
  <c r="J208" i="3"/>
  <c r="J123" i="3"/>
  <c r="F3" i="55" a="1"/>
  <c r="F3" i="55" l="1"/>
  <c r="I14" i="34" a="1"/>
  <c r="I14" i="34" s="1"/>
  <c r="I13" i="31"/>
  <c r="I14" i="31" a="1"/>
  <c r="I14" i="31" s="1"/>
  <c r="I13" i="35"/>
  <c r="I14" i="33"/>
  <c r="I13" i="32"/>
  <c r="J9" i="27"/>
  <c r="J8" i="27"/>
  <c r="J7" i="27"/>
  <c r="J6" i="27"/>
  <c r="J5" i="27"/>
  <c r="J11" i="27" s="1"/>
  <c r="E6" i="55" a="1"/>
  <c r="E6" i="55" l="1"/>
  <c r="J12" i="27"/>
  <c r="H200" i="3"/>
  <c r="J191" i="3" s="1"/>
  <c r="H97" i="3"/>
  <c r="H183" i="3"/>
  <c r="J174" i="3" s="1"/>
  <c r="H149" i="3"/>
  <c r="J140" i="3" s="1"/>
  <c r="K4" i="27"/>
  <c r="F6" i="55" a="1"/>
  <c r="G6" i="55" a="1"/>
  <c r="G6" i="55" l="1"/>
  <c r="E6" i="127" s="1"/>
  <c r="I6" i="127" s="1" a="1"/>
  <c r="I6" i="127" s="1"/>
  <c r="F6" i="55"/>
  <c r="J13" i="27"/>
  <c r="J14" i="27" a="1"/>
  <c r="J14" i="27" s="1"/>
  <c r="J8" i="12"/>
  <c r="J7" i="12"/>
  <c r="J6" i="12"/>
  <c r="J5" i="12"/>
  <c r="J4" i="12"/>
  <c r="J9" i="6"/>
  <c r="J8" i="6"/>
  <c r="J7" i="6"/>
  <c r="J6" i="6"/>
  <c r="J5" i="6"/>
  <c r="J4" i="6"/>
  <c r="J11" i="6" s="1"/>
  <c r="E2" i="2"/>
  <c r="J5" i="4"/>
  <c r="J6" i="4"/>
  <c r="J7" i="4"/>
  <c r="J8" i="4"/>
  <c r="J9" i="4"/>
  <c r="J4" i="4"/>
  <c r="E3" i="55" a="1"/>
  <c r="E3" i="55" l="1"/>
  <c r="K6" i="127"/>
  <c r="J6" i="127"/>
  <c r="J11" i="12"/>
  <c r="J12" i="4"/>
  <c r="J12" i="12"/>
  <c r="K4" i="12"/>
  <c r="K4" i="6"/>
  <c r="J12" i="2"/>
  <c r="J11" i="4"/>
  <c r="K4" i="4"/>
  <c r="F5" i="55" a="1"/>
  <c r="G5" i="55" a="1"/>
  <c r="E5" i="55" a="1"/>
  <c r="F4" i="55" a="1"/>
  <c r="G3" i="55" a="1"/>
  <c r="G3" i="55" l="1"/>
  <c r="E3" i="127" s="1"/>
  <c r="I3" i="127" s="1" a="1"/>
  <c r="I3" i="127" s="1"/>
  <c r="G5" i="55"/>
  <c r="F5" i="55"/>
  <c r="E5" i="55"/>
  <c r="F4" i="55"/>
  <c r="J13" i="2"/>
  <c r="J14" i="12" a="1"/>
  <c r="J14" i="12" s="1"/>
  <c r="J13" i="12"/>
  <c r="J13" i="6"/>
  <c r="J14" i="6" a="1"/>
  <c r="J14" i="6" s="1"/>
  <c r="J13" i="4"/>
  <c r="J14" i="4" a="1"/>
  <c r="J14" i="4" s="1"/>
  <c r="I88" i="3"/>
  <c r="H89" i="3"/>
  <c r="H90" i="3"/>
  <c r="H91" i="3"/>
  <c r="H92" i="3"/>
  <c r="H94" i="3"/>
  <c r="H96" i="3"/>
  <c r="H98" i="3"/>
  <c r="H100" i="3"/>
  <c r="H101" i="3"/>
  <c r="H102" i="3"/>
  <c r="H103" i="3"/>
  <c r="H88" i="3"/>
  <c r="E5" i="127" l="1"/>
  <c r="I5" i="127" s="1" a="1"/>
  <c r="I5" i="127" s="1"/>
  <c r="K3" i="127"/>
  <c r="J3" i="127"/>
  <c r="J88" i="3"/>
  <c r="H20" i="3"/>
  <c r="K5" i="127" l="1"/>
  <c r="J5" i="127"/>
  <c r="I71" i="3"/>
  <c r="H113" i="3" l="1"/>
  <c r="H114" i="3"/>
  <c r="H115" i="3"/>
  <c r="H116" i="3"/>
  <c r="H117" i="3"/>
  <c r="H118" i="3"/>
  <c r="H119" i="3"/>
  <c r="H120" i="3"/>
  <c r="H106" i="3"/>
  <c r="H107" i="3"/>
  <c r="H108" i="3"/>
  <c r="H109" i="3"/>
  <c r="H110" i="3"/>
  <c r="H111" i="3"/>
  <c r="H112" i="3"/>
  <c r="H105" i="3"/>
  <c r="H73" i="3"/>
  <c r="H55" i="3"/>
  <c r="H56" i="3"/>
  <c r="H57" i="3"/>
  <c r="H58" i="3"/>
  <c r="H59" i="3"/>
  <c r="H60" i="3"/>
  <c r="H61" i="3"/>
  <c r="H62" i="3"/>
  <c r="H65" i="3"/>
  <c r="H66" i="3"/>
  <c r="H67" i="3"/>
  <c r="H68" i="3"/>
  <c r="H69" i="3"/>
  <c r="H54" i="3"/>
  <c r="H47" i="3"/>
  <c r="H48" i="3"/>
  <c r="H49" i="3"/>
  <c r="H50" i="3"/>
  <c r="H51" i="3"/>
  <c r="H52" i="3"/>
  <c r="H38" i="3"/>
  <c r="H39" i="3"/>
  <c r="H40" i="3"/>
  <c r="H41" i="3"/>
  <c r="H42" i="3"/>
  <c r="H43" i="3"/>
  <c r="H44" i="3"/>
  <c r="H45" i="3"/>
  <c r="H46" i="3"/>
  <c r="H37" i="3"/>
  <c r="H30" i="3"/>
  <c r="H31" i="3"/>
  <c r="H32" i="3"/>
  <c r="H34" i="3"/>
  <c r="H35" i="3"/>
  <c r="H21" i="3"/>
  <c r="H22" i="3"/>
  <c r="H23" i="3"/>
  <c r="H24" i="3"/>
  <c r="H25" i="3"/>
  <c r="H26" i="3"/>
  <c r="H27" i="3"/>
  <c r="H28" i="3"/>
  <c r="H29" i="3"/>
  <c r="H13" i="3"/>
  <c r="H14" i="3"/>
  <c r="H15" i="3"/>
  <c r="H16" i="3"/>
  <c r="H17" i="3"/>
  <c r="H4" i="3"/>
  <c r="H5" i="3"/>
  <c r="H6" i="3"/>
  <c r="H7" i="3"/>
  <c r="H8" i="3"/>
  <c r="H9" i="3"/>
  <c r="H10" i="3"/>
  <c r="H11" i="3"/>
  <c r="H12" i="3"/>
  <c r="I54" i="3"/>
  <c r="I37" i="3"/>
  <c r="H3" i="3"/>
  <c r="I20" i="3"/>
  <c r="I3" i="3"/>
  <c r="J105" i="3" l="1"/>
  <c r="J71" i="3"/>
  <c r="J54" i="3"/>
  <c r="J37" i="3" l="1"/>
  <c r="J20" i="3"/>
  <c r="J3" i="3"/>
  <c r="I2" i="110" l="1"/>
  <c r="AC2" i="29"/>
  <c r="D2" i="55"/>
  <c r="BE2" i="110"/>
  <c r="AR2" i="110"/>
  <c r="AP2" i="110"/>
  <c r="V2" i="110"/>
  <c r="AB2" i="110"/>
  <c r="AD2" i="110"/>
  <c r="AW2" i="110"/>
  <c r="AG2" i="110"/>
  <c r="N2" i="110"/>
  <c r="BH2" i="29"/>
  <c r="AR2" i="29"/>
  <c r="AS2" i="29"/>
  <c r="W2" i="110"/>
  <c r="O2" i="110"/>
  <c r="F2" i="110"/>
  <c r="AQ2" i="29"/>
  <c r="BH2" i="110"/>
  <c r="AA2" i="110"/>
  <c r="X2" i="110"/>
  <c r="H2" i="29"/>
  <c r="AO2" i="110"/>
  <c r="AK2" i="110"/>
  <c r="E2" i="29"/>
  <c r="AD2" i="29"/>
  <c r="AN2" i="110"/>
  <c r="H2" i="110"/>
  <c r="P2" i="29"/>
  <c r="AJ2" i="110"/>
  <c r="E2" i="110"/>
  <c r="AG2" i="29"/>
  <c r="AC2" i="110"/>
  <c r="AF2" i="110"/>
  <c r="AH2" i="29"/>
  <c r="AM2" i="110"/>
  <c r="T2" i="29"/>
  <c r="AU2" i="110"/>
  <c r="U2" i="29"/>
  <c r="BG2" i="110"/>
  <c r="BB2" i="29"/>
  <c r="W2" i="29"/>
  <c r="G2" i="110"/>
  <c r="AE2" i="110"/>
  <c r="BA2" i="29"/>
  <c r="BD2" i="110"/>
  <c r="BA2" i="110"/>
  <c r="BF2" i="110"/>
  <c r="AY2" i="29"/>
  <c r="T2" i="110"/>
  <c r="R2" i="110"/>
  <c r="BD2" i="29"/>
  <c r="J2" i="110"/>
  <c r="AZ2" i="29"/>
  <c r="BG2" i="29"/>
  <c r="AL2" i="29"/>
  <c r="AB2" i="29"/>
  <c r="Q2" i="29"/>
  <c r="V2" i="29"/>
  <c r="I2" i="29"/>
  <c r="AU2" i="29"/>
  <c r="AX2" i="29"/>
  <c r="AT2" i="29"/>
  <c r="N2" i="29"/>
  <c r="R2" i="29"/>
  <c r="X2" i="29"/>
  <c r="AZ2" i="110"/>
  <c r="AX2" i="110"/>
  <c r="AQ2" i="110"/>
  <c r="AH2" i="110"/>
  <c r="BB2" i="110"/>
  <c r="Y2" i="110"/>
  <c r="J2" i="29"/>
  <c r="AW2" i="29"/>
  <c r="AM2" i="29"/>
  <c r="Y2" i="29"/>
  <c r="AE2" i="29"/>
  <c r="AI2" i="29"/>
  <c r="Z2" i="29"/>
  <c r="AS2" i="110"/>
  <c r="AT2" i="110"/>
  <c r="BC2" i="110"/>
  <c r="S2" i="110"/>
  <c r="U2" i="110"/>
  <c r="Z2" i="110"/>
  <c r="AL2" i="110"/>
  <c r="M2" i="29"/>
  <c r="AV2" i="29"/>
  <c r="BE2" i="29"/>
  <c r="AN2" i="29"/>
  <c r="AO2" i="29"/>
  <c r="O2" i="29"/>
  <c r="S2" i="29"/>
  <c r="AA2" i="29"/>
  <c r="P2" i="110"/>
  <c r="AY2" i="110"/>
  <c r="AI2" i="110"/>
  <c r="AV2" i="110"/>
  <c r="Q2" i="110"/>
  <c r="M2" i="110"/>
  <c r="BC2" i="29"/>
  <c r="BF2" i="29"/>
  <c r="AP2" i="29"/>
  <c r="G2" i="29"/>
  <c r="AF2" i="29"/>
  <c r="AJ2" i="29"/>
  <c r="F2" i="29"/>
  <c r="AK2" i="29"/>
  <c r="G2" i="55" a="1"/>
  <c r="E2" i="55" a="1"/>
  <c r="F2" i="55" a="1"/>
  <c r="E2" i="55" l="1"/>
  <c r="G2" i="55"/>
  <c r="F2" i="55"/>
  <c r="D2" i="110"/>
  <c r="L2" i="110" s="1"/>
  <c r="D2" i="29"/>
  <c r="E2" i="127" l="1"/>
  <c r="G2" i="127"/>
  <c r="F2" i="127"/>
  <c r="K2" i="110"/>
  <c r="K2" i="29"/>
  <c r="L2" i="29"/>
  <c r="I2" i="127" l="1" a="1"/>
  <c r="I2" i="127" s="1"/>
  <c r="J2" i="127" s="1"/>
  <c r="K2" i="1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tc={389F8A0B-2052-4A74-872B-936DD4CDEB74}</author>
    <author>Daniel Huang</author>
    <author>tc={2961CB90-BF40-446E-A4C8-8F5A99DFB33B}</author>
    <author>tc={748CEF61-32F4-4CC7-8340-F9DD15B82657}</author>
    <author>tc={93F73951-112C-49A6-A6CF-73EA5EEB5997}</author>
    <author>tc={CCECF96D-3257-4195-BED5-96730B774A5A}</author>
    <author>tc={F0B8A412-F196-423F-BE36-378284D7D806}</author>
    <author>tc={092DBE51-0C62-4666-9DAF-49953E976508}</author>
    <author>tc={1A23714C-AF70-44CD-B136-9BB186B04551}</author>
    <author>tc={4A9BA7C8-B4B7-4B30-BBBB-60DB8AF9CFCD}</author>
    <author>tc={6E81D8C7-0BDB-455C-B9BF-113C449A5113}</author>
    <author>tc={3E803C89-6ADA-4D8C-9B1F-E1671E6FF1D5}</author>
    <author>tc={36EED885-1242-43CD-AB6C-07ECC8A7F05E}</author>
    <author>tc={F56801E7-BADD-4129-BAB5-ACF6E67D6013}</author>
    <author>tc={A0CB03A9-801F-494D-9076-4E93DADBE7EF}</author>
    <author>tc={C72292CA-DA8D-49BB-A8E3-75E00A0C2B00}</author>
    <author>tc={6E85B919-A602-400D-920B-7D4EDCBB2BC9}</author>
    <author>tc={E3BD7C09-D1C8-4CFB-A637-9896B9DCD569}</author>
    <author>tc={B3D47531-DFE4-4C79-8EDB-BE2A1DBBB414}</author>
    <author>tc={FF27CDF5-F6E7-4393-A107-942554531E16}</author>
    <author>tc={F12FDC36-2AE2-4278-B1BF-82195276C4A7}</author>
    <author>tc={91D204FB-F6FD-48D7-B49D-47CE0192813B}</author>
    <author>tc={6B6F2F63-F3F4-4C3B-9C9F-3BBB0F3652A6}</author>
    <author>tc={26311C73-7C16-419B-BD95-4B241B62D2AD}</author>
    <author>tc={B3C5F242-90DE-45AE-9382-E188FFBF0459}</author>
    <author>tc={212CC280-290F-4539-B0EE-298F8A61E634}</author>
    <author>tc={C80535BC-E289-4FFD-88C4-08A9E3DCDB8C}</author>
    <author>tc={317ACADA-6B01-42F5-AA66-C033AD7231D2}</author>
    <author>tc={808BDE07-C7C1-4975-9961-EC2705F9DBD9}</author>
    <author>tc={7B2BF328-A076-4418-8256-724C6E30AE22}</author>
    <author>tc={16B6CC7C-E58B-49B0-B65B-D728757AE426}</author>
    <author>tc={0572C02E-ADBE-4701-9CB0-962106E493AC}</author>
    <author>tc={9E543F91-364E-4DC8-B042-60E9A3DFB228}</author>
    <author>tc={B85AFF3B-DE36-4E61-8EAE-AF60BFBCD3DF}</author>
    <author>tc={B8D6865C-EC7C-443F-9550-F62B5DA789F4}</author>
    <author>tc={7E309F54-136D-4841-AC9E-5C35AF97FB83}</author>
    <author>tc={5BA521C4-514C-4212-8004-E411801DBD8D}</author>
    <author>tc={462BD1B8-A547-4E36-B878-80C31103DBEA}</author>
    <author>tc={633DEDCD-C9ED-4FA6-81AE-F5D5041BA2E3}</author>
    <author>tc={83F1E46F-278B-4E1C-B129-9D9DEEBDB602}</author>
    <author>tc={F78AAF5D-5EF6-490E-8E67-DE269BAA42D4}</author>
    <author>tc={24FB2523-2F85-48B4-9F54-95C1523D4A18}</author>
    <author>tc={969B7341-EAD1-41FF-AD26-FE9EE8BC13D2}</author>
    <author>tc={26EBFB00-8053-47CD-B7F2-BA1373627B81}</author>
    <author>tc={D75A9C7E-3B66-4C4A-B661-02DF5D4B5BD9}</author>
  </authors>
  <commentList>
    <comment ref="J1" authorId="0" shapeId="0" xr:uid="{389F8A0B-2052-4A74-872B-936DD4CDEB74}">
      <text>
        <t>[Threaded comment]
Your version of Excel allows you to read this threaded comment; however, any edits to it will get removed if the file is opened in a newer version of Excel. Learn more: https://go.microsoft.com/fwlink/?linkid=870924
Comment:
    = Average of each Status %</t>
      </text>
    </comment>
    <comment ref="E3" authorId="1" shapeId="0" xr:uid="{DC94D330-AD93-49C8-912E-42B38D8D1941}">
      <text>
        <r>
          <rPr>
            <sz val="11"/>
            <color theme="1"/>
            <rFont val="新細明體"/>
            <family val="2"/>
            <scheme val="minor"/>
          </rPr>
          <t>Daniel Huang:
2023-09-04_update</t>
        </r>
      </text>
    </comment>
    <comment ref="G5" authorId="1" shapeId="0" xr:uid="{92A93D0C-F2C5-480E-9885-140F0B0B4535}">
      <text>
        <r>
          <rPr>
            <sz val="11"/>
            <color theme="1"/>
            <rFont val="新細明體"/>
            <family val="2"/>
            <scheme val="minor"/>
          </rPr>
          <t xml:space="preserve">Daniel Huang:
2023-09-04_update
</t>
        </r>
      </text>
    </comment>
    <comment ref="G6" authorId="1" shapeId="0" xr:uid="{C6B933B8-62E6-4A16-B65C-E5A9FE450B67}">
      <text>
        <r>
          <rPr>
            <sz val="11"/>
            <color theme="1"/>
            <rFont val="新細明體"/>
            <family val="2"/>
            <scheme val="minor"/>
          </rPr>
          <t xml:space="preserve">Daniel Huang:
2023-09-04_update
</t>
        </r>
      </text>
    </comment>
    <comment ref="C8" authorId="2" shapeId="0" xr:uid="{2961CB90-BF40-446E-A4C8-8F5A99DFB33B}">
      <text>
        <t>[Threaded comment]
Your version of Excel allows you to read this threaded comment; however, any edits to it will get removed if the file is opened in a newer version of Excel. Learn more: https://go.microsoft.com/fwlink/?linkid=870924
Comment:
    Risk Management Plan &amp; Risk Register has been delivered. Quality related risks are included in that register. There is procedure in place regarding FMEAs. It can be displayed to you during the forthcoming visit to the plant in April. 
Reply:
    Hellenic have provided a breakdown of CTQ's and how they are controlled as Quality Checkpoints - See Aconex Ref HELLENIC-GNC-000051</t>
      </text>
    </comment>
    <comment ref="C11" authorId="3" shapeId="0" xr:uid="{748CEF61-32F4-4CC7-8340-F9DD15B82657}">
      <text>
        <t>[Threaded comment]
Your version of Excel allows you to read this threaded comment; however, any edits to it will get removed if the file is opened in a newer version of Excel. Learn more: https://go.microsoft.com/fwlink/?linkid=870924
Comment:
    Risk Management Plan &amp; Risk Register has been delivered. Quality related risks are included in that register. There is procedure in place regarding FMEAs. It can be displayed to you during the forthcoming visit to the plant in April. 
Reply:
    Hellenic have provided a breakdown of CTQ's and how they are controlled as Quality Checkpoints - See Aconex Ref HELLENIC-GNC-000051</t>
      </text>
    </comment>
    <comment ref="C12" authorId="4" shapeId="0" xr:uid="{93F73951-112C-49A6-A6CF-73EA5EEB5997}">
      <text>
        <t>[Threaded comment]
Your version of Excel allows you to read this threaded comment; however, any edits to it will get removed if the file is opened in a newer version of Excel. Learn more: https://go.microsoft.com/fwlink/?linkid=870924
Comment:
    HL-IAC-HELLENIC-QAC-ITP-00010 - ITP IAC 400mm2
HL-IAC-HELLENIC-QAC-ITP-00011 - ITP IAC 800mm2
HL-IAC-HELLENIC-QAC-ITP-00012 - ITP IAC 800mm2 Cu</t>
      </text>
    </comment>
    <comment ref="C17" authorId="5" shapeId="0" xr:uid="{CCECF96D-3257-4195-BED5-96730B774A5A}">
      <text>
        <t>[Threaded comment]
Your version of Excel allows you to read this threaded comment; however, any edits to it will get removed if the file is opened in a newer version of Excel. Learn more: https://go.microsoft.com/fwlink/?linkid=870924
Comment:
    Confirmed added to Rev 2.0</t>
      </text>
    </comment>
    <comment ref="C18" authorId="6" shapeId="0" xr:uid="{F0B8A412-F196-423F-BE36-378284D7D806}">
      <text>
        <t>[Threaded comment]
Your version of Excel allows you to read this threaded comment; however, any edits to it will get removed if the file is opened in a newer version of Excel. Learn more: https://go.microsoft.com/fwlink/?linkid=870924
Comment:
    7-Mar-2024 - update</t>
      </text>
    </comment>
    <comment ref="G24" authorId="1" shapeId="0" xr:uid="{5E096EF0-8188-4F43-9D2A-7B9509940557}">
      <text>
        <r>
          <rPr>
            <sz val="11"/>
            <color theme="1"/>
            <rFont val="新細明體"/>
            <family val="2"/>
            <scheme val="minor"/>
          </rPr>
          <t>Daniel Huang:
2023-09-04_update</t>
        </r>
      </text>
    </comment>
    <comment ref="C27" authorId="7" shapeId="0" xr:uid="{092DBE51-0C62-4666-9DAF-49953E976508}">
      <text>
        <t>[Threaded comment]
Your version of Excel allows you to read this threaded comment; however, any edits to it will get removed if the file is opened in a newer version of Excel. Learn more: https://go.microsoft.com/fwlink/?linkid=870924
Comment:
    04-Jan-2024_update</t>
      </text>
    </comment>
    <comment ref="C28" authorId="8" shapeId="0" xr:uid="{1A23714C-AF70-44CD-B136-9BB186B04551}">
      <text>
        <t>[Threaded comment]
Your version of Excel allows you to read this threaded comment; however, any edits to it will get removed if the file is opened in a newer version of Excel. Learn more: https://go.microsoft.com/fwlink/?linkid=870924
Comment:
    May not be applicable for LSC as tolerances are mainly drawing controlled but I still want them to consider how this is presented to HL
Reply:
    Tolerances are indicated on the cross sectional drawing</t>
      </text>
    </comment>
    <comment ref="E28" authorId="9" shapeId="0" xr:uid="{4A9BA7C8-B4B7-4B30-BBBB-60DB8AF9CFCD}">
      <text>
        <t>[Threaded comment]
Your version of Excel allows you to read this threaded comment; however, any edits to it will get removed if the file is opened in a newer version of Excel. Learn more: https://go.microsoft.com/fwlink/?linkid=870924
Comment:
    May not be applicable for LSC as tolerances are mainly drawing controlled but I still want them to consider how this is presented to HL
Reply:
    Tolerances are indicated on the cross sectional drawing</t>
      </text>
    </comment>
    <comment ref="F28" authorId="10" shapeId="0" xr:uid="{6E81D8C7-0BDB-455C-B9BF-113C449A5113}">
      <text>
        <t>[Threaded comment]
Your version of Excel allows you to read this threaded comment; however, any edits to it will get removed if the file is opened in a newer version of Excel. Learn more: https://go.microsoft.com/fwlink/?linkid=870924
Comment:
    May not be applicable for LSC as tolerances are mainly drawing controlled but I still want them to consider how this is presented to HL
Reply:
    Tolerances are indicated on the cross sectional drawing</t>
      </text>
    </comment>
    <comment ref="G28" authorId="11" shapeId="0" xr:uid="{3E803C89-6ADA-4D8C-9B1F-E1671E6FF1D5}">
      <text>
        <t>[Threaded comment]
Your version of Excel allows you to read this threaded comment; however, any edits to it will get removed if the file is opened in a newer version of Excel. Learn more: https://go.microsoft.com/fwlink/?linkid=870924
Comment:
    May not be applicable for LSC as tolerances are mainly drawing controlled but I still want them to consider how this is presented to HL
Reply:
    Tolerances are indicated on the cross sectional drawing</t>
      </text>
    </comment>
    <comment ref="C29" authorId="12" shapeId="0" xr:uid="{36EED885-1242-43CD-AB6C-07ECC8A7F05E}">
      <text>
        <t>[Threaded comment]
Your version of Excel allows you to read this threaded comment; however, any edits to it will get removed if the file is opened in a newer version of Excel. Learn more: https://go.microsoft.com/fwlink/?linkid=870924
Comment:
    HL-BOP-LSC-DES-ITP-00001 - ITP for Qualification Test(EQ and Type Test)
HL-BOP-LSC-DES-ITP-00002 - Qualification Test Plan (for reference)
HL-EXC-LSC-DES-ITP-00001 - ITP - Submarine cables and in-house Accessories
HL-EXC-LSC-DES-ITP-00002 - ITP - Cable connectors
Reply:
    Refer to the ITP Link for more information</t>
      </text>
    </comment>
    <comment ref="C35" authorId="13" shapeId="0" xr:uid="{F56801E7-BADD-4129-BAB5-ACF6E67D6013}">
      <text>
        <t>[Threaded comment]
Your version of Excel allows you to read this threaded comment; however, any edits to it will get removed if the file is opened in a newer version of Excel. Learn more: https://go.microsoft.com/fwlink/?linkid=870924
Comment:
    No Manufacturing Record Book / As Built Index / QA Index.  There is a column stating As Built Document but all show as No.  That cannot be correct
Reply:
    MRB Indexes shown on Rev 3.0 of the MDR
Reply:
    The related as-built documents have listed in the MDR.
04-Jan-2024_update</t>
      </text>
    </comment>
    <comment ref="C40" authorId="14" shapeId="0" xr:uid="{A0CB03A9-801F-494D-9076-4E93DADBE7EF}">
      <text>
        <t>[Threaded comment]
Your version of Excel allows you to read this threaded comment; however, any edits to it will get removed if the file is opened in a newer version of Excel. Learn more: https://go.microsoft.com/fwlink/?linkid=870924
Comment:
    Risk and Opportunity Register shown but no Risk Management Plan in the MDR</t>
      </text>
    </comment>
    <comment ref="C41" authorId="15" shapeId="0" xr:uid="{C72292CA-DA8D-49BB-A8E3-75E00A0C2B00}">
      <text>
        <t xml:space="preserve">[Threaded comment]
Your version of Excel allows you to read this threaded comment; however, any edits to it will get removed if the file is opened in a newer version of Excel. Learn more: https://go.microsoft.com/fwlink/?linkid=870924
Comment:
    HL-CTI-SW7-PMT-PRC-00001 </t>
      </text>
    </comment>
    <comment ref="C42" authorId="16" shapeId="0" xr:uid="{6E85B919-A602-400D-920B-7D4EDCBB2BC9}">
      <text>
        <t>[Threaded comment]
Your version of Excel allows you to read this threaded comment; however, any edits to it will get removed if the file is opened in a newer version of Excel. Learn more: https://go.microsoft.com/fwlink/?linkid=870924
Comment:
    No CTQ Assessment or FMEA type process or procedure shown within the MDR
Reply:
    Reference made to PQP Section 8.2 but this does not show an output document</t>
      </text>
    </comment>
    <comment ref="C43" authorId="17" shapeId="0" xr:uid="{E3BD7C09-D1C8-4CFB-A637-9896B9DCD569}">
      <text>
        <t>[Threaded comment]
Your version of Excel allows you to read this threaded comment; however, any edits to it will get removed if the file is opened in a newer version of Excel. Learn more: https://go.microsoft.com/fwlink/?linkid=870924
Comment:
    No Audit Schedule Shown in MDR
Reply:
    Response states that Audit Schedule is attached in the Monthly Project Report, However, it is unclear if this is the full population</t>
      </text>
    </comment>
    <comment ref="C45" authorId="18" shapeId="0" xr:uid="{B3D47531-DFE4-4C79-8EDB-BE2A1DBBB414}">
      <text>
        <t>[Threaded comment]
Your version of Excel allows you to read this threaded comment; however, any edits to it will get removed if the file is opened in a newer version of Excel. Learn more: https://go.microsoft.com/fwlink/?linkid=870924
Comment:
    No document showing final deliverable tolerances / dimensional control requirements</t>
      </text>
    </comment>
    <comment ref="C46" authorId="19" shapeId="0" xr:uid="{FF27CDF5-F6E7-4393-A107-942554531E16}">
      <text>
        <t>[Threaded comment]
Your version of Excel allows you to read this threaded comment; however, any edits to it will get removed if the file is opened in a newer version of Excel. Learn more: https://go.microsoft.com/fwlink/?linkid=870924
Comment:
    HL-CTI-SW7-QMT-ITP-00001 - Cable Loadout and Installation ITP
HL-CTI-SW7-QMT-ITP-00002 - Foundation Cable Pull-in ITP
HL-CTI-SW7-QMT-ITP-00003 - Onshore Cable Pull-in ITP
HL-CTI-SW7-QMT-ITP-00004 - OSS Cable Pull-in ITP
HL-CTI-SW7-QMT-ITP-00005 - Cable Termination and Testing ITP</t>
      </text>
    </comment>
    <comment ref="C47" authorId="20" shapeId="0" xr:uid="{F12FDC36-2AE2-4278-B1BF-82195276C4A7}">
      <text>
        <t>[Threaded comment]
Your version of Excel allows you to read this threaded comment; however, any edits to it will get removed if the file is opened in a newer version of Excel. Learn more: https://go.microsoft.com/fwlink/?linkid=870924
Comment:
    RDS-PP column in the MDR but not populated</t>
      </text>
    </comment>
    <comment ref="C50" authorId="21" shapeId="0" xr:uid="{91D204FB-F6FD-48D7-B49D-47CE0192813B}">
      <text>
        <t>[Threaded comment]
Your version of Excel allows you to read this threaded comment; however, any edits to it will get removed if the file is opened in a newer version of Excel. Learn more: https://go.microsoft.com/fwlink/?linkid=870924
Comment:
    No decommissioning plan in the MDR</t>
      </text>
    </comment>
    <comment ref="C51" authorId="22" shapeId="0" xr:uid="{6B6F2F63-F3F4-4C3B-9C9F-3BBB0F3652A6}">
      <text>
        <t>[Threaded comment]
Your version of Excel allows you to read this threaded comment; however, any edits to it will get removed if the file is opened in a newer version of Excel. Learn more: https://go.microsoft.com/fwlink/?linkid=870924
Comment:
    No Spares List on the MDR</t>
      </text>
    </comment>
    <comment ref="C52" authorId="23" shapeId="0" xr:uid="{26311C73-7C16-419B-BD95-4B241B62D2AD}">
      <text>
        <t>[Threaded comment]
Your version of Excel allows you to read this threaded comment; however, any edits to it will get removed if the file is opened in a newer version of Excel. Learn more: https://go.microsoft.com/fwlink/?linkid=870924
Comment:
    HL-CTI-SW7-QMT-LST-00002 - As Built Databook Index</t>
      </text>
    </comment>
    <comment ref="C57" authorId="24" shapeId="0" xr:uid="{B3C5F242-90DE-45AE-9382-E188FFBF0459}">
      <text>
        <t>[Threaded comment]
Your version of Excel allows you to read this threaded comment; however, any edits to it will get removed if the file is opened in a newer version of Excel. Learn more: https://go.microsoft.com/fwlink/?linkid=870924
Comment:
    Risk and Opportunity Register shown but no Risk Management Plan in the MDR</t>
      </text>
    </comment>
    <comment ref="C58" authorId="25" shapeId="0" xr:uid="{212CC280-290F-4539-B0EE-298F8A61E634}">
      <text>
        <t xml:space="preserve">[Threaded comment]
Your version of Excel allows you to read this threaded comment; however, any edits to it will get removed if the file is opened in a newer version of Excel. Learn more: https://go.microsoft.com/fwlink/?linkid=870924
Comment:
    HL-CTI-SW7-PMT-PRC-00001 </t>
      </text>
    </comment>
    <comment ref="C59" authorId="26" shapeId="0" xr:uid="{C80535BC-E289-4FFD-88C4-08A9E3DCDB8C}">
      <text>
        <t>[Threaded comment]
Your version of Excel allows you to read this threaded comment; however, any edits to it will get removed if the file is opened in a newer version of Excel. Learn more: https://go.microsoft.com/fwlink/?linkid=870924
Comment:
    No CTQ Assessment or FMEA type process or procedure shown within the MDR</t>
      </text>
    </comment>
    <comment ref="C60" authorId="27" shapeId="0" xr:uid="{317ACADA-6B01-42F5-AA66-C033AD7231D2}">
      <text>
        <t>[Threaded comment]
Your version of Excel allows you to read this threaded comment; however, any edits to it will get removed if the file is opened in a newer version of Excel. Learn more: https://go.microsoft.com/fwlink/?linkid=870924
Comment:
    No CTQ Assessment or FMEA type process or procedure shown within the MDR</t>
      </text>
    </comment>
    <comment ref="C64" authorId="28" shapeId="0" xr:uid="{808BDE07-C7C1-4975-9961-EC2705F9DBD9}">
      <text>
        <t>[Threaded comment]
Your version of Excel allows you to read this threaded comment; however, any edits to it will get removed if the file is opened in a newer version of Excel. Learn more: https://go.microsoft.com/fwlink/?linkid=870924
Comment:
    HL-CTI-SW7-QMT-ITP-00001 - Cable Loadout and Installation ITP
HL-CTI-SW7-QMT-ITP-00002 - Foundation Cable Pull-in ITP
HL-CTI-SW7-QMT-ITP-00003 - Onshore Cable Pull-in ITP
HL-CTI-SW7-QMT-ITP-00004 - OSS Cable Pull-in ITP
HL-CTI-SW7-QMT-ITP-00005 - Cable Termination and Testing ITP</t>
      </text>
    </comment>
    <comment ref="C67" authorId="29" shapeId="0" xr:uid="{7B2BF328-A076-4418-8256-724C6E30AE22}">
      <text>
        <t>[Threaded comment]
Your version of Excel allows you to read this threaded comment; however, any edits to it will get removed if the file is opened in a newer version of Excel. Learn more: https://go.microsoft.com/fwlink/?linkid=870924
Comment:
    No decommissioning plan in the MDR</t>
      </text>
    </comment>
    <comment ref="C68" authorId="30" shapeId="0" xr:uid="{16B6CC7C-E58B-49B0-B65B-D728757AE426}">
      <text>
        <t>[Threaded comment]
Your version of Excel allows you to read this threaded comment; however, any edits to it will get removed if the file is opened in a newer version of Excel. Learn more: https://go.microsoft.com/fwlink/?linkid=870924
Comment:
    No Spares List on the MDR
Reply:
    04-Jan-2024_already added in MDR</t>
      </text>
    </comment>
    <comment ref="C69" authorId="31" shapeId="0" xr:uid="{0572C02E-ADBE-4701-9CB0-962106E493AC}">
      <text>
        <t>[Threaded comment]
Your version of Excel allows you to read this threaded comment; however, any edits to it will get removed if the file is opened in a newer version of Excel. Learn more: https://go.microsoft.com/fwlink/?linkid=870924
Comment:
    04-Jan-2024_update, more information in the MDR</t>
      </text>
    </comment>
    <comment ref="C90" authorId="32" shapeId="0" xr:uid="{9E543F91-364E-4DC8-B042-60E9A3DFB228}">
      <text>
        <t>[Threaded comment]
Your version of Excel allows you to read this threaded comment; however, any edits to it will get removed if the file is opened in a newer version of Excel. Learn more: https://go.microsoft.com/fwlink/?linkid=870924
Comment:
    ISC and SMPTSC Quality Plans are both shown in October 22</t>
      </text>
    </comment>
    <comment ref="C91" authorId="33" shapeId="0" xr:uid="{B85AFF3B-DE36-4E61-8EAE-AF60BFBCD3DF}">
      <text>
        <t>[Threaded comment]
Your version of Excel allows you to read this threaded comment; however, any edits to it will get removed if the file is opened in a newer version of Excel. Learn more: https://go.microsoft.com/fwlink/?linkid=870924
Comment:
    Risk Assessments shown in MDR but no Risk Management Plan - Risk Management Plan actually delivered as HL-OSS-SMPTSC-PMT-PLN-00017 in the MDR - Considered closed</t>
      </text>
    </comment>
    <comment ref="C92" authorId="34" shapeId="0" xr:uid="{B8D6865C-EC7C-443F-9550-F62B5DA789F4}">
      <text>
        <t>[Threaded comment]
Your version of Excel allows you to read this threaded comment; however, any edits to it will get removed if the file is opened in a newer version of Excel. Learn more: https://go.microsoft.com/fwlink/?linkid=870924
Comment:
    HL-OSS-SMPTSC-PMT-PLN-00011</t>
      </text>
    </comment>
    <comment ref="C93" authorId="35" shapeId="0" xr:uid="{7E309F54-136D-4841-AC9E-5C35AF97FB83}">
      <text>
        <t>[Threaded comment]
Your version of Excel allows you to read this threaded comment; however, any edits to it will get removed if the file is opened in a newer version of Excel. Learn more: https://go.microsoft.com/fwlink/?linkid=870924
Comment:
    Considered not wholly applicable - Design Risk Reviews and Design Freeze as all critical components are considered as Critical to Quality.
Design Risk Review =TBD
Design Freeze = TBD</t>
      </text>
    </comment>
    <comment ref="C94" authorId="36" shapeId="0" xr:uid="{5BA521C4-514C-4212-8004-E411801DBD8D}">
      <text>
        <t>[Threaded comment]
Your version of Excel allows you to read this threaded comment; however, any edits to it will get removed if the file is opened in a newer version of Excel. Learn more: https://go.microsoft.com/fwlink/?linkid=870924
Comment:
    Considered not wholly applicable - Design Risk Reviews and Design Freeze as all critical components are considered as Critical to Quality.
Design Risk Review =TBD
Design Freeze = TBD</t>
      </text>
    </comment>
    <comment ref="C97" authorId="37" shapeId="0" xr:uid="{462BD1B8-A547-4E36-B878-80C31103DBEA}">
      <text>
        <t>[Threaded comment]
Your version of Excel allows you to read this threaded comment; however, any edits to it will get removed if the file is opened in a newer version of Excel. Learn more: https://go.microsoft.com/fwlink/?linkid=870924
Comment:
    ITP's shown but no doc numbers provided yet</t>
      </text>
    </comment>
    <comment ref="C101" authorId="38" shapeId="0" xr:uid="{633DEDCD-C9ED-4FA6-81AE-F5D5041BA2E3}">
      <text>
        <t>[Threaded comment]
Your version of Excel allows you to read this threaded comment; however, any edits to it will get removed if the file is opened in a newer version of Excel. Learn more: https://go.microsoft.com/fwlink/?linkid=870924
Comment:
    Only shows decommissioning concept for Topside and not Foundations</t>
      </text>
    </comment>
    <comment ref="C102" authorId="39" shapeId="0" xr:uid="{83F1E46F-278B-4E1C-B129-9D9DEEBDB602}">
      <text>
        <t>[Threaded comment]
Your version of Excel allows you to read this threaded comment; however, any edits to it will get removed if the file is opened in a newer version of Excel. Learn more: https://go.microsoft.com/fwlink/?linkid=870924
Comment:
    Various shown in the Doc Control Register</t>
      </text>
    </comment>
    <comment ref="C103" authorId="40" shapeId="0" xr:uid="{F78AAF5D-5EF6-490E-8E67-DE269BAA42D4}">
      <text>
        <t>[Threaded comment]
Your version of Excel allows you to read this threaded comment; however, any edits to it will get removed if the file is opened in a newer version of Excel. Learn more: https://go.microsoft.com/fwlink/?linkid=870924
Comment:
    HL-OSS-SMPTSC-PMT-GEN-39501</t>
      </text>
    </comment>
    <comment ref="C109" authorId="41" shapeId="0" xr:uid="{24FB2523-2F85-48B4-9F54-95C1523D4A18}">
      <text>
        <t xml:space="preserve">[Threaded comment]
Your version of Excel allows you to read this threaded comment; however, any edits to it will get removed if the file is opened in a newer version of Excel. Learn more: https://go.microsoft.com/fwlink/?linkid=870924
Comment:
    The change management is included in PMP(HL-ONS-TECO-PMT-PLN-00001 ), section 3.1
</t>
      </text>
    </comment>
    <comment ref="C113" authorId="42" shapeId="0" xr:uid="{969B7341-EAD1-41FF-AD26-FE9EE8BC13D2}">
      <text>
        <t>[Threaded comment]
Your version of Excel allows you to read this threaded comment; however, any edits to it will get removed if the file is opened in a newer version of Excel. Learn more: https://go.microsoft.com/fwlink/?linkid=870924
Comment:
    Already included in the PMP HL-ONS-TECO-PMT-PLN-00001</t>
      </text>
    </comment>
    <comment ref="C114" authorId="43" shapeId="0" xr:uid="{26EBFB00-8053-47CD-B7F2-BA1373627B81}">
      <text>
        <t>[Threaded comment]
Your version of Excel allows you to read this threaded comment; however, any edits to it will get removed if the file is opened in a newer version of Excel. Learn more: https://go.microsoft.com/fwlink/?linkid=870924
Comment:
    HL-ONS-TECO-ISP-PLN-00001 Inspection and Test Plan - Piling - IFR - Issued for Review
HL-ONS-TECO-ISP-PLN-00002 Inspection and Test Plan - Rebar - IFA - Issued for Approval
HL-ONS-TECO-ISP-PLN-00003 Inspection and Test Plan - Concrete - IFA - Issued for Approval
HL-ONS-TECO-ISP-PLN-00004 Inspection and Test Plan - Formwork - IFA - Issued for Approval
HL-ONS-TECO-ISP-PLN-00005 Inspection and Test Plan - Cable Duct Bank - IFR - Issued for Review
HL-ONS-TECO-ISP-PLN-00006 Inspection and Test Plan - Waterproofing - IFR - Issued for Review
HL-ONS-TECO-ISP-PLN-00007 Inspection and Test Plan - Manhole	IFR - Issued for Review
HL-ONS-TECO-ISP-PLN-00008 Inspection and Test Plan - Excavation - IFR - Issued for Review
HL-ONS-TECO-ISP-PLN-00009 Inspection and Test Plan - Backfill and Compression - IFR - Issued for Review
HL-ONS-TECO-ISP-PLN-00010 Inspection and Test Plan - Embedded Pipe installation - IFR - Issued for Review
HL-ONS-TECO-ISP-PLN-00011 Inspection and Test Plan - Water Supply &amp; Drainage Installation - IFR - Issued for Review
HL-ONS-TECO-ISP-PLN-00012 Inspection and Test Plan - Ventilation Installation - IFR - Issued for Review
HL-ONS-TECO-ISP-PLN-00013 Inspection and Test Plan - Existing Lines Protection and Soil Improvement - IFR - Issued for Review
HL-ONS-TECO-ISP-PLN-00014 Inspection and Test Plan - Decoration - IFR - Issued for Review
HL-ONS-TECO-ISP-PLN-00015 Inspection and Test Plan - Hollow Brick and Masonry - IFR - Issued for Review
HL-ONS-TECO-ISP-PLN-00016 Inspection and Test Plan - Flood gate - IFR - Issued for Review
HL-ONS-TECO-ISP-PLN-00017 Inspection and Test Plan - Steel Roofing Installation - IFR - Issued for Review
HL-ONS-TECO-ISP-PLN-00018 Inspection and Test Plan - Cable Duct Bank - IFR - Issued for Review
HL-ONS-TECO-ISP-PLN-00019 Inspection and Test Plan - Plug-in structure - IFR - Issued for Review
HL-ONS-TECO-ISP-PLN-00020 Inspection and Test Plan - Fencing - IFR - Issued for Review
HL-ONS-TECO-ISP-PLN-00021 Inspection and Test Plan - Road works - IFR - Issued for Review
HL-ONS-TECO-ISP-PLN-00022 Inspection and Test Plan - Irrigation Installation - IFR - Issued for Review
HL-ONS-TECO-ISP-PLN-00023 Inspection and Test Plan - Earthing and Lightning system - IFR - Issued for Review
HL-ONS-TECO-ISP-PLN-00024 Inspection and Test Plan - Cabling and Termination - IFR - Issued for Review
HL-ONS-TECO-ISP-PLN-00025 Inspection and Test Plan - Elevator Installation - IFR - Issued for Review
HL-ONS-TECO-ISP-PLN-00026 Inspection and Test Plan - EDG and Fuel Oil System - IFR - Issued for Review
HL-ONS-TECO-ISP-PLN-00027 Inspection and Test Plan - HVAC Installation - IFR - Issued for Review
HL-ONS-TECO-ISP-PLN-00028 Inspection and Test Plan - LV Panel &amp; Control Panel Installation - IFR - Issued for Review
HL-ONS-TECO-ISP-PLN-00029 Inspection and Test Plan - UP - IFR - Issued for Review
HL-ONS-TECO-ISP-PLN-00030 Inspection and Test Plan - DC (Battery) - IFR - Issued for Review
HL-ONS-TECO-ISP-PLN-00031 Inspection and Test Plan - Conduit &amp; Cable Tray Installation - IFR - Issued for Review
HL-ONS-TECO-ISP-PLN-00032 Inspection and Test Plan - Lighting &amp;  Socket Installation - IFR - Issued for Review
HL-ONS-TECO-ISP-PLN-00033 Inspection and Test Plan - Low Voltage Systems Installation - IFR - Issued for Review
HL-ONS-TECO-ISP-PLN-00034 Inspection and Test Plan - Harmonic Filter installation - IFR - Issued for Review
HL-ONS-TECO-ISP-PLN-00035 Inspection and Test Plan - LV Cable Pulling &amp; Termination - IFR - Issued for Review
HL-ONS-TECO-ISP-PLN-00036 Inspection and Test Plan - Fire Fighting &amp; Plumbing Installation - IFR - Issued for Review
HL-ONS-TECO-ISP-PLN-00037 Inspection and Test Plan - Firestop installation - IFR - Issued for Review
HL-ONS-TECO-ISP-PLN-00038 Inspection and Test Plan - Crane - IFR - Issued for Review
HL-ONS-TECO-ISP-PLN-00039 Inspection and Test Plan - Gas Insulated Switchgear installation - IFR - Issued for Review
HL-ONS-TECO-ISP-PLN-00040 Inspection and Test Plan - Transformer installation - IFR - Issued for Review
HL-ONS-TECO-ISP-PLN-00041 Inspection and Test Plan - Shunt Reactor installation - IFR - Issued for Review
HL-ONS-TECO-ISP-PLN-00042 Inspection and Test Plan - Auxiliary Transformer Installation - IFR - Issued for Review
HL-ONS-TECO-ISP-PLN-00043 Inspection and Test Plan - Optical Fiber Installation - IFR - Issued for Review
HL-ONS-TECO-ISP-PLN-00044 Inspection and Test Plan - CCTV Installation - IFR - Issued for Review
HL-ONS-TECO-ISP-PLN-00045 Inspection and Test Plan - Telecommunication Installation - IFR - Issued for Review
HL-ONS-TECO-ISP-PLN-00046 - Inspection and Test Plan - Network Installation - IFR - Issued for Review
HL-ONS-TECO-ISP-PLN-00047 Inspection and Test Plan - SCS System - IFR - Issued for Review
HL-ONS-TECO-ISP-PLN-00048 Inspection and Test Plan - Protection System - IFR - Issued for Review</t>
      </text>
    </comment>
    <comment ref="C115" authorId="44" shapeId="0" xr:uid="{D75A9C7E-3B66-4C4A-B661-02DF5D4B5BD9}">
      <text>
        <t>[Threaded comment]
Your version of Excel allows you to read this threaded comment; however, any edits to it will get removed if the file is opened in a newer version of Excel. Learn more: https://go.microsoft.com/fwlink/?linkid=870924
Comment:
    But the template format shows it and is ready to start to define it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tc={10D88AF1-063B-4868-A151-54A604EFBA28}</author>
    <author>tc={DF98793F-C0C5-42BF-9EC4-E7B84D7258DE}</author>
    <author>tc={CFF1F63C-64E7-456A-A4C4-CDB4A19C09C9}</author>
    <author>tc={850E1BF3-90C0-454F-AA6D-0B210D968995}</author>
    <author>tc={3CC47BA3-09EA-4191-A2F2-4B271B6C5A34}</author>
    <author>tc={CB69E67A-F565-44C0-AF7D-D6AC2DAAC2B5}</author>
    <author>tc={2AC49CCB-DEC1-4664-9EBD-0075DB3DA618}</author>
    <author>tc={E1CF7966-9EE6-4DC4-B0B3-FB5000F78CD9}</author>
    <author>tc={53A4E419-9843-49A0-B37E-2DF7C65081A8}</author>
    <author>tc={4D04AA87-1A0C-453F-9D63-3BE219416267}</author>
    <author>tc={132B24B5-7616-4695-B9E9-587216678F49}</author>
    <author>tc={37D2A999-AA60-4711-987B-E84123159A34}</author>
    <author>tc={87E16161-EFD4-4C64-9BEB-84BA17E5EA26}</author>
    <author>tc={7616888C-54B0-4542-BA9C-E61CA99D110E}</author>
    <author>tc={1D8BA66B-E8E8-4229-9548-87AAC69859A2}</author>
    <author>tc={741DC716-0A1B-4D6B-A4AF-7DECE100080A}</author>
    <author>tc={BA8F694A-D8A9-4826-9538-7295C0F193FA}</author>
    <author>tc={22957D9E-1559-4CA4-85CE-9D5B04C4EA32}</author>
    <author>tc={B0860135-9343-4A2F-9D02-25925D1E9BD5}</author>
    <author>tc={FE54B13D-8F3F-4417-BC3B-524ED1F585E6}</author>
    <author>tc={7723782C-71B4-4464-A2FF-1EDFCF18AE09}</author>
  </authors>
  <commentList>
    <comment ref="AX3" authorId="0" shapeId="0" xr:uid="{10D88AF1-063B-4868-A151-54A604EFBA28}">
      <text>
        <t>[Threaded comment]
Your version of Excel allows you to read this threaded comment; however, any edits to it will get removed if the file is opened in a newer version of Excel. Learn more: https://go.microsoft.com/fwlink/?linkid=870924
Comment:
    Being Conducted by KPMG in Phase 2 of the Compliance Audits</t>
      </text>
    </comment>
    <comment ref="AV5" authorId="1" shapeId="0" xr:uid="{DF98793F-C0C5-42BF-9EC4-E7B84D7258DE}">
      <text>
        <t>[Threaded comment]
Your version of Excel allows you to read this threaded comment; however, any edits to it will get removed if the file is opened in a newer version of Excel. Learn more: https://go.microsoft.com/fwlink/?linkid=870924
Comment:
    Being conducted by KPMG in Phase 2 of the Compliance Audits</t>
      </text>
    </comment>
    <comment ref="X6" authorId="2" shapeId="0" xr:uid="{CFF1F63C-64E7-456A-A4C4-CDB4A19C09C9}">
      <text>
        <t>[Threaded comment]
Your version of Excel allows you to read this threaded comment; however, any edits to it will get removed if the file is opened in a newer version of Excel. Learn more: https://go.microsoft.com/fwlink/?linkid=870924
Comment:
    Awaiting New HSE Manager start in September before conducting this Internal Audit</t>
      </text>
    </comment>
    <comment ref="AX6" authorId="3" shapeId="0" xr:uid="{850E1BF3-90C0-454F-AA6D-0B210D968995}">
      <text>
        <t>[Threaded comment]
Your version of Excel allows you to read this threaded comment; however, any edits to it will get removed if the file is opened in a newer version of Excel. Learn more: https://go.microsoft.com/fwlink/?linkid=870924
Comment:
    Conducted by the HSE dept 12 &amp; 13th Nov 2024, with Quality Witness Invitation for independence
Resulted in x8 Corrective Action Findings, x1 Observations &amp; x5 Recommendations</t>
      </text>
    </comment>
    <comment ref="V7" authorId="4" shapeId="0" xr:uid="{3CC47BA3-09EA-4191-A2F2-4B271B6C5A34}">
      <text>
        <t>[Threaded comment]
Your version of Excel allows you to read this threaded comment; however, any edits to it will get removed if the file is opened in a newer version of Excel. Learn more: https://go.microsoft.com/fwlink/?linkid=870924
Comment:
    Postponed to Qtr 3 / 4 due to busy period in Qtr 2 of 2022 for REG Mgr's</t>
      </text>
    </comment>
    <comment ref="AN7" authorId="5" shapeId="0" xr:uid="{CB69E67A-F565-44C0-AF7D-D6AC2DAAC2B5}">
      <text>
        <t>[Threaded comment]
Your version of Excel allows you to read this threaded comment; however, any edits to it will get removed if the file is opened in a newer version of Excel. Learn more: https://go.microsoft.com/fwlink/?linkid=870924
Comment:
    Resulted in x10 Major NCR's, x10 Minor NCR's &amp; x27 Observations</t>
      </text>
    </comment>
    <comment ref="AR7" authorId="6" shapeId="0" xr:uid="{2AC49CCB-DEC1-4664-9EBD-0075DB3DA618}">
      <text>
        <t>[Threaded comment]
Your version of Excel allows you to read this threaded comment; however, any edits to it will get removed if the file is opened in a newer version of Excel. Learn more: https://go.microsoft.com/fwlink/?linkid=870924
Comment:
    Resulted in x21 Major NCR's, x14 Minor NCR's &amp; x22 Observations</t>
      </text>
    </comment>
    <comment ref="AV7" authorId="7" shapeId="0" xr:uid="{E1CF7966-9EE6-4DC4-B0B3-FB5000F78CD9}">
      <text>
        <t>[Threaded comment]
Your version of Excel allows you to read this threaded comment; however, any edits to it will get removed if the file is opened in a newer version of Excel. Learn more: https://go.microsoft.com/fwlink/?linkid=870924
Comment:
    Resulted in x7 Major NCR's, x11 Minor NCR's &amp; x9 Observations</t>
      </text>
    </comment>
    <comment ref="AZ7" authorId="8" shapeId="0" xr:uid="{53A4E419-9843-49A0-B37E-2DF7C65081A8}">
      <text>
        <t>[Threaded comment]
Your version of Excel allows you to read this threaded comment; however, any edits to it will get removed if the file is opened in a newer version of Excel. Learn more: https://go.microsoft.com/fwlink/?linkid=870924
Comment:
    Resulted in x20 Major NCR's, x12 Minor NCR's &amp; x13 Observations</t>
      </text>
    </comment>
    <comment ref="BC7" authorId="9" shapeId="0" xr:uid="{4D04AA87-1A0C-453F-9D63-3BE219416267}">
      <text>
        <t>[Threaded comment]
Your version of Excel allows you to read this threaded comment; however, any edits to it will get removed if the file is opened in a newer version of Excel. Learn more: https://go.microsoft.com/fwlink/?linkid=870924
Comment:
    Resulted in x7 Major Findings and x20 Observations</t>
      </text>
    </comment>
    <comment ref="AT8" authorId="10" shapeId="0" xr:uid="{132B24B5-7616-4695-B9E9-587216678F49}">
      <text>
        <t>[Threaded comment]
Your version of Excel allows you to read this threaded comment; however, any edits to it will get removed if the file is opened in a newer version of Excel. Learn more: https://go.microsoft.com/fwlink/?linkid=870924
Comment:
    Consider desk based audit and interviews with various PM's to cover Engineering Status and review of TQ's closure robustness</t>
      </text>
    </comment>
    <comment ref="AI11" authorId="11" shapeId="0" xr:uid="{37D2A999-AA60-4711-987B-E84123159A34}">
      <text>
        <t>[Threaded comment]
Your version of Excel allows you to read this threaded comment; however, any edits to it will get removed if the file is opened in a newer version of Excel. Learn more: https://go.microsoft.com/fwlink/?linkid=870924
Comment:
    JGR - Jun 2023: Samkang Would now be ready for Fab QC Audit.  EEW not required due to being very low risk.  CWP and CSBC have only just started activities therefore best to postpone to approx Oct 2023</t>
      </text>
    </comment>
    <comment ref="AG13" authorId="12" shapeId="0" xr:uid="{87E16161-EFD4-4C64-9BEB-84BA17E5EA26}">
      <text>
        <t>[Threaded comment]
Your version of Excel allows you to read this threaded comment; however, any edits to it will get removed if the file is opened in a newer version of Excel. Learn more: https://go.microsoft.com/fwlink/?linkid=870924
Comment:
    Hellenic were not available during the visit - Request made to conduct this remotely during May / Jun 2023 - See correspondence EMPL-GNC-003969
Reply:
    Conducted in June 2023 remotely under HLEXTAUD-0004</t>
      </text>
    </comment>
    <comment ref="AL13" authorId="13" shapeId="0" xr:uid="{7616888C-54B0-4542-BA9C-E61CA99D110E}">
      <text>
        <t>[Threaded comment]
Your version of Excel allows you to read this threaded comment; however, any edits to it will get removed if the file is opened in a newer version of Excel. Learn more: https://go.microsoft.com/fwlink/?linkid=870924
Comment:
    Not required as we will have a QAQC Resident Representative at site to follow the Fabrication / Manufacturing and considered low risk and only recently conducted in Jun 2023 full systems audit</t>
      </text>
    </comment>
    <comment ref="X15" authorId="14" shapeId="0" xr:uid="{1D8BA66B-E8E8-4229-9548-87AAC69859A2}">
      <text>
        <t>[Threaded comment]
Your version of Excel allows you to read this threaded comment; however, any edits to it will get removed if the file is opened in a newer version of Excel. Learn more: https://go.microsoft.com/fwlink/?linkid=870924
Comment:
    Not completed - Early decision that this is not needed due to LSC past strong history - JGR</t>
      </text>
    </comment>
    <comment ref="AL15" authorId="15" shapeId="0" xr:uid="{741DC716-0A1B-4D6B-A4AF-7DECE100080A}">
      <text>
        <t>[Threaded comment]
Your version of Excel allows you to read this threaded comment; however, any edits to it will get removed if the file is opened in a newer version of Excel. Learn more: https://go.microsoft.com/fwlink/?linkid=870924
Comment:
    Planned due to receiving various NCR's and Quality Issues starting to show in LSC processes
Reply:
    Conducted Aug 2023</t>
      </text>
    </comment>
    <comment ref="AN19" authorId="16" shapeId="0" xr:uid="{BA8F694A-D8A9-4826-9538-7295C0F193FA}">
      <text>
        <t>[Threaded comment]
Your version of Excel allows you to read this threaded comment; however, any edits to it will get removed if the file is opened in a newer version of Excel. Learn more: https://go.microsoft.com/fwlink/?linkid=870924
Comment:
    Postponed to Apr 2024</t>
      </text>
    </comment>
    <comment ref="W24" authorId="17" shapeId="0" xr:uid="{22957D9E-1559-4CA4-85CE-9D5B04C4EA32}">
      <text>
        <t>[Threaded comment]
Your version of Excel allows you to read this threaded comment; however, any edits to it will get removed if the file is opened in a newer version of Excel. Learn more: https://go.microsoft.com/fwlink/?linkid=870924
Comment:
    Postponed to Qtr 2 2023 due to Contract negotiation focus ongoing</t>
      </text>
    </comment>
    <comment ref="X29" authorId="18" shapeId="0" xr:uid="{B0860135-9343-4A2F-9D02-25925D1E9BD5}">
      <text>
        <t>[Threaded comment]
Your version of Excel allows you to read this threaded comment; however, any edits to it will get removed if the file is opened in a newer version of Excel. Learn more: https://go.microsoft.com/fwlink/?linkid=870924
Comment:
    Construction start delayed due to issue with groundworks - Postponed to Qtr 3 / 4</t>
      </text>
    </comment>
    <comment ref="AD29" authorId="19" shapeId="0" xr:uid="{FE54B13D-8F3F-4417-BC3B-524ED1F585E6}">
      <text>
        <t>[Threaded comment]
Your version of Excel allows you to read this threaded comment; however, any edits to it will get removed if the file is opened in a newer version of Excel. Learn more: https://go.microsoft.com/fwlink/?linkid=870924
Comment:
    Will be conducted mid 2023 along with Installation Readiness Audit - Conducted HLEXTAUD-0007 in May 2023</t>
      </text>
    </comment>
    <comment ref="AJ29" authorId="20" shapeId="0" xr:uid="{7723782C-71B4-4464-A2FF-1EDFCF18AE09}">
      <text>
        <t>[Threaded comment]
Your version of Excel allows you to read this threaded comment; however, any edits to it will get removed if the file is opened in a newer version of Excel. Learn more: https://go.microsoft.com/fwlink/?linkid=870924
Comment:
    Conducted HLEXTAUD-0007 in May 2023</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1CCAD7C-000C-4FB3-A48D-073412D6C7FC}" keepAlive="1" name="Query - Data_ITP" description="Connection to the 'Data_ITP' query in the workbook." type="5" refreshedVersion="8" background="1" saveData="1">
    <dbPr connection="Provider=Microsoft.Mashup.OleDb.1;Data Source=$Workbook$;Location=Data_ITP;Extended Properties=&quot;&quot;" command="SELECT * FROM [Data_ITP]"/>
  </connection>
  <connection id="2" xr16:uid="{DA511532-1F77-4449-9371-4DFC3ADDC174}" keepAlive="1" name="Query - Data_KPI" description="Connection to the 'Data_KPI' query in the workbook." type="5" refreshedVersion="8" background="1" saveData="1">
    <dbPr connection="Provider=Microsoft.Mashup.OleDb.1;Data Source=$Workbook$;Location=Data_KPI;Extended Properties=&quot;&quot;" command="SELECT * FROM [Data_KPI]"/>
  </connection>
  <connection id="3" xr16:uid="{B426480E-9792-406A-BE75-BBD8689DE4F4}" keepAlive="1" name="Query - Data_NCR" description="Connection to the 'Data_NCR' query in the workbook." type="5" refreshedVersion="8" background="1" saveData="1">
    <dbPr connection="Provider=Microsoft.Mashup.OleDb.1;Data Source=$Workbook$;Location=Data_NCR;Extended Properties=&quot;&quot;" command="SELECT * FROM [Data_NCR]"/>
  </connection>
  <connection id="4" xr16:uid="{A225377B-6159-4AB2-BAD1-BBFC42556213}" keepAlive="1" name="Query - Data_Obs" description="Connection to the 'Data_Obs' query in the workbook." type="5" refreshedVersion="8" background="1" saveData="1">
    <dbPr connection="Provider=Microsoft.Mashup.OleDb.1;Data Source=$Workbook$;Location=Data_Obs;Extended Properties=&quot;&quot;" command="SELECT * FROM [Data_Obs]"/>
  </connection>
  <connection id="5" xr16:uid="{71BC6FE0-72DB-4CFD-8D32-CE880A010E8C}" keepAlive="1" name="Query - Data_PQP" description="Connection to the 'Data_PQP' query in the workbook." type="5" refreshedVersion="8" background="1" saveData="1">
    <dbPr connection="Provider=Microsoft.Mashup.OleDb.1;Data Source=$Workbook$;Location=Data_PQP;Extended Properties=&quot;&quot;" command="SELECT * FROM [Data_PQP]"/>
  </connection>
  <connection id="6" xr16:uid="{7EFF9CD9-65F2-43EB-A32B-179D664F57D6}" keepAlive="1" name="Query - Mail" description="Connection to the 'Mail' query in the workbook." type="5" refreshedVersion="8" background="1" saveData="1">
    <dbPr connection="Provider=Microsoft.Mashup.OleDb.1;Data Source=$Workbook$;Location=Mail;Extended Properties=&quot;&quot;" command="SELECT * FROM [Mail]"/>
  </connection>
  <connection id="7" xr16:uid="{1EFAEC7C-382E-4C7C-A798-EECD5F87C902}" keepAlive="1" name="Query - Query_Overall" description="Connection to the 'Query_Overall' query in the workbook." type="5" refreshedVersion="8" background="1" saveData="1">
    <dbPr connection="Provider=Microsoft.Mashup.OleDb.1;Data Source=$Workbook$;Location=Query_Overall;Extended Properties=&quot;&quot;" command="SELECT * FROM [Query_Over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<sst xmlns="http://schemas.openxmlformats.org/spreadsheetml/2006/main" count="12481" uniqueCount="4929">
  <si>
    <t>#</t>
  </si>
  <si>
    <t>Remark</t>
  </si>
  <si>
    <t>Database</t>
  </si>
  <si>
    <t>ITP_FOU_JKT_LOC_CWP</t>
  </si>
  <si>
    <t>Status:</t>
  </si>
  <si>
    <t>&gt; PQP Approval = 92% - Awaiting Approval of JDN - Rock Placement Scope PQP</t>
  </si>
  <si>
    <t>&gt; ITP Approval Status = 95% Submitted = x207 of x219 Total with 91% Approved (x199 of 219)</t>
  </si>
  <si>
    <t>&gt; OBS = x570 Total with 20% Open</t>
  </si>
  <si>
    <t>&gt; NCR = x304 Total with 36% Open = NCR's are 35% of total findings (Observations + NCR = x874)</t>
  </si>
  <si>
    <t>&gt; NCR Categorisation = CAT A / CAT B (Critical / Major) = 22% [x66] / CAT C (Minor) = 78% [x238]</t>
  </si>
  <si>
    <t>&gt; Key Contractual Test Tracking = 18% Achieved.  Target for Sep 2024 was 28% (x68 deliverables not fully approved to date)</t>
  </si>
  <si>
    <t>Positive = [1] Asset Key Test Approved = ALL FOU Pin Piles Supply and HL2A &amp; B EXC and X12 HL2 IAC Completed, Delivered and Approved</t>
  </si>
  <si>
    <t>Negative = [2] Asset Delivered - Key Test Pending Approval = x38 FOU Jackets, HL2 &amp; 3 OSS Foundation, HL2 OSS Topside</t>
  </si>
  <si>
    <t>[3] Asset Partially Delivered - Zero</t>
  </si>
  <si>
    <t xml:space="preserve">[4] Asset Installed - Key Test Approved - HL2 &amp; HL3 OSS Foundation installed (HL2 = Approved / HL3 = Approved with Comment)... </t>
  </si>
  <si>
    <t xml:space="preserve">     [4] Continued - OSS Topside and x37 FOU Pin Piles Installed and As Built Approved</t>
  </si>
  <si>
    <t>[5] Asset Installed - Key Test Pending Approval = x17 FOU Jackets, HL2 OSS Topside OSAT Awaiting Documentation Approval</t>
  </si>
  <si>
    <t>[6] Asset Partially Installed = EXC 1 (HL2B) partially installed  (As Built documntation not yet received)</t>
  </si>
  <si>
    <t>[7] TBD = x5 IAC FAT's, x2 EXC Install and x1 EXC Termination &amp; Testing behind schedule</t>
  </si>
  <si>
    <t>Actions:</t>
  </si>
  <si>
    <t>&gt; High quantity of Open NCR's across a number of Packages, incl; Teco, SGRE &amp; CWP - All slow to evidence correction</t>
  </si>
  <si>
    <t>&gt; Increasing quantity of Observations raised at TECO site location</t>
  </si>
  <si>
    <t xml:space="preserve">    Action: Teco Qality Improvement Plan / Quality Campaigning requested</t>
  </si>
  <si>
    <t>&gt; NCR issues on start up of every offshore campaign activity to date by SW7 - Not Right First Time and considered avoidable errors</t>
  </si>
  <si>
    <t xml:space="preserve">    Action: SW7 Quality Improvement Plan / Quality Campaigning requested</t>
  </si>
  <si>
    <t>`</t>
  </si>
  <si>
    <t>Package</t>
  </si>
  <si>
    <t>Status</t>
  </si>
  <si>
    <t>Trend</t>
  </si>
  <si>
    <t>Cable_Inter Array Cable_SUP_Hellenic Cable</t>
  </si>
  <si>
    <t>Cable_Export Cable_SUP_LS Cable</t>
  </si>
  <si>
    <t>N/A</t>
  </si>
  <si>
    <t>OSS_SUP_SM &amp; PTSC</t>
  </si>
  <si>
    <t>WTG_SUP_SGRE</t>
  </si>
  <si>
    <t>T&amp;I_JPG SUP_IQIP</t>
  </si>
  <si>
    <t>FOU_JKT_LOC_CWP</t>
  </si>
  <si>
    <t>FOU_Pin Pile INT_EEW</t>
  </si>
  <si>
    <t>FOU_JKT_INT_SKOP</t>
  </si>
  <si>
    <t>TBD</t>
  </si>
  <si>
    <t>EPCI_ONS_TECO</t>
  </si>
  <si>
    <t>Result</t>
  </si>
  <si>
    <t>1 - Asset Key Test Approved - Accepted</t>
  </si>
  <si>
    <t>2 - Asset Delivered - Key Test Pending Approval</t>
  </si>
  <si>
    <t>3 - Asset Partially Delivered</t>
  </si>
  <si>
    <t>4 - Asset Installed - Key Test Approved</t>
  </si>
  <si>
    <t>5 - Asset Installed - Key Test Pending Approval</t>
  </si>
  <si>
    <t>6 - Asset Partially Installed</t>
  </si>
  <si>
    <t>All</t>
  </si>
  <si>
    <t>7 - TBD</t>
  </si>
  <si>
    <t>Approved with comments</t>
  </si>
  <si>
    <t>IAC</t>
  </si>
  <si>
    <t>WTG</t>
  </si>
  <si>
    <t>Column Labels</t>
  </si>
  <si>
    <t>Row Labels</t>
  </si>
  <si>
    <t>Grand Total</t>
  </si>
  <si>
    <t>Accepted</t>
  </si>
  <si>
    <t>Update</t>
  </si>
  <si>
    <t>Doc. Type</t>
  </si>
  <si>
    <t>Docu. #</t>
  </si>
  <si>
    <t>Submit</t>
  </si>
  <si>
    <t>Rev.</t>
  </si>
  <si>
    <t>Workflow/
Aconex Ref</t>
  </si>
  <si>
    <t>Approved %</t>
  </si>
  <si>
    <t>Submission %</t>
  </si>
  <si>
    <t>Approval %</t>
  </si>
  <si>
    <t>MDR</t>
  </si>
  <si>
    <t>HL-IAC-HELLENIC-PMT-LST-00001</t>
  </si>
  <si>
    <t>v</t>
  </si>
  <si>
    <t>WF-006286</t>
  </si>
  <si>
    <t>Approved w/ Comment</t>
  </si>
  <si>
    <t>Commu. Matrix</t>
  </si>
  <si>
    <t>HL-IAC-HELLENIC-PMT-LST-00003</t>
  </si>
  <si>
    <r>
      <rPr>
        <strike/>
        <sz val="12"/>
        <color theme="1"/>
        <rFont val="Arial"/>
        <family val="2"/>
      </rPr>
      <t>WF-003791</t>
    </r>
    <r>
      <rPr>
        <sz val="12"/>
        <color theme="1"/>
        <rFont val="Arial"/>
        <family val="2"/>
      </rPr>
      <t xml:space="preserve">
WF-006566 </t>
    </r>
  </si>
  <si>
    <t>Approved</t>
  </si>
  <si>
    <t>Project Quality Plan</t>
  </si>
  <si>
    <t>HL-IAC-HELLENIC-QAC-PLN-00001</t>
  </si>
  <si>
    <t>WF-007568</t>
  </si>
  <si>
    <t>HL-IAC-HELLENIC-PMT-LST-0000101</t>
  </si>
  <si>
    <t>Risk Management Plan</t>
  </si>
  <si>
    <t xml:space="preserve">HL-IAC-HELLENIC-HSS-PLN-00001 </t>
  </si>
  <si>
    <t>WF-008250</t>
  </si>
  <si>
    <t>Change Management Plan</t>
  </si>
  <si>
    <t xml:space="preserve">confirmed that the MOC is described at Section 22 of the PQP </t>
  </si>
  <si>
    <t>CTQ (PFMEA / DFMEA)</t>
  </si>
  <si>
    <t>Yes, refer to the comment block</t>
  </si>
  <si>
    <t>Audit Schedule</t>
  </si>
  <si>
    <t>HL-IAC-HELLENIC-QAC-PLN-00005</t>
  </si>
  <si>
    <t>Terminated</t>
  </si>
  <si>
    <t>Quality Plan</t>
  </si>
  <si>
    <t>HL-IAC-HELLENIC-QAC-PLN-00002_Quality Control Plan Inter Array Cable 400mm2 AL
HL-IAC-HELLENIC-QAC-PLN-00003_Quality Control Plan Inter Array Cable 800mm2 AL
HL-IAC-HELLENIC-QAC-PLN-00004_Quality Control Plan Inter Array Cable 800mm2 Cu
HL-IAC-HELLENIC-QAC-PLN-00006_Quality Control Plan Fiber Optic Cable</t>
  </si>
  <si>
    <t>Rev. 2
Rev. 2
Rev. 2
Rev. 2</t>
  </si>
  <si>
    <t>Tolerance / Dimensional Control</t>
  </si>
  <si>
    <t>Inspection and Test Plan</t>
  </si>
  <si>
    <t>ITP_Hellenic_Hyperlink</t>
  </si>
  <si>
    <t>Ongoing</t>
  </si>
  <si>
    <t xml:space="preserve">RDS-PP </t>
  </si>
  <si>
    <t>RDS-PP designation column available but incomplete</t>
  </si>
  <si>
    <t>WPS/PQR</t>
  </si>
  <si>
    <t>Independent Material Testing</t>
  </si>
  <si>
    <t>Decommissioning Plan</t>
  </si>
  <si>
    <t>Spares List</t>
  </si>
  <si>
    <t>HL-IAC-HELLENIC-ENG-LST-00001</t>
  </si>
  <si>
    <t>QAFD / QA Index / 
As Built Index</t>
  </si>
  <si>
    <t>HL-IAC-HELLENIC-ENG-ASB-00001 - As-built documentation - CPS Inter Array Cable Section 2A
HL-IAC-HELLENIC-ENG-ASB-00002 - As-built documentation - CPS Inter Array Cable Section 2B
HL-IAC-HELLENIC-ENG-ASB-00003 - As-built documentation - CPS Inter Array Cable Section 3
HL-IAC-HELLENIC-ENG-MRB-00001 - Manufacturing Record Book Inter Array Cable Section 2A (As built document)
HL-IAC-HELLENIC-ENG-MRB-00002 - Manufacturing Record Book Inter Array Cable Section 2B (As built document)
HL-IAC-HELLENIC-ENG-MRB-00003 - Manufacturing Record Book Inter Array Cable Section 3 (As built document)
HL-IAC-HELLENIC-ENG-MRB-00004 - Manufacturing Record book CPS
HL-IAC-HELLENIC-ENG-MRB-00005 - Manufacturing Record Book Index-Cables</t>
  </si>
  <si>
    <r>
      <t xml:space="preserve"> not yet
 not yet
 not yet
 not yet
 not yet
 not yet
 not yet
</t>
    </r>
    <r>
      <rPr>
        <sz val="12"/>
        <color rgb="FFFF0000"/>
        <rFont val="Arial"/>
        <family val="2"/>
      </rPr>
      <t>v</t>
    </r>
  </si>
  <si>
    <r>
      <t xml:space="preserve"> not yet
 not yet
 not yet
 not yet
 not yet
 not yet
 not yet
</t>
    </r>
    <r>
      <rPr>
        <sz val="12"/>
        <color rgb="FFFF0000"/>
        <rFont val="Arial"/>
        <family val="2"/>
      </rPr>
      <t>2</t>
    </r>
  </si>
  <si>
    <r>
      <t xml:space="preserve"> not yet
 not yet
 not yet
 not yet
 not yet
 not yet
 not yet
</t>
    </r>
    <r>
      <rPr>
        <sz val="12"/>
        <color rgb="FFFF0000"/>
        <rFont val="Arial"/>
        <family val="2"/>
      </rPr>
      <t>Approved</t>
    </r>
  </si>
  <si>
    <t>HL-EXC-LSC-PMT-LST-00001</t>
  </si>
  <si>
    <r>
      <rPr>
        <strike/>
        <sz val="12"/>
        <color theme="1"/>
        <rFont val="Arial"/>
        <family val="2"/>
      </rPr>
      <t>WF-004352</t>
    </r>
    <r>
      <rPr>
        <sz val="12"/>
        <color theme="1"/>
        <rFont val="Arial"/>
        <family val="2"/>
      </rPr>
      <t xml:space="preserve">
WF-007818</t>
    </r>
  </si>
  <si>
    <t>HL-EXC-EMPL-PMT-MTX-00001</t>
  </si>
  <si>
    <t>No</t>
  </si>
  <si>
    <t>IFI</t>
  </si>
  <si>
    <t>HL-BOP-LSC-DES-PLN-00006</t>
  </si>
  <si>
    <t>WF-007703</t>
  </si>
  <si>
    <t>HL-BOP-LSC-DES-PLN-00007</t>
  </si>
  <si>
    <r>
      <rPr>
        <strike/>
        <sz val="12"/>
        <color theme="1"/>
        <rFont val="Arial"/>
        <family val="2"/>
      </rPr>
      <t>CDWE-WTRAN-001497</t>
    </r>
    <r>
      <rPr>
        <sz val="12"/>
        <color theme="1"/>
        <rFont val="Arial"/>
        <family val="2"/>
      </rPr>
      <t xml:space="preserve">
No</t>
    </r>
  </si>
  <si>
    <t>IFR</t>
  </si>
  <si>
    <t>HL-EXC-LSC-PMT-PLN-00001</t>
  </si>
  <si>
    <t>Is going to be added to the next revision of the PQP - Never added - JGR 26/3/2024</t>
  </si>
  <si>
    <t>HL-BOP-LSC-DES-PLN-00001 
table 2-1, Section 3.2.3, Audit and examination plan</t>
  </si>
  <si>
    <t>WF-007991</t>
  </si>
  <si>
    <t>Construction Quality Plan</t>
  </si>
  <si>
    <r>
      <rPr>
        <strike/>
        <sz val="12"/>
        <color theme="1"/>
        <rFont val="Arial"/>
        <family val="2"/>
      </rPr>
      <t>HL-BOP-LSC-DES-PLN-00002-CMS-EMPL</t>
    </r>
    <r>
      <rPr>
        <sz val="12"/>
        <color rgb="FFFF0000"/>
        <rFont val="Arial"/>
        <family val="2"/>
      </rPr>
      <t>, HL-BOP-LSC-DES-PLN-00002_</t>
    </r>
    <r>
      <rPr>
        <sz val="12"/>
        <color theme="1"/>
        <rFont val="Arial"/>
        <family val="2"/>
      </rPr>
      <t>Control Plan for Manufacturing &amp; Monitoring list</t>
    </r>
  </si>
  <si>
    <t>HL-EXC-LSC-DES-RPT-00001_Export Cable Design Report ( Page 12~17)</t>
  </si>
  <si>
    <t>ITP_LSC_Hyperlink</t>
  </si>
  <si>
    <t>Yes, but so far LSC not provide yet (confirmed with Cherry)
it should be added in the next MDR</t>
  </si>
  <si>
    <t>HL-EXC-LSC-QAC-ASB-00015_As-built documentation - CPS Export Cable Section 2A
HL-EXC-LSC-QAC-ASB-00016_As-built documentation - CPS Export Cable Section 2B
HL-EXC-LSC-QAC-ASB-00017_As-built documentation - CPS Export Cable Section 3.1
HL-EXC-LSC-QAC-ASB-00018_As-built documentation - CPS Export Cable Section 3.2
HL-EXC-LSC-QAC-ASB-00019_As-built documentation - Export Cable Section 2A
HL-EXC-LSC-QAC-ASB-00020_As-built documentation - Export Cable Section 2B
HL-EXC-LSC-QAC-ASB-00021_As-built documentation - Export Cable Section 3.1
HL-EXC-LSC-QAC-ASB-00022_As-built documentation - Export Cable Section 3.2
HL-EXC-LSC-QAC-ASB-00023_As-built documentation - T&amp;T Export Cable Section 2A
HL-EXC-LSC-QAC-ASB-00024_As-built documentation - T&amp;T Export Cable Section 2B
HL-EXC-LSC-QAC-ASB-00025_As-built documentation - T&amp;T Export Cable Section 3.1
HL-EXC-LSC-QAC-ASB-00026_As-built documentation - T&amp;T Export Cable Section 3.2</t>
  </si>
  <si>
    <t>T&amp;I _ [ HDD ] &amp; [ Inter Array Cable ] &amp; [ Export Cable ] _Seaway 7</t>
  </si>
  <si>
    <t>HL-CTI-SW7-PMT-LST-00002</t>
  </si>
  <si>
    <t>WF-007638</t>
  </si>
  <si>
    <t>HL-CTI-SW7-PMT-MTX-00002</t>
  </si>
  <si>
    <t>HL-CTI-SW7-QMT-PLN-00001</t>
  </si>
  <si>
    <t>WF-007692</t>
  </si>
  <si>
    <t>20230704
Meeting with S7, and discuss the PQP comment</t>
  </si>
  <si>
    <r>
      <rPr>
        <strike/>
        <sz val="12"/>
        <color theme="1"/>
        <rFont val="Arial"/>
        <family val="2"/>
      </rPr>
      <t>HL-CTI-SW7-ORM-RSA-00001_Risk and Opportunity Register ( Void )</t>
    </r>
    <r>
      <rPr>
        <sz val="12"/>
        <color theme="1"/>
        <rFont val="Arial"/>
        <family val="2"/>
      </rPr>
      <t xml:space="preserve">
The related Risk and opportunity information will be shown in MPR as progress.</t>
    </r>
  </si>
  <si>
    <r>
      <rPr>
        <strike/>
        <sz val="12"/>
        <color theme="1"/>
        <rFont val="Arial"/>
        <family val="2"/>
      </rPr>
      <t>HL-CTI-SW7-PMT-PRC-00001_Management of Change Procedure ( Void )</t>
    </r>
    <r>
      <rPr>
        <sz val="12"/>
        <color theme="1"/>
        <rFont val="Arial"/>
        <family val="2"/>
      </rPr>
      <t xml:space="preserve">
The related Risk and opportunity information will be shown in MPR as progress.</t>
    </r>
  </si>
  <si>
    <t>Request Seaway7 update the CTQ to PQP. - Never added - JGR 26/3/2024</t>
  </si>
  <si>
    <t>ITP Seaway7 Hyperlink</t>
  </si>
  <si>
    <t xml:space="preserve">HL-CTI-SW7-QMT-LST-00001_DFO - HDD As-Built Documentation Index
HL-CTI-SW7-QMT-LST-00002_As-Built Databook Index
HL-CTI-SW7-TNI-MRB-00001_DFO - HDD Conduit Installation As-Built Report Crossing HL-2A
HL-CTI-SW7-TNI-MRB-00002_DFO - HDD Conduit Installation As-Built Report Crossing HL-2B
HL-CTI-SW7-TNI-MRB-00003_DFO - HDD Conduit Installation As-Built Report Crossing HL-3A
HL-CTI-SW7-TNI-MRB-00004_DFO - HDD Conduit Installation As-Built Report Crossing HL-3B
</t>
  </si>
  <si>
    <t>T&amp;I_ [ OSS FOU] &amp; [ Topside ] &amp; [ WTG ] _ CDWE</t>
  </si>
  <si>
    <t>HL-TNI-CDWE-PMT-LST-00001</t>
  </si>
  <si>
    <t>HL-TNI-EMPL-PMT-MTX-00001</t>
  </si>
  <si>
    <t>HL-TNI-CDWE-QMT-PLN-00001</t>
  </si>
  <si>
    <t>HL-TNI-CDWE-PMT-PLN-00003</t>
  </si>
  <si>
    <t>HL-TNI-CDWE-PMT-PRC-00001</t>
  </si>
  <si>
    <t>Need to improve</t>
  </si>
  <si>
    <t>HL-TNI-CDWE-QMT-SCH-00001 / HL-TNI-CDWE-QAC-SCH-00002</t>
  </si>
  <si>
    <t>ITP_CDWE_Hyperlink</t>
  </si>
  <si>
    <t>NA</t>
  </si>
  <si>
    <t>Partial Approve</t>
  </si>
  <si>
    <t>The Document RDSPP of the HDD phase has been done, the other phase need to improve.(discussed with O&amp;M and Daniel M by Email )</t>
  </si>
  <si>
    <t>Approved with comment</t>
  </si>
  <si>
    <t>Need to improve - Seafastening ITP's required</t>
  </si>
  <si>
    <t>HL-TNI-CDWE-TEC-PRC-00001_Critical Spare Parts List</t>
  </si>
  <si>
    <t>HL-TNI-CDWE-QAC-PRC-00001_Project As-Built Procedure</t>
  </si>
  <si>
    <t>OSS_Design_ISC</t>
  </si>
  <si>
    <t>N/A - Through SMPTSC</t>
  </si>
  <si>
    <t>HL-OSS-SMPTSC-PMT-PLN-50020</t>
  </si>
  <si>
    <t>HL-OSS-SMPTSC-PMT-LST-00001</t>
  </si>
  <si>
    <t>HL-OSS-EMPL-PMT-MTX-00001</t>
  </si>
  <si>
    <t>HL-OSS-SMPTSC-PMT-PLN-00005</t>
  </si>
  <si>
    <t>HL-OSS-SMPTSC-PMT-PLN-00017</t>
  </si>
  <si>
    <t>HL-OSS-SMPTSC-PMT-PLN-00011</t>
  </si>
  <si>
    <t>HL-OSS-SMPTSC-PMT-PRC-39501</t>
  </si>
  <si>
    <t>Yes - Installation Tolerances - HL-OSS-SMPTSC-STR-TNO-55001</t>
  </si>
  <si>
    <t>ITP_OSS_SMPTSC_Hyperlink</t>
  </si>
  <si>
    <t>HL-OSS-EMPL-PMT-ERS-00001</t>
  </si>
  <si>
    <t>IFU</t>
  </si>
  <si>
    <t>HL-OSS-SMPTSC-PMT-LST-39501</t>
  </si>
  <si>
    <t>To be requested formally</t>
  </si>
  <si>
    <t>Various - See HL-OSS-SMPTSC-STR-RPT-37401 - HL2 OSS Jacket Decommissioning / HL-OSS-SMPTSC-STR-RPT-37801 - HL3 OSS Jacket Decommissioning / HL-OSS-SMPTSC-STR-RPT-50010 / 60010 - Topside Decommissioning</t>
  </si>
  <si>
    <t>Various - See HL-OSS-SMPTSC-SCA-LST-1*</t>
  </si>
  <si>
    <t>Yes - Pending - HL-OSS-SMPTSC-PMT-GEN-39501</t>
  </si>
  <si>
    <t>Void</t>
  </si>
  <si>
    <t>HL-ONS-TECO-PMT-MTX-00002</t>
  </si>
  <si>
    <t>WF-008613</t>
  </si>
  <si>
    <t>HL-ONS-TECO-PMT-MTX-00001</t>
  </si>
  <si>
    <t>HL-ONS-TECO-QMT-PLN-00001</t>
  </si>
  <si>
    <t>WF-005648</t>
  </si>
  <si>
    <t>HL-ONS-TECO-ORM-PLN-00001</t>
  </si>
  <si>
    <t>Yes, the Audit plan is included in PQP, section 10.2</t>
  </si>
  <si>
    <t>ITP_TECO</t>
  </si>
  <si>
    <t>Yes, In MDR</t>
  </si>
  <si>
    <t>Yes, the spare part lists are included in the MDR</t>
  </si>
  <si>
    <t>NCR Register</t>
  </si>
  <si>
    <t>HL-ONS-TECO-QAC-NCR-00001</t>
  </si>
  <si>
    <t>Approve</t>
  </si>
  <si>
    <t>FOU_Pin Pile LOC_CSBC</t>
  </si>
  <si>
    <t>HL-BOP-CSBCTW-PMT-LST-00001</t>
  </si>
  <si>
    <t>HL-BOP-CSBCTW-PMT-MTX-00001</t>
  </si>
  <si>
    <t>HL-BOP-CSBCTW-QAC-PLN-00001</t>
  </si>
  <si>
    <t>Yes, included in PQP</t>
  </si>
  <si>
    <t>Yes, Included in the Materials Criticality Report</t>
  </si>
  <si>
    <t>HL-FOU-CSBC-FAB-PRC-00002</t>
  </si>
  <si>
    <t>ITP_FOU_Pin Pile LOC_CSBC</t>
  </si>
  <si>
    <t>No - Pending</t>
  </si>
  <si>
    <t>HL-FOU-CSBC-QAC-PLN-00001</t>
  </si>
  <si>
    <t>N/A - This will be the Designer responsibility</t>
  </si>
  <si>
    <t>HL-BOP-CSBCTW-PRT-PRC-00001</t>
  </si>
  <si>
    <t>HL-FOU-CWPTW-PMT-LST-00001</t>
  </si>
  <si>
    <t>HL-FOU-CWPTW-PMT-MTX-00001</t>
  </si>
  <si>
    <t>HL-FOU-CWPTW-QMT-PLN-00001</t>
  </si>
  <si>
    <t>HL-FOU-CWPTW-PMT-PLN-00001</t>
  </si>
  <si>
    <t>No Submit</t>
  </si>
  <si>
    <t>Yes, Included in PQP</t>
  </si>
  <si>
    <t>Not defined</t>
  </si>
  <si>
    <t>HL-FOU-CWPTW-QAC-PLN-00001</t>
  </si>
  <si>
    <t>Various Dimensional Control Procedures shown and with doc numbers (With Main CWP DC Procedure being HL-BOP-CWPTW-QAC-PRC-00001) - Superseded by HL-FOU-CWPTW-QAC-PRC-00012</t>
  </si>
  <si>
    <t>TBD - Pending</t>
  </si>
  <si>
    <t>See QAQC Regular Report from KYA - July 2024 = 100%</t>
  </si>
  <si>
    <t>Jul</t>
  </si>
  <si>
    <t>HL-FOU-EMPL-CIN-CON-00060</t>
  </si>
  <si>
    <t xml:space="preserve">HL-FOU-CWPTW-QAC-ASB-00001
</t>
  </si>
  <si>
    <t>Pending</t>
  </si>
  <si>
    <t>HL-BOP-EEWKH-PMT-LST-00001</t>
  </si>
  <si>
    <t>HL-FOU-EEWKH-PMT-MTX-00001</t>
  </si>
  <si>
    <t>HL-BOP-EEWKH-QAC-PLN-00001</t>
  </si>
  <si>
    <t>Included in PPCP - HL‐FOU‐EEWKH‐PMT‐PRC‐00002</t>
  </si>
  <si>
    <t>HL-FOU-EEWKH-QAC-SCH-00001</t>
  </si>
  <si>
    <t>HL-FOU-EEWKH-FAB-PRC-00009</t>
  </si>
  <si>
    <t>ITP_FOU_Pin Pile INT_EEW - Hyperlink</t>
  </si>
  <si>
    <t>Yes - TBD</t>
  </si>
  <si>
    <t>Yes - See Monthly Project Report of May 2023 - Annex 9.1 WPS Register G22002 = 21 of 21 Completed</t>
  </si>
  <si>
    <t>HL-BOP-EEWKH-PRT-LST-00001</t>
  </si>
  <si>
    <t>HL-FOU-Samkang-DCC-DSH-00001</t>
  </si>
  <si>
    <t>HL-FOU-EMPL-CIN-MTX-00002</t>
  </si>
  <si>
    <t>HL-BOP-Samkang-QAC-PLN-00001</t>
  </si>
  <si>
    <t>HL-BOP-Samkang-HSS-RSA-00001</t>
  </si>
  <si>
    <t>HL-FOU-Samkang-PMT-PRC-00003</t>
  </si>
  <si>
    <t>Considered as conducted by using Risk Assessment - HL-BOP-Samkang-HSS-RSA-00001</t>
  </si>
  <si>
    <t>HL-FOU-Samkang-QMT-SCH-00001</t>
  </si>
  <si>
    <t>HL-FOU-Samkang-QAC-PRC-00002</t>
  </si>
  <si>
    <t>ITP_FOU_JKT_INT_SKOP - Hyperlink</t>
  </si>
  <si>
    <t>All 84 are approved = 
x43 S355 WPS's
x27 Duplex/SS316L/Dissimilar WPS's
x9 S420 WPS's
x5 S355 + S420 WPS's</t>
  </si>
  <si>
    <t>HL-FOU-Samkang-PRT-LST-00001</t>
  </si>
  <si>
    <t>HL-FOU-Samkang-QAC-LST-00003</t>
  </si>
  <si>
    <t>HL-JPG-IQIP-DCC-MTX-00001</t>
  </si>
  <si>
    <t>HL-JPG-EMPL-PMT-MTX-00200</t>
  </si>
  <si>
    <t>In Project Management Plan = HL-JPG-IQIP-PMT-GEN-00001</t>
  </si>
  <si>
    <t>HL-JPG-IQIP-ORM-RSA-00001 - But no Risk Management Plan</t>
  </si>
  <si>
    <t>HL-JPG-IQIP-ORM-RPT-00002 - FMEA Report</t>
  </si>
  <si>
    <t>Revise &amp; Resubmit</t>
  </si>
  <si>
    <t>HL-JPG-IQIP-QAC-PRC-00001</t>
  </si>
  <si>
    <t>ITP_T&amp;I_JPG SUP_IQIP - Hyperlink</t>
  </si>
  <si>
    <t>x6 Total WPS's - Completed and Approved</t>
  </si>
  <si>
    <t>N/A - Secondary Steel - Temporary Function</t>
  </si>
  <si>
    <t>N/A - Component Part Only of Foundations Structure</t>
  </si>
  <si>
    <t>HL-JPG-IQIP-DES-LST-00001 / 00002 / 00003 / 00004 / 00005</t>
  </si>
  <si>
    <t>Various</t>
  </si>
  <si>
    <t>HL-JPG-IQIP-FAB-RPT-00001 / 00002 / 00003 / 00004 / 00005 / 00006</t>
  </si>
  <si>
    <t>HL-WTG-SGRE-PMT-LST-00001</t>
  </si>
  <si>
    <t>Ver. 10</t>
  </si>
  <si>
    <t>HL-WTG-EMPL-PMT-MTX-00002</t>
  </si>
  <si>
    <t>HL-WTG-SGRE-QAC-PLN-00001 - Note: also within HL-WTG-SGRE-PMT-PLN-00003 - Appendix 3.2  (Quality Management Plan)</t>
  </si>
  <si>
    <t>HL-WTG-SGRE-PMT-PLN-00003 - Appendix 3.5 within Project Management Plan (Risk Management Plan)</t>
  </si>
  <si>
    <t>HL-WTG-SGRE-ENG-PRC-00001</t>
  </si>
  <si>
    <t>N/A - DFMEA is conducted by SGRE in the R&amp;D phase - Not a deliverable</t>
  </si>
  <si>
    <t>N/A - Audits conducted by SGRE Corporate of Projects - Not conducted by Projects</t>
  </si>
  <si>
    <t>HL-WTG-SGRE-PMT-PLN-00003 - Appendix 3.9 within Project Management Plan (Construction Management Plan)</t>
  </si>
  <si>
    <t>N/A - Note: Tolerances are handled at component / piece part level and Pre-assembly / Installation (such as inclination) - handled through ITP's</t>
  </si>
  <si>
    <t>ITP-WTG-SUP-SGRE (HyperLink)</t>
  </si>
  <si>
    <t>HL-WTG-SGRE-QMT-LST-00005</t>
  </si>
  <si>
    <t>Review</t>
  </si>
  <si>
    <t>N/A - Not contractual - HL have created a decommissioning plan</t>
  </si>
  <si>
    <t>N/A - Handled by SGRE and therefore not considered as a deliverable document</t>
  </si>
  <si>
    <t>HL-WTG-SGRE-QMT-ASB-00001</t>
  </si>
  <si>
    <t>HL Project Management</t>
  </si>
  <si>
    <t>NLA - Documents added to Aconex - See also the HL Management System</t>
  </si>
  <si>
    <t>HL-DEV-EMPL-QMT-PLN-00001</t>
  </si>
  <si>
    <t>HL-DEV-EMPL-PMT-PLN-00005</t>
  </si>
  <si>
    <t>HL-DEV-EMPL-ITF-PLN-00002</t>
  </si>
  <si>
    <t>HL-DEV-EMPL-QMT-SCH-00001</t>
  </si>
  <si>
    <t>Construction Management Plan</t>
  </si>
  <si>
    <t>HL-DEV-EMPL-PMT-PLN-00013</t>
  </si>
  <si>
    <t>Within HL-DEV-EMPL-QMT-PLN-00001</t>
  </si>
  <si>
    <t>N/A - Delivered by each contractor along with the Assets</t>
  </si>
  <si>
    <t>HL-OPS-EMPL-PMT-PLN-00001</t>
  </si>
  <si>
    <t>NAME</t>
  </si>
  <si>
    <t>PHONE NO</t>
  </si>
  <si>
    <t>EMAIL ADDRESS</t>
  </si>
  <si>
    <t>Onboard %</t>
  </si>
  <si>
    <t>Konstantinos Soulas</t>
  </si>
  <si>
    <t>ksoulas@hellenic-cables.com</t>
  </si>
  <si>
    <t>Kalliopi Giannopoulou</t>
  </si>
  <si>
    <t>kgiannopoulou@hellenic-cables.com</t>
  </si>
  <si>
    <t>Jaewoo Sim</t>
  </si>
  <si>
    <t>stormsim0712@lscns.com</t>
  </si>
  <si>
    <t>Changyeol Choi</t>
  </si>
  <si>
    <t>cychoi@lscns.com</t>
  </si>
  <si>
    <t>Songchae Woo</t>
  </si>
  <si>
    <t>N/A = Communicate by Aconex</t>
  </si>
  <si>
    <t>T&amp;I_Export Cable_Seaway 7</t>
  </si>
  <si>
    <t>Mhairi Simpson | Quality Director</t>
  </si>
  <si>
    <t>Mhairi.simpson@seaway7.com</t>
  </si>
  <si>
    <t>for HDD</t>
  </si>
  <si>
    <t>T&amp;I_OSS FOU &amp; Topside/ FOU / WTG_CDWE</t>
  </si>
  <si>
    <t>Patrick Verschueren</t>
  </si>
  <si>
    <t>verschueren.patrick@deme-group.com</t>
  </si>
  <si>
    <t>Leave project</t>
  </si>
  <si>
    <t>OSS_SUP_SM&amp;PTSC</t>
  </si>
  <si>
    <t>Thomas Bjerrum | Semco Quality Manager</t>
  </si>
  <si>
    <t>TBJ@semcomaritime.com</t>
  </si>
  <si>
    <t>ONS_TECO</t>
  </si>
  <si>
    <t xml:space="preserve">No notimated </t>
  </si>
  <si>
    <t>Total</t>
  </si>
  <si>
    <t>Percentage</t>
  </si>
  <si>
    <t>Values</t>
  </si>
  <si>
    <t>Comments</t>
  </si>
  <si>
    <t>ITP</t>
  </si>
  <si>
    <t>PQP Status</t>
  </si>
  <si>
    <t>Submission</t>
  </si>
  <si>
    <t>X</t>
  </si>
  <si>
    <t>Y</t>
  </si>
  <si>
    <t>Approval Maturity %</t>
  </si>
  <si>
    <t>Working Flow 
Aconex Ref</t>
  </si>
  <si>
    <t>Description</t>
  </si>
  <si>
    <t>Rev</t>
  </si>
  <si>
    <t>HL-IAC-HELLENIC-QAC-ITP-00001</t>
  </si>
  <si>
    <t>ITP - Bellmouths</t>
  </si>
  <si>
    <t>void</t>
  </si>
  <si>
    <t>HL-IAC-HELLENIC-QAC-ITP-00002</t>
  </si>
  <si>
    <t>ITP - Cable T-Connectors</t>
  </si>
  <si>
    <t>Q'ty</t>
  </si>
  <si>
    <t>HL-IAC-HELLENIC-QAC-ITP-00003</t>
  </si>
  <si>
    <t>ITP - CPS</t>
  </si>
  <si>
    <t>HL-IAC-HELLENIC-QAC-ITP-00004</t>
  </si>
  <si>
    <t xml:space="preserve">ITP - Hang-off </t>
  </si>
  <si>
    <t>HL-IAC-HELLENIC-QAC-ITP-00005</t>
  </si>
  <si>
    <t>ITP - Cable Cleats</t>
  </si>
  <si>
    <t>HL-IAC-HELLENIC-QAC-ITP-00006</t>
  </si>
  <si>
    <t>ITP - Fiber Optic Splice box</t>
  </si>
  <si>
    <t>Rejected</t>
  </si>
  <si>
    <t>HL-IAC-HELLENIC-QAC-ITP-00007</t>
  </si>
  <si>
    <t>ITP - Submarine Cable Repair Joint</t>
  </si>
  <si>
    <t>HL-IAC-HELLENIC-QAC-ITP-00008</t>
  </si>
  <si>
    <t xml:space="preserve">ITP - Inner Cone Connector (Pfisterer Connex S4) </t>
  </si>
  <si>
    <t>No submit</t>
  </si>
  <si>
    <t>HL-IAC-HELLENIC-QAC-ITP-00009</t>
  </si>
  <si>
    <t>ITP - Cable pulling grip incl. Cable end caps</t>
  </si>
  <si>
    <t>HL-IAC-HELLENIC-QAC-ITP-00010</t>
  </si>
  <si>
    <t>ITP IAC 400mm2 AL</t>
  </si>
  <si>
    <t>HL-IAC-HELLENIC-QAC-ITP-00011</t>
  </si>
  <si>
    <t>ITP IAC 800mm2 AL</t>
  </si>
  <si>
    <t>Submission Maturity %</t>
  </si>
  <si>
    <t>HL-IAC-HELLENIC-QAC-ITP-00012</t>
  </si>
  <si>
    <t>ITP IAC 800mm2 Cu</t>
  </si>
  <si>
    <t>HL-IAC-HELLENIC-QAC-ITP-00013</t>
  </si>
  <si>
    <t>ITP IAC  Fiber Optic Cable</t>
  </si>
  <si>
    <t>update</t>
  </si>
  <si>
    <t>HL-BOP-LSC-DES-ITP-00001</t>
  </si>
  <si>
    <t xml:space="preserve">ITP for Qualification Test (EQ and Type Test) </t>
  </si>
  <si>
    <t>HL-BOP-LSC-PRT-ITP-00001</t>
  </si>
  <si>
    <t>Type Test and EQ Procedure</t>
  </si>
  <si>
    <t>HL-EXC-LSC-DES-ITP-00001</t>
  </si>
  <si>
    <t>ITP - Submarine cables and in-house Accessories</t>
  </si>
  <si>
    <t>HL-EXC-LSC-DES-ITP-00002</t>
  </si>
  <si>
    <t>ITP - Cable connectors</t>
  </si>
  <si>
    <t>HL-EXC-LSC-QAC-ITP-00001</t>
  </si>
  <si>
    <t>HL-EXC-LSC-QAC-ITP-00002</t>
  </si>
  <si>
    <t>HL-EXC-LSC-QAC-ITP-00003</t>
  </si>
  <si>
    <t>HL-EXC-LSC-QAC-ITP-00004</t>
  </si>
  <si>
    <t>ITP - Onshore Jointing</t>
  </si>
  <si>
    <t>HL-EXC-LSC-QAC-ITP-00005</t>
  </si>
  <si>
    <t>ITP - Offshore Termination</t>
  </si>
  <si>
    <t>HL-EXC-LSC-QAC-ITP-00006</t>
  </si>
  <si>
    <t>ITP - Offshore Jointing</t>
  </si>
  <si>
    <t>HL-CTI-SW7-QMT-ITP-00001</t>
  </si>
  <si>
    <t>Cable Loadout and Installation ITP</t>
  </si>
  <si>
    <t>01-05 replaced by HL-CTI-SW7-QMT-ITP-00001Master ITP</t>
  </si>
  <si>
    <t>HL-CTI-SW7-QMT-ITP-00002</t>
  </si>
  <si>
    <t>Foundation Cable Pull-in ITP</t>
  </si>
  <si>
    <t>HL-CTI-SW7-QMT-ITP-00003</t>
  </si>
  <si>
    <t>Onshore Cable Pull-in ITP</t>
  </si>
  <si>
    <t>HL-CTI-SW7-QMT-ITP-00004</t>
  </si>
  <si>
    <t>OSS Cable Pull-in ITP</t>
  </si>
  <si>
    <t>HL-CTI-SW7-QMT-ITP-00005</t>
  </si>
  <si>
    <t>Cable Termination and Testing ITP</t>
  </si>
  <si>
    <t>HL-CTI-SW7-QMT-ITP-00006</t>
  </si>
  <si>
    <t>LDT - ITP</t>
  </si>
  <si>
    <t>Issued for Information Jan 2024</t>
  </si>
  <si>
    <t>HL-CTI-SW7-QMT-ITP-00007</t>
  </si>
  <si>
    <t>Tai Shing - ITP for HL Bellmouth</t>
  </si>
  <si>
    <t>Issued for Information Feb 2024</t>
  </si>
  <si>
    <t>HL-CTI-SW7-QMT-ITP-00008</t>
  </si>
  <si>
    <t>Tai Shing - ITP for Onshore Seal</t>
  </si>
  <si>
    <t>HL-CTI-SW7-QMT-ITP-00009</t>
  </si>
  <si>
    <t>Panduit - ITP</t>
  </si>
  <si>
    <t>HL-CTI-SW7-HSS-ITP-00001</t>
  </si>
  <si>
    <t>DFO HDD ITP</t>
  </si>
  <si>
    <t>Issued for Information Mar 2023</t>
  </si>
  <si>
    <t>Master ITP</t>
  </si>
  <si>
    <r>
      <rPr>
        <sz val="11"/>
        <color rgb="FF000000"/>
        <rFont val="新細明體"/>
        <family val="2"/>
        <scheme val="minor"/>
      </rPr>
      <t xml:space="preserve">Issued for Review Feb 2024
2025/06/7
</t>
    </r>
    <r>
      <rPr>
        <sz val="11"/>
        <color rgb="FFFF0000"/>
        <rFont val="新細明體"/>
        <family val="2"/>
        <scheme val="minor"/>
      </rPr>
      <t>The Master will be revised regarding the wet storage issue.</t>
    </r>
  </si>
  <si>
    <t>HL-CTI-SW7-QMT-ITP-00010</t>
  </si>
  <si>
    <t>Rotech - CFE Spread - Inspection and Test Plan</t>
  </si>
  <si>
    <t>Issued for Information Apr 2024</t>
  </si>
  <si>
    <t>HL-CTI-SW7-QMT-ITP-00011</t>
  </si>
  <si>
    <t>Tai Shing - ITP for TSV Seafastening</t>
  </si>
  <si>
    <t>Issued for Information May 2024</t>
  </si>
  <si>
    <t>HL-CTI-SW7-QMT-ITP-00012</t>
  </si>
  <si>
    <t>Tai Shing - ITP for ISV Seafastening</t>
  </si>
  <si>
    <t>Issued for Information Jun 2024</t>
  </si>
  <si>
    <t>HL-CTI-SW7-QMT-ITP-00013</t>
  </si>
  <si>
    <t>Seatrench - ITP</t>
  </si>
  <si>
    <t>Issued for Review Apr 2024</t>
  </si>
  <si>
    <t>HL-CTI-SW7-QMT-ITP-00014</t>
  </si>
  <si>
    <t>Tai Shing - ITP for Padeye &amp; Water Beam Fabrication</t>
  </si>
  <si>
    <t>HL-CTI-SW7-QMT-ITP-00015</t>
  </si>
  <si>
    <t>WIND - ITP</t>
  </si>
  <si>
    <t>HL-CTI-SW7-QMT-ITP-00016</t>
  </si>
  <si>
    <t>Tai Shing - ITP for Survey Pole</t>
  </si>
  <si>
    <t>HL-ONS-TECO-ISP-PLN-00051</t>
  </si>
  <si>
    <t>HL-TNI-CDWE-QAC-ITP-00001</t>
  </si>
  <si>
    <t>Inspection and Test Plan - Pin Pile Transportation and Installation</t>
  </si>
  <si>
    <t>HL-TNI-CDWE-QAC-ITP-00002</t>
  </si>
  <si>
    <t>Inspection and Test Plan - Jacket Transportation and Installation</t>
  </si>
  <si>
    <t>HL-TNI-CDWE-QAC-ITP-00003</t>
  </si>
  <si>
    <t>Inspection and Test Plan - Jacket transport from International fabricator</t>
  </si>
  <si>
    <t>HL-TNI-CDWE-QAC-ITP-00004</t>
  </si>
  <si>
    <t>Inspection and Test Plan - Noise monitoring</t>
  </si>
  <si>
    <t>HL-TNI-CDWE-QAC-ITP-00005</t>
  </si>
  <si>
    <t>Inspection and Test Plan - OSS Jacket and Skirt Pile Installation</t>
  </si>
  <si>
    <t>HL-TNI-CDWE-QAC-ITP-00006</t>
  </si>
  <si>
    <t>Seabed Preparation Inspection &amp; Test Plan</t>
  </si>
  <si>
    <t>HL-TNI-CDWE-QAC-ITP-00007</t>
  </si>
  <si>
    <t>Inspection and Test Plan - Seabed Leveling Survey</t>
  </si>
  <si>
    <t>HL-TNI-CDWE-QAC-ITP-00008</t>
  </si>
  <si>
    <t>Trial Pit Seabed levelling Inspection &amp; Test Plan (OPTIONAL)</t>
  </si>
  <si>
    <t>HL-TNI-CDWE-QAC-ITP-00009</t>
  </si>
  <si>
    <t>HL-TNI-CDWE-QAC-ITP-00010</t>
  </si>
  <si>
    <t>Inspection and Test Plan - Pin Pile transport from International fabricator</t>
  </si>
  <si>
    <t>HL-TNI-CDWE-QAC-ITP-00011</t>
  </si>
  <si>
    <t>Inspection and Test Plan - Grouting Operations</t>
  </si>
  <si>
    <t>HL-TNI-CDWE-QAC-ITP-00012</t>
  </si>
  <si>
    <t>Inspection and Test Plan - Noise Mitigation</t>
  </si>
  <si>
    <t>HL-TNI-CDWE-QAC-ITP-00013</t>
  </si>
  <si>
    <t>Inspection and Test Plan - Noise Monitoring OSS</t>
  </si>
  <si>
    <t>HL-TNI-CDWE-QAC-ITP-00014</t>
  </si>
  <si>
    <t>Inspection and Test Plan - Noise Mitigation OSS</t>
  </si>
  <si>
    <t>HL-TNI-CDWE-QAC-ITP-00015</t>
  </si>
  <si>
    <t>Inspection and Test Plan - OSS Levelling and Gripping</t>
  </si>
  <si>
    <t>HL-TNI-CDWE-QAC-ITP-00016</t>
  </si>
  <si>
    <t>Inspection and Test Plan - ROV Operations</t>
  </si>
  <si>
    <t>HL-TNI-CDWE-QAC-ITP-00017</t>
  </si>
  <si>
    <t>Inspection and Test Plan - Grouting Operations OSS</t>
  </si>
  <si>
    <t>HL-TNI-CDWE-QAC-ITP-00018</t>
  </si>
  <si>
    <t>Inspection and Test Plan - sailing, positioning, Jacking WTG</t>
  </si>
  <si>
    <t>HL-TNI-CDWE-QAC-ITP-00019</t>
  </si>
  <si>
    <t>Inspection and Test Plan - Seabed levelling (all campaigns)</t>
  </si>
  <si>
    <t>HL-TNI-CDWE-QAC-ITP-00020</t>
  </si>
  <si>
    <t>Inspection and Test Plan - HLV Mobilization/Demobilization</t>
  </si>
  <si>
    <t>HL-TNI-CDWE-QAC-ITP-00021</t>
  </si>
  <si>
    <t>Inspection and Test Plan - HTV Mobilization/Demobilization</t>
  </si>
  <si>
    <t>HL-TNI-CDWE-QAC-ITP-00022</t>
  </si>
  <si>
    <t>Inspection and Test Plan - OSS Topside Installation</t>
  </si>
  <si>
    <t>HL-TNI-CDWE-QAC-ITP-00023</t>
  </si>
  <si>
    <t>Inspection and Test Plan CAB Seabed Levelling</t>
  </si>
  <si>
    <t>New Apr 2024</t>
  </si>
  <si>
    <t>HL-TNI-CDWE-QAC-ITP-00024_x000D_</t>
  </si>
  <si>
    <t>Inspection and Test Plan - Secondary Works</t>
  </si>
  <si>
    <t>New ( 2nd, Aug 2024)</t>
  </si>
  <si>
    <t>HL-TNI-CDWE-LOG-ITP-00001</t>
  </si>
  <si>
    <t>Preliminary Project Logistics Inspection &amp; Test Plan</t>
  </si>
  <si>
    <t>HL-TNI-CDWE-LOG-ITP-00002</t>
  </si>
  <si>
    <t>Inspection and Test Plan - (un)mooring, anchor handling, port entrance / exit and sailing HLV</t>
  </si>
  <si>
    <t>HL-TNI-CDWE-LOG-ITP-00003</t>
  </si>
  <si>
    <t>Inspection and Test Plan - (un)mooring, anchor handling, port entrance / exit and sailing HTV</t>
  </si>
  <si>
    <t>HL-TNI-CDWE-ENG-ITP-00001</t>
  </si>
  <si>
    <t>Preliminary Inspection &amp; Test Plan - General Seabed Levelling (All Campaigns)</t>
  </si>
  <si>
    <t>HL-TNI-CDWE-ENG-ITP-00002</t>
  </si>
  <si>
    <t>Preliminary Inspection &amp; Test Plan FOU Pin Pile Installation</t>
  </si>
  <si>
    <t>HL-TNI-CDWE-ENG-ITP-00003</t>
  </si>
  <si>
    <t>Preliminary Inspection &amp; Test Plan WTG Installation</t>
  </si>
  <si>
    <t>HL-TNI-CDWE-ENG-ITP-00004</t>
  </si>
  <si>
    <t>Preliminary Inspection &amp; Test Plan OSS Jacket &amp; Skirt Pile Installation</t>
  </si>
  <si>
    <t>HL-TNI-CDWE-ENG-ITP-00005</t>
  </si>
  <si>
    <t>Preliminary Inspection &amp; Test Plan OSS Topside Installation</t>
  </si>
  <si>
    <t>HL-TNI-CDWE-ENG-ITP-00006</t>
  </si>
  <si>
    <t>Preliminary Inspection &amp; Test Plan FOU Jacket Installation</t>
  </si>
  <si>
    <t>HL-TNI-CDWE-ENG-ITP-00007</t>
  </si>
  <si>
    <t>Inspection and Test Plan - Pile Cleaning</t>
  </si>
  <si>
    <t>HL-TNI-CDWE-ENG-ITP-00008</t>
  </si>
  <si>
    <t>Inspection and Test Plan - Mooring Green Jade</t>
  </si>
  <si>
    <t>HL-TNI-CDWE-ENG-ITP-00009</t>
  </si>
  <si>
    <t>Inspection and Test Plan - Soil Plug Removal</t>
  </si>
  <si>
    <t>HL-TNI-CDWE-ENG-ITP-00010</t>
  </si>
  <si>
    <t>Inspection and Test Plan - Survey Marine Growth</t>
  </si>
  <si>
    <t>HL-TNI-CDWE-ENG-ITP-00011</t>
  </si>
  <si>
    <t xml:space="preserve">Inspection &amp; Test Plan - Seabed Levelling Inside Safety Zone of Assets </t>
  </si>
  <si>
    <t>New (23th,July 2024)</t>
  </si>
  <si>
    <t>HL-OSS-SMPTSC-PMT-PLN-00023</t>
  </si>
  <si>
    <t>MITP (+ ATT01 - Product ITP, + ATT02 - PTSC ITP's, +ATT03 - Supplier ITP's)</t>
  </si>
  <si>
    <t>HL-OSS-SMPTSC-PMT-ITP-39501</t>
  </si>
  <si>
    <t>HL OSS ITP for Structure Fabrication</t>
  </si>
  <si>
    <t>HL-OSS-SMPTSC-PMT-ITP-39502</t>
  </si>
  <si>
    <t>HL OSS ITP for Piping Fabrication Installation</t>
  </si>
  <si>
    <t>HL-OSS-SMPTSC-PMT-ITP-39503</t>
  </si>
  <si>
    <t>HL OSS ITP for Mechanical Installation</t>
  </si>
  <si>
    <t>HL-OSS-SMPTSC-PMT-ITP-39504</t>
  </si>
  <si>
    <t>HL OSS ITP for Electrical &amp; Instrumentation, Telecom Installation</t>
  </si>
  <si>
    <t>HL-OSS-SMPTSC-PMT-ITP-39505</t>
  </si>
  <si>
    <t>HL OSS ITP for HVAC Installation</t>
  </si>
  <si>
    <t>HL-OSS-SMPTSC-PMT-ITP-39506</t>
  </si>
  <si>
    <t>ITP for surface Preparation and Coating Application</t>
  </si>
  <si>
    <t>HL-OSS-SMPTSC-PMT-ITP-39507</t>
  </si>
  <si>
    <t>HL OSS ITP for GRE Pipe Fabrication and Installation</t>
  </si>
  <si>
    <t>HL-OSS-SMPTSC-PMT-ITP-39508</t>
  </si>
  <si>
    <t>HL OSS ITP for Architecture</t>
  </si>
  <si>
    <t>HL-OSS-SMPTSC-SCA-PLN-10502</t>
  </si>
  <si>
    <t>HL2 OT Security Inspection and Test Protocol (OSITP)</t>
  </si>
  <si>
    <t>HL-OSS-SMPTSC-SCA-PLN-10785</t>
  </si>
  <si>
    <t>HL3 OT Security Inspection and Test Protocol (OSITP)</t>
  </si>
  <si>
    <t>HL-OSS-SMPTSC-SCA-ITP-11643</t>
  </si>
  <si>
    <t>HL2-3 Inspection and Test Plan (ITP)</t>
  </si>
  <si>
    <t>HL-OSS-SMPTSC-MEC-PLN-11831</t>
  </si>
  <si>
    <t>HL2+3 Inspection and Test Plan (ITP) - HVAC Distribution Boards - HVAC LV and Control Systems</t>
  </si>
  <si>
    <t>Request Termination &amp; Testing ITP</t>
  </si>
  <si>
    <t>HL-BOP-CSBCTW-QAC-ITP-00001</t>
  </si>
  <si>
    <t>Master Inspection and Test Plan (MITP)</t>
  </si>
  <si>
    <t>HL-BOP-CSBCTW-QAC-ITP-00002</t>
  </si>
  <si>
    <t>Inspection and Test Plan(s) (ITP's)-Structure</t>
  </si>
  <si>
    <t>HL-BOP-CSBCTW-QAC-ITP-00003</t>
  </si>
  <si>
    <t>Inspection and Test Plan(s) (ITP's)-Coating</t>
  </si>
  <si>
    <t>* nothing update</t>
  </si>
  <si>
    <t>HL-FOU-CWPTW-QAC-ITP-00001</t>
  </si>
  <si>
    <t>CWP - ITP</t>
  </si>
  <si>
    <t>HL-FOU-CWPTW-QAC-ITP-00002</t>
  </si>
  <si>
    <t>CWP - ITP for Coating</t>
  </si>
  <si>
    <t>HL-FOU-CWPTW-QAC-ITP-00004</t>
  </si>
  <si>
    <t>CWP - ITP Master</t>
  </si>
  <si>
    <t>HL-FOU-CWPTW-QAC-ITP-00006</t>
  </si>
  <si>
    <t>CHWE - ITP</t>
  </si>
  <si>
    <t>HL-FOU-CWPTW-QAC-ITP-00007</t>
  </si>
  <si>
    <t>TS - ITP</t>
  </si>
  <si>
    <t>HL-FOU-CWPTW-QAC-ITP-00008</t>
  </si>
  <si>
    <t>TRI - ITP</t>
  </si>
  <si>
    <t>HL-FOU-CWPTW-QAC-ITP-00009</t>
  </si>
  <si>
    <t>FBS - ITP</t>
  </si>
  <si>
    <t>HL-FOU-CWPTW-QAC-ITP-00010</t>
  </si>
  <si>
    <t>CTCIM - ITP</t>
  </si>
  <si>
    <t>HL-FOU-CWPTW-QAC-ITP-00011</t>
  </si>
  <si>
    <t>SeAH - ITP</t>
  </si>
  <si>
    <t>HL-FOU-CWPTW-QAC-ITP-00012</t>
  </si>
  <si>
    <t>SEBO - ITP</t>
  </si>
  <si>
    <t>HL-FOU-CWPTW-QAC-ITP-00013</t>
  </si>
  <si>
    <t>HL-FOU-CWPTW-QAC-ITP-00014</t>
  </si>
  <si>
    <t>MRY - ITP</t>
  </si>
  <si>
    <t>HL-FOU-CWPTW-QAC-ITP-00015</t>
  </si>
  <si>
    <t>TAE - ITP</t>
  </si>
  <si>
    <t>HL-FOU-CWPTW-QAC-ITP-00016</t>
  </si>
  <si>
    <t>ALP - ITP</t>
  </si>
  <si>
    <t>HL-FOU-CWPTW-QAC-ITP-00017</t>
  </si>
  <si>
    <t>CIS - ITP</t>
  </si>
  <si>
    <t>HL-FOU-CWPTW-QAC-ITP-00018</t>
  </si>
  <si>
    <t>CIS - ITP for Secondary Components</t>
  </si>
  <si>
    <t>HL-FOU-CWPTW-QAC-ITP-00019</t>
  </si>
  <si>
    <t>CTA - ITP</t>
  </si>
  <si>
    <t>HL-FOU-CWPTW-QAC-ITP-00020</t>
  </si>
  <si>
    <t>PWE - Electrical Inspection</t>
  </si>
  <si>
    <t>HL-FOU-CWPTW-QAC-ITP-00021</t>
  </si>
  <si>
    <t>PWE - ITP</t>
  </si>
  <si>
    <t>HL-FOU-CWPTW-QAC-ITP-00022</t>
  </si>
  <si>
    <t>CWP - Secondary ITP</t>
  </si>
  <si>
    <t>HL-FOU-CWPTW-QAC-ITP-00023</t>
  </si>
  <si>
    <t>PWE - Visual Inspection</t>
  </si>
  <si>
    <t>HL-FOU-CWPTW-QAC-ITP-00024</t>
  </si>
  <si>
    <t>ALP - ITP for HDG</t>
  </si>
  <si>
    <t>HL-FOU-CWPTW-QAC-ITP-00025</t>
  </si>
  <si>
    <t>ALP - ITP for Coating</t>
  </si>
  <si>
    <t>HL-FOU-CWPTW-QAC-ITP-00026</t>
  </si>
  <si>
    <t>SKOP (Upscoping) ITP for Painting</t>
  </si>
  <si>
    <t>HL-FOU-CWPTW-QAC-ITP-00027</t>
  </si>
  <si>
    <t>SKOP (Upscoping) ITP for TA-LV</t>
  </si>
  <si>
    <t>HL-FOU-CWPTW-QAC-ITP-00028</t>
  </si>
  <si>
    <t>SKOP (Upscoping) Master ITP</t>
  </si>
  <si>
    <t>HL-FOU-CWPTW-QAC-ITP-00029</t>
  </si>
  <si>
    <t>SKOP (Upscoping) ITP for TP</t>
  </si>
  <si>
    <t>HL-FOU-CWPTW-QAC-ITP-00030</t>
  </si>
  <si>
    <t>SKOP (Upscoping) ITP for Secondary Steel</t>
  </si>
  <si>
    <t>HL-FOU-CWPTW-QAC-ITP-00031</t>
  </si>
  <si>
    <t>SKOP (Upscoping) ITP for Primary Steel</t>
  </si>
  <si>
    <t>HL-FOU-CWPTW-QAC-ITP-00032</t>
  </si>
  <si>
    <t>TG - ITP</t>
  </si>
  <si>
    <t>HL-FOU-CWPTW-QAC-PRC-00051</t>
  </si>
  <si>
    <t>CSMC - ITP</t>
  </si>
  <si>
    <t>CWP - Electrical / LV ITP</t>
  </si>
  <si>
    <t>CWP - J tube induction bending ITP</t>
  </si>
  <si>
    <t>CWP - Vulcanizing ITP</t>
  </si>
  <si>
    <t>CWP - Hot dip galvanizing ITP</t>
  </si>
  <si>
    <t>HL-BOP-EEWKH-QAC-ITP-00001</t>
  </si>
  <si>
    <t>MITP</t>
  </si>
  <si>
    <t>HL-BOP-EEWKH-QAC-ITP-00002</t>
  </si>
  <si>
    <t>HL-FOU-EEWKH-FAB-PLN-00001</t>
  </si>
  <si>
    <t>Inspection and Test Plan (ITP) for Painting</t>
  </si>
  <si>
    <t>HL-FOU-EEWKH-QAC-PLN-00001</t>
  </si>
  <si>
    <t>Inspection and Test Plan (ITP) for Dimension</t>
  </si>
  <si>
    <t>HL-FOU-Samkang-QAC-ITP-00001</t>
  </si>
  <si>
    <t>HL-FOU-Samkang-QAC-ITP-00002</t>
  </si>
  <si>
    <t>ITP for TP</t>
  </si>
  <si>
    <t>HL-FOU-Samkang-QAC-ITP-00003</t>
  </si>
  <si>
    <t>ITP for Secondary Steel</t>
  </si>
  <si>
    <t>HL-FOU-Samkang-QAC-PLN-00001</t>
  </si>
  <si>
    <t>ITP for Primary Steel</t>
  </si>
  <si>
    <t>HL-BOP-Samkang-QAC-PLN-00002</t>
  </si>
  <si>
    <t>ITP for Painting</t>
  </si>
  <si>
    <t>HL-FOU-Samkang-FAB-ITP-00001</t>
  </si>
  <si>
    <t>ITP for TA-LV</t>
  </si>
  <si>
    <t>HL-JPG-IQIP-ISP-ITP-00001</t>
  </si>
  <si>
    <t>Expected Date to Receive ITP</t>
  </si>
  <si>
    <t>HL-WTG-SGRE-ELE-PLN-00001</t>
  </si>
  <si>
    <t>Inspection and Test Plan - Switchgear</t>
  </si>
  <si>
    <t>HL-WTG-SGRE-ENG-ITP-00001</t>
  </si>
  <si>
    <t>Inspection and Test Plan - Palfinger</t>
  </si>
  <si>
    <t>HL-WTG-SGRE-QMT-ITP-00001</t>
  </si>
  <si>
    <t>Inspection and Test Plan - Nacelle Assembly</t>
  </si>
  <si>
    <t>HL-WTG-SGRE-QMT-ITP-00002</t>
  </si>
  <si>
    <t>Inspection and Test Plan - Blade Fabrication (Hull, UK)</t>
  </si>
  <si>
    <t>Rev.1</t>
  </si>
  <si>
    <t>HL-WTG-SGRE-QMT-ITP-00003</t>
  </si>
  <si>
    <t>Inspection and Test Plan - Tower Fabrication (VN)</t>
  </si>
  <si>
    <t>HL-WTG-SGRE-QMT-ITP-00006</t>
  </si>
  <si>
    <t>Inspection and Test Plan - Transformer</t>
  </si>
  <si>
    <t>HL-WTG-SGRE-QMT-ITP-00007</t>
  </si>
  <si>
    <t>Inspection and Test Plan - Hub Assembly</t>
  </si>
  <si>
    <t>HL-WTG-SGRE-QMT-ITP-00008</t>
  </si>
  <si>
    <t>Inspection and Test Plan - Generator Assembly</t>
  </si>
  <si>
    <t>HL-WTG-SGRE-QMT-ITP-00009</t>
  </si>
  <si>
    <t>Inspection and Test Plan - Backend Assembly</t>
  </si>
  <si>
    <t>HL-WTG-SGRE-QMT-ITP-00010</t>
  </si>
  <si>
    <t>Inspection and Test Plan - Pre-Assembly</t>
  </si>
  <si>
    <t>HL-WTG-SGRE-QMT-ITP-00011</t>
  </si>
  <si>
    <t>Inspection and Test Plan - Installation &amp; Commissioning</t>
  </si>
  <si>
    <t>HL-WTG-SGRE-QMT-ITP-00012</t>
  </si>
  <si>
    <t>Inspection and Test Plan - Tower Fabrication (TW)</t>
  </si>
  <si>
    <t>Rev.2</t>
  </si>
  <si>
    <t>HL-WTG-SGRE-QMT-ITP-00013</t>
  </si>
  <si>
    <t>Inspection and Test Plan - Blade Fabrication (Aalborg, Denmark)</t>
  </si>
  <si>
    <t>HL-RTI-JDNLUX-QAC-PLN-00001</t>
  </si>
  <si>
    <t>Level 1 Check</t>
  </si>
  <si>
    <t>Code</t>
  </si>
  <si>
    <t>Level 2 Check</t>
  </si>
  <si>
    <t>Reference</t>
  </si>
  <si>
    <t>Level 3 Check</t>
  </si>
  <si>
    <t>ONS</t>
  </si>
  <si>
    <t>Outside - Gate and  Site Boundary Perimiter Wall / Fence</t>
  </si>
  <si>
    <t>Entrance Gate</t>
  </si>
  <si>
    <t>Is security entrance gate in good general condition and free from damages / rust?</t>
  </si>
  <si>
    <t>Yes / No / N/A</t>
  </si>
  <si>
    <t>Is gate functioning correctly and providing sufficient security?</t>
  </si>
  <si>
    <t>Is CCTV present, in good general condition and functioning correctly to provide sufficient security?</t>
  </si>
  <si>
    <t>Site Boundary Perimiter Wall / Fence</t>
  </si>
  <si>
    <t>Is boundary perimiter wall / fence in good general condition, free of damages and providing sufficient security?</t>
  </si>
  <si>
    <t>Outside - Perimiter Drainage Ditch</t>
  </si>
  <si>
    <t>Is perimiter drainage ditch clear and free of debris / trash, ensuring a good flow out to the external drainage ditches?</t>
  </si>
  <si>
    <t>Outside - Building Perimiter Road and Parking Area (Inside Perimiter Wall)</t>
  </si>
  <si>
    <t>Building Perimiter Road</t>
  </si>
  <si>
    <t>Are safety road markings, such as Pedestrian Crossings and others, clearly and correctly marked?</t>
  </si>
  <si>
    <t>Parking Area</t>
  </si>
  <si>
    <t>Are parking road markings, clearly and correctly marked? (Including Accessible Parking and Fuelling Parking Space)</t>
  </si>
  <si>
    <t>Are reverse parking stoppers and parking signs etc in good general condition?</t>
  </si>
  <si>
    <t>Outside - Harmonic Filters</t>
  </si>
  <si>
    <t>Harmonic Filter Boundary Wall</t>
  </si>
  <si>
    <t>Is the Harmonic Filter Boundary Wall in good general condition and free from damages? (Inside and Outside)</t>
  </si>
  <si>
    <t>Are the Harmonic Filter Roller Doors in good general condition, free from damages and Safety Lock Mechanism functioning correctly?</t>
  </si>
  <si>
    <t>Is the Lighting System (Top of HF Walls) all in good general working condition?</t>
  </si>
  <si>
    <t>Is the Harmonic Filter Drainage Ditches clear and free of debris / trash, ensuring a good flow out to the external drainage ditches?</t>
  </si>
  <si>
    <t>Inside Harmonic Filter Area</t>
  </si>
  <si>
    <t>Is all Harmonic Filter Equipment in good general condition and free from damages / rust?</t>
  </si>
  <si>
    <t>Are HF Cables and Bellmounhs in good general condition and free from damages?</t>
  </si>
  <si>
    <t>Are all HF Grounding / Earthing Wires in good general condition and free from damages?</t>
  </si>
  <si>
    <t>Are all HF Grounding / Earthing Panels in good general condition and free from damages / rust?</t>
  </si>
  <si>
    <t>Outside - LOS Communications Tower</t>
  </si>
  <si>
    <t>Is the LOS Tower Corrosion Protection (Paint) in good general condition and free from damages / rust?</t>
  </si>
  <si>
    <t>Is LOS Tower Safety System sufficiently in place on the ladders to stop unauthorised entry and is it in good general condition and locked?</t>
  </si>
  <si>
    <t>Are all LOS Tower equipments functioning correctly?</t>
  </si>
  <si>
    <t>Outside - Grass / Recreation Areas at West and East ends of the Substation</t>
  </si>
  <si>
    <t>Is the grass / plants / recreation areas at the West and East ends of the Substation in good general condition and sufficiently maintained?</t>
  </si>
  <si>
    <t>Outside - Equipment - South West Corner - VSR Oil Water Seperator</t>
  </si>
  <si>
    <t>Equipment is in good general condition and shows no signs of damage or deterioration affecting it's integrity?</t>
  </si>
  <si>
    <t>Outside - Equipment South West Corner - VSR Insulation Oil Leakage Collection Tank</t>
  </si>
  <si>
    <t>Outside - Equipment - South West Corner - Fire Water Pool</t>
  </si>
  <si>
    <t>Outside - Equipment - North West Corner - TR Insulation Leakage Collection Tank</t>
  </si>
  <si>
    <t>Outside - Equipment - North West Corner - MTR Oil Water Seperator</t>
  </si>
  <si>
    <t>Outside - Equipment - North East Corner - Diesel Storage Tank</t>
  </si>
  <si>
    <t>Outside - Equipment - Central East Side - Underground Sewage Treament Facility</t>
  </si>
  <si>
    <t>Outside - Equipment - Central East Side - Sump Pit for Sewage Treament Facility</t>
  </si>
  <si>
    <t>Outside - Equipment - South East Corner - Fire Water Pool</t>
  </si>
  <si>
    <t>Outside - Onshore Substation Building Perimiter walls and Doors</t>
  </si>
  <si>
    <t>Building doors are free from damage / rust and function correctly? (closing and locking sufficiently)</t>
  </si>
  <si>
    <t>Building concrete, external tiling and foundations shows no signs of damage or deterioration affecting it's integrity?</t>
  </si>
  <si>
    <t>All downpipes, guttering and rainwater runoffs are free from damages and suffiiciently run off away from the buildings and into the perimiter drainage ditches?</t>
  </si>
  <si>
    <t xml:space="preserve">1F - North-East Side Entrance Corridor 2 </t>
  </si>
  <si>
    <t>Entrance Stairs</t>
  </si>
  <si>
    <t>Civils - Entrance Stairs</t>
  </si>
  <si>
    <t>Entrance Stairs are in good general condition and free from damages?</t>
  </si>
  <si>
    <t>Handrails</t>
  </si>
  <si>
    <t>Handrails are in good general condition and free from damages / rust?</t>
  </si>
  <si>
    <t>1-304</t>
  </si>
  <si>
    <t>Door</t>
  </si>
  <si>
    <t>Door is free from damage / rust (inside and outside) and functions correctly? (closing and locking sufficiently)</t>
  </si>
  <si>
    <t>Ground (Concrete)</t>
  </si>
  <si>
    <t>Ground (Concrete Flooring) is in good general condition and free from damages?</t>
  </si>
  <si>
    <t>Louver</t>
  </si>
  <si>
    <t>Louver is in good general condition and free from damages / rust?</t>
  </si>
  <si>
    <t>Wall / Ceiling</t>
  </si>
  <si>
    <t>Wall / Ceiling is in good general condition and free from damages?</t>
  </si>
  <si>
    <t>Painting</t>
  </si>
  <si>
    <t>Painted / Coated finish is in good general condition and free from excessive damages?  (No leakage / water marks etc)</t>
  </si>
  <si>
    <t>Cable Trays / Ducting</t>
  </si>
  <si>
    <t>Cable Trays and Ducting is in good general condition and free from damages / rust?</t>
  </si>
  <si>
    <t>General Lighting</t>
  </si>
  <si>
    <t>General lighting is all fully functional and providing sufficient lighting to all areas of the room?</t>
  </si>
  <si>
    <t>Emergency Exit lights</t>
  </si>
  <si>
    <t xml:space="preserve">Are Emergency Exit lights present and functioning correctly? </t>
  </si>
  <si>
    <t>Fire-Fighting Equipment</t>
  </si>
  <si>
    <t>Is appropriate fire-fighting equipment installed in the area? (Handheld or Firefighting System)</t>
  </si>
  <si>
    <t xml:space="preserve">1F - North Side Back Up Generator Room </t>
  </si>
  <si>
    <t>1-310</t>
  </si>
  <si>
    <t>Ground (Epoxy)</t>
  </si>
  <si>
    <t>Ground (Epoxy Flooring) is in good general condition and free from damages?</t>
  </si>
  <si>
    <t>Generator</t>
  </si>
  <si>
    <t>Generator equipment is in good general condition and free from damages? (No signs of leakage etc)</t>
  </si>
  <si>
    <t>Generator Fuel / Oil Levels</t>
  </si>
  <si>
    <t>Generator equipment levels (fuel / oil etc) are within acceptable levels?</t>
  </si>
  <si>
    <t>1F - Day Tank Room 1</t>
  </si>
  <si>
    <t>1-311</t>
  </si>
  <si>
    <t>Fuel Tank</t>
  </si>
  <si>
    <t>Fuel Tank equipment is in good general condition and free from damages? (No signs of leakage etc)</t>
  </si>
  <si>
    <t>Fuel / Oil Levels</t>
  </si>
  <si>
    <t>Fuel Tank equipment levels (fuel / oil etc) are within acceptable levels?</t>
  </si>
  <si>
    <t>1F - Day Tank Room 2</t>
  </si>
  <si>
    <t>1-312</t>
  </si>
  <si>
    <t>1F - Day Tank Room 3</t>
  </si>
  <si>
    <t>1-313</t>
  </si>
  <si>
    <t>1F - South Side Back Up Generator Room 2</t>
  </si>
  <si>
    <t>1-309</t>
  </si>
  <si>
    <t>1F - Day Tank Room 4</t>
  </si>
  <si>
    <t>1-314</t>
  </si>
  <si>
    <t>1F - Day Tank Room 5</t>
  </si>
  <si>
    <t>1-315</t>
  </si>
  <si>
    <t>1F - Day Tank Room 6</t>
  </si>
  <si>
    <t>1-316</t>
  </si>
  <si>
    <t>1F - North Side CGIS Panel Room 2 (Switchgear Room)</t>
  </si>
  <si>
    <t>1-317</t>
  </si>
  <si>
    <t>Panels</t>
  </si>
  <si>
    <t>CGIS Panels are all in good general condition, free from damage &amp; locked / lockable?</t>
  </si>
  <si>
    <t>Air Conditioning</t>
  </si>
  <si>
    <t>Air Conditioning is in good general condition and functioning correctly? (e.g. Room is Ambient Temperature and Low Humdity?)</t>
  </si>
  <si>
    <t>1F - North Side CGIS Panel Room 1 (Switchgear Room)</t>
  </si>
  <si>
    <t>1-308</t>
  </si>
  <si>
    <t>1F - North Side TPC Equipment Room</t>
  </si>
  <si>
    <t>1-306</t>
  </si>
  <si>
    <t>Door is free from damage / rust (outside) and securely locked? (e.g. No access allowed to this room)</t>
  </si>
  <si>
    <t>External Building</t>
  </si>
  <si>
    <t>External Building walls / louvers etc are in good general condition and free from damages?</t>
  </si>
  <si>
    <t>1F - Unassigned Room</t>
  </si>
  <si>
    <t>1-305</t>
  </si>
  <si>
    <t>1-307</t>
  </si>
  <si>
    <t>Panels are all in good general condition, free from damage &amp; locked / lockable?</t>
  </si>
  <si>
    <t>1F - North Side Corridor to Loading Bay and Elevator (Not Stairwell)</t>
  </si>
  <si>
    <t>Door (Side Entrance)</t>
  </si>
  <si>
    <t>Roller Door</t>
  </si>
  <si>
    <t>Roller Door is free from damage / rust (inside and outside) and functions correctly? (closing and locking sufficiently)</t>
  </si>
  <si>
    <t>Loading Bay</t>
  </si>
  <si>
    <t>Loading Bay is in good general condition and free from damages and clear of articles / ready for unimpeded use?</t>
  </si>
  <si>
    <t>Handrails is in good and safe general condition and free from damages?</t>
  </si>
  <si>
    <t>Stairs</t>
  </si>
  <si>
    <t>Stairs are in good general condition and free from damages?</t>
  </si>
  <si>
    <t>1F - 220 &amp; 161 GIS ROOM</t>
  </si>
  <si>
    <t>1-209</t>
  </si>
  <si>
    <t>Ground</t>
  </si>
  <si>
    <t>Louvers are in good general condition and free from damages / rust?</t>
  </si>
  <si>
    <t>Wall</t>
  </si>
  <si>
    <t>GIS 161KV 2A</t>
  </si>
  <si>
    <t>GIS Equipment is in good general condition and free from damages / rust? - Additionally, are all SPF levels / pressures adequate?</t>
  </si>
  <si>
    <t>GIS 220KV 2A</t>
  </si>
  <si>
    <t>GIS 161KV 2B</t>
  </si>
  <si>
    <t>GIS 220KV 2B</t>
  </si>
  <si>
    <t>GIS 161KV 3A &amp; 3B</t>
  </si>
  <si>
    <t>GIS 220KV 3A &amp; 3B</t>
  </si>
  <si>
    <t>Rolling shutter</t>
  </si>
  <si>
    <t>Roller Shutter Door is free from damage / rust (inside and outside) and functions correctly? (closing and locking sufficiently)</t>
  </si>
  <si>
    <t>earthing</t>
  </si>
  <si>
    <t>Is earthing and grounding (electrical bonding) in good general condition and free from damages for all equipment?</t>
  </si>
  <si>
    <t>Fire Fighting Equipment</t>
  </si>
  <si>
    <t>Climatic Conditions</t>
  </si>
  <si>
    <t>Is Temperature / Humidity within acceptable tolerances?</t>
  </si>
  <si>
    <t>Is Particle Recorder PPM (Particles Per Million) within acceptable tolerances?</t>
  </si>
  <si>
    <t>Crane Hook</t>
  </si>
  <si>
    <t>Is the hook free from damage, cracks, or corrosion?</t>
  </si>
  <si>
    <t>Crane Hook Latch</t>
  </si>
  <si>
    <t>Is the hook latch free from damage or deformed conditions?</t>
  </si>
  <si>
    <t>Crane Lifting Cable</t>
  </si>
  <si>
    <t>Is the lifting cable free from twisting, deformation or corrosion?</t>
  </si>
  <si>
    <t>Crane Overwinding Device</t>
  </si>
  <si>
    <t>Is the overwinding Device with auto power-off and braking function working adequately?</t>
  </si>
  <si>
    <t>Crane Overload Protection</t>
  </si>
  <si>
    <t>Is the overload protection device working adequately with automatic power-off function as required?</t>
  </si>
  <si>
    <t>Crane Blocker</t>
  </si>
  <si>
    <t>Is the crane blocker free from damage / skew (adequately centered)?</t>
  </si>
  <si>
    <t>Crane Alarm System</t>
  </si>
  <si>
    <t>Is the alarm system working correctly when the crane is moving?</t>
  </si>
  <si>
    <t>Crane Function</t>
  </si>
  <si>
    <t>Are all operations functioning correctly?</t>
  </si>
  <si>
    <t>Crane Capacity Markings</t>
  </si>
  <si>
    <t>Are any markings of the crane's maximum capacity still clearly visible / obvious to read?</t>
  </si>
  <si>
    <t>1F - North Side Main Transformer Room (MTR 2A)</t>
  </si>
  <si>
    <t>1-216</t>
  </si>
  <si>
    <t>Ground (Concrete) is in good general condition and free from damages?</t>
  </si>
  <si>
    <t>Window</t>
  </si>
  <si>
    <t>Windows are in good general condition and free from damages / rust?</t>
  </si>
  <si>
    <t>HV Cable</t>
  </si>
  <si>
    <t>HV Cable is in good general condition and free from damages / issues?</t>
  </si>
  <si>
    <t>Cable Trays</t>
  </si>
  <si>
    <t>Firefighting Piping</t>
  </si>
  <si>
    <t>Firefighting piping / ducting is in good general condition and free from damages / rust?</t>
  </si>
  <si>
    <t>Lighting</t>
  </si>
  <si>
    <t>Main Transformer</t>
  </si>
  <si>
    <t>The main transformer is in good general condition and free from damages / rust?</t>
  </si>
  <si>
    <t>Tank Oil Temperature</t>
  </si>
  <si>
    <t>The main transformer tank oil is acceptable level and temperature range?</t>
  </si>
  <si>
    <t>Winding Oil Temperature</t>
  </si>
  <si>
    <t>The main transformer winding oil is acceptable level and temperature range?</t>
  </si>
  <si>
    <t>Oil Sample</t>
  </si>
  <si>
    <t>The main transformer oil sample is in acceptable range of clealiness?</t>
  </si>
  <si>
    <t>Earthing</t>
  </si>
  <si>
    <t>Exit lights</t>
  </si>
  <si>
    <t>Are emergency exit lights all fully functional and providing sufficient lighting required for emergency conditions?</t>
  </si>
  <si>
    <t>Firefighting Equipment</t>
  </si>
  <si>
    <t>1F - MTR Radiator Room 2A</t>
  </si>
  <si>
    <t>1-217</t>
  </si>
  <si>
    <t>Handrail</t>
  </si>
  <si>
    <t>Handrail is in good general condition and free from damages / issues?</t>
  </si>
  <si>
    <t>Radiator</t>
  </si>
  <si>
    <t>The radiator is in good general condition and free from damages / rust?</t>
  </si>
  <si>
    <t>1F - North Side Main Transformer Room (MTR 2B)</t>
  </si>
  <si>
    <t>1-214</t>
  </si>
  <si>
    <t>1F - MTR Radiator Room 2B</t>
  </si>
  <si>
    <t>1-215</t>
  </si>
  <si>
    <t>1F - North Side Main Transformer Room (MTR 3A)</t>
  </si>
  <si>
    <t>1-212</t>
  </si>
  <si>
    <t>1F - MTR Radiator Room 3A</t>
  </si>
  <si>
    <t>1-213</t>
  </si>
  <si>
    <t>1F - North Side Main Transformer Room (MTR 3B)</t>
  </si>
  <si>
    <t>1-210</t>
  </si>
  <si>
    <t>1F - MTR Radiator Room 3B</t>
  </si>
  <si>
    <t>1-211</t>
  </si>
  <si>
    <t>1F - Variable Shunt Reactor Room (VSR 3B)</t>
  </si>
  <si>
    <t>1-201</t>
  </si>
  <si>
    <t>Epoxy Floor</t>
  </si>
  <si>
    <t>VSR</t>
  </si>
  <si>
    <t>1F - VSR Radiator Room 3B</t>
  </si>
  <si>
    <t>1-202</t>
  </si>
  <si>
    <t>1F - Variable Shunt Reactor Room (VSR 3A)</t>
  </si>
  <si>
    <t>1-203</t>
  </si>
  <si>
    <t>1F - VSR Radiator Room 3A</t>
  </si>
  <si>
    <t>1-204</t>
  </si>
  <si>
    <t>1F - Variable Shunt Reactor Room (VSR 2B)</t>
  </si>
  <si>
    <t>1-205</t>
  </si>
  <si>
    <t>1F - VSR Radiator Room 2B</t>
  </si>
  <si>
    <t>1-206</t>
  </si>
  <si>
    <t>1F - Variable Shunt Reactor Room (VSR 2A)</t>
  </si>
  <si>
    <t>1-207</t>
  </si>
  <si>
    <t>1F - VSR Radiator Room 2A</t>
  </si>
  <si>
    <t>1-208</t>
  </si>
  <si>
    <t>1F - South East Side Corridor 3</t>
  </si>
  <si>
    <t>1-415</t>
  </si>
  <si>
    <t>1F - Scada Control Room 1</t>
  </si>
  <si>
    <t>1-416</t>
  </si>
  <si>
    <t>1F - Remote Control Panel Room (RCP / HMI Room)</t>
  </si>
  <si>
    <t>1-417</t>
  </si>
  <si>
    <t>1F - Scada Control Room 2</t>
  </si>
  <si>
    <t>1-418</t>
  </si>
  <si>
    <t>1F - Male Restroom</t>
  </si>
  <si>
    <t>1-413</t>
  </si>
  <si>
    <t>1F - Accessible Restroom</t>
  </si>
  <si>
    <t>1-414</t>
  </si>
  <si>
    <t>1F - Female Restroom</t>
  </si>
  <si>
    <t>1-412</t>
  </si>
  <si>
    <t>1F - Pantry Room</t>
  </si>
  <si>
    <t>1-411</t>
  </si>
  <si>
    <t>1F - Public / Office Room</t>
  </si>
  <si>
    <t>1-410</t>
  </si>
  <si>
    <t>Office Room</t>
  </si>
  <si>
    <t>Day Room</t>
  </si>
  <si>
    <t>1-409</t>
  </si>
  <si>
    <t>Meeting Room</t>
  </si>
  <si>
    <t>1-408</t>
  </si>
  <si>
    <t>Storage Room</t>
  </si>
  <si>
    <t>1-407</t>
  </si>
  <si>
    <t>1F - Workshop Room</t>
  </si>
  <si>
    <t>1-406</t>
  </si>
  <si>
    <t>1F - UPS Room 2</t>
  </si>
  <si>
    <t>1-405</t>
  </si>
  <si>
    <t>1F - Battery Room 2</t>
  </si>
  <si>
    <t>1-404</t>
  </si>
  <si>
    <t>1F - UPS Room 1</t>
  </si>
  <si>
    <t>1-403</t>
  </si>
  <si>
    <t>1F - Battery Room 1</t>
  </si>
  <si>
    <t>1-402</t>
  </si>
  <si>
    <t>1F - Firefighting Room</t>
  </si>
  <si>
    <t>1-401</t>
  </si>
  <si>
    <t>1F - Stairwell A Room</t>
  </si>
  <si>
    <t>1-101</t>
  </si>
  <si>
    <t>1F - Elevator Shaft Room 1</t>
  </si>
  <si>
    <t>1-102</t>
  </si>
  <si>
    <t>Basement - Stairwell A</t>
  </si>
  <si>
    <t>B-101</t>
  </si>
  <si>
    <t>Check if the floor level with no depressions, damages, or obstacles.</t>
  </si>
  <si>
    <t>Check if the doors can be easily opened and lead to a safe area.</t>
  </si>
  <si>
    <t>Check if  the door locks are easy to operate</t>
  </si>
  <si>
    <t>Check if the protective film removed</t>
  </si>
  <si>
    <t>Check if there is no visible damage or deterioration on the wall surfaces</t>
  </si>
  <si>
    <t>Check if the paint is properly adhered to the wall surface without peeling, blistering, or flaking</t>
  </si>
  <si>
    <t>Check if the paint color and finish match the specifications for the area</t>
  </si>
  <si>
    <t>Check if the walls are clean and free from dust, dirt, or any other contaminants</t>
  </si>
  <si>
    <t>Check if the handrall may need repair or replacement, such as damaged handrails or supports.</t>
  </si>
  <si>
    <t>Check if the lighting fixtures for proper operation</t>
  </si>
  <si>
    <t>Check if the lighting fixtures are not obstructed by other installations</t>
  </si>
  <si>
    <t>Check if the cables are properly grounded and there are no exposed metal parts</t>
  </si>
  <si>
    <t>Check if it is clearly visible and easily recognizabled</t>
  </si>
  <si>
    <t>Fire-Fighting</t>
  </si>
  <si>
    <t>Check if there is any appropriate fire-fighting facility is installed</t>
  </si>
  <si>
    <t>Basement - Shaft 1</t>
  </si>
  <si>
    <t>B-102</t>
  </si>
  <si>
    <t>Check if the floor level with no depressions or obstacles.</t>
  </si>
  <si>
    <t>Basement - Vestibule</t>
  </si>
  <si>
    <t>B-103</t>
  </si>
  <si>
    <t>Basement - Cable Room</t>
  </si>
  <si>
    <t>B-201</t>
  </si>
  <si>
    <t>Cable Tray</t>
  </si>
  <si>
    <t>Check if the cable tray for any signs of deformation, bending, or breakage</t>
  </si>
  <si>
    <t xml:space="preserve">HV Cable </t>
  </si>
  <si>
    <t>Check if there is any termites or rats in the vicinity of the HV cables.</t>
  </si>
  <si>
    <t>Check if there is any unknown heat resource near the HV cables.</t>
  </si>
  <si>
    <t>Check if the cable surface is damaged</t>
  </si>
  <si>
    <t>Check if there are labels or markings on the HV cables for identification.</t>
  </si>
  <si>
    <t>Check if the HV cables snake is sufficient.</t>
  </si>
  <si>
    <t>Check if the HV cables are fixed and fastened on the cable cleats.</t>
  </si>
  <si>
    <t>HV Cable Cleat / Cable Support</t>
  </si>
  <si>
    <t>Check if the HV cables cleat is damaged.</t>
  </si>
  <si>
    <t>Check if the painting of HV cables cleat is damaged</t>
  </si>
  <si>
    <t>Check if the HV cables cleats are fixed to the floor or below the ceiling with screws.</t>
  </si>
  <si>
    <t>Check if the earthing wires are not damaged and fixed well.</t>
  </si>
  <si>
    <t>Basement - North West Side Onshore Export Cable Inlet</t>
  </si>
  <si>
    <t>NA ( Maintain Hole )</t>
  </si>
  <si>
    <t>Basement - South West Side Onshore Export Cable Inlet</t>
  </si>
  <si>
    <t>Basement - Local Equipment Panels (x5)</t>
  </si>
  <si>
    <t>B201</t>
  </si>
  <si>
    <t>Basement - Basement Room Corridor 1</t>
  </si>
  <si>
    <t>B-305</t>
  </si>
  <si>
    <t>Basement - Fire Pump Room</t>
  </si>
  <si>
    <t>B-302</t>
  </si>
  <si>
    <t>Basement - Shaft 3</t>
  </si>
  <si>
    <t>B-303</t>
  </si>
  <si>
    <t>Basement - Stairwell B between Basement and 1st Floor</t>
  </si>
  <si>
    <t>Basement - Elevator</t>
  </si>
  <si>
    <t>B-301</t>
  </si>
  <si>
    <t>Elevator Cart</t>
  </si>
  <si>
    <t>Check if it stops level with each floor</t>
  </si>
  <si>
    <t>Elevator Door</t>
  </si>
  <si>
    <t>Check if the door can be safely opened and closed.</t>
  </si>
  <si>
    <t>Emergency Communication</t>
  </si>
  <si>
    <t>Check if the emergency communication system to ensure it can establish contact with the outside world</t>
  </si>
  <si>
    <t>Signs &amp; Markings</t>
  </si>
  <si>
    <t>Check if the elevator has appropriate safety signs and markings both inside and outside."</t>
  </si>
  <si>
    <t>Cleanliness</t>
  </si>
  <si>
    <t>Check the cleanliness and maintenance condition of the elevator interior and exterior to ensure they are kept clean and free from damage.</t>
  </si>
  <si>
    <t>Pannel</t>
  </si>
  <si>
    <t>Check if the inside and outside panels are damaged.</t>
  </si>
  <si>
    <t>2F - Lift Engine Room</t>
  </si>
  <si>
    <t>2-301</t>
  </si>
  <si>
    <t>2F - Stairwell B Room</t>
  </si>
  <si>
    <t>2-302</t>
  </si>
  <si>
    <t>2F - Corridor</t>
  </si>
  <si>
    <t>2-309</t>
  </si>
  <si>
    <t>2F - Roof Area</t>
  </si>
  <si>
    <t>2-304</t>
  </si>
  <si>
    <t>2F - HVAC Room (Fan Mechanical Room)</t>
  </si>
  <si>
    <t>2-307</t>
  </si>
  <si>
    <t>2F - HVAC Room (Air Chamber Room)</t>
  </si>
  <si>
    <t>2-308</t>
  </si>
  <si>
    <t>2F - Crane Maintenance Platform</t>
  </si>
  <si>
    <t>2-305</t>
  </si>
  <si>
    <t>2F - Stairwell B from Second Floor to 1st Floor</t>
  </si>
  <si>
    <t>ITP Status Key:</t>
  </si>
  <si>
    <t>This Month</t>
  </si>
  <si>
    <t>Contractor</t>
  </si>
  <si>
    <t>Note</t>
    <phoneticPr fontId="3" type="noConversion"/>
  </si>
  <si>
    <t>#</t>
    <phoneticPr fontId="3" type="noConversion"/>
  </si>
  <si>
    <t>Project</t>
    <phoneticPr fontId="3" type="noConversion"/>
  </si>
  <si>
    <t>Classification</t>
    <phoneticPr fontId="3" type="noConversion"/>
  </si>
  <si>
    <t>Issue</t>
    <phoneticPr fontId="3" type="noConversion"/>
  </si>
  <si>
    <t>Countermeasure</t>
    <phoneticPr fontId="3" type="noConversion"/>
  </si>
  <si>
    <t>Situation</t>
    <phoneticPr fontId="3" type="noConversion"/>
  </si>
  <si>
    <t>Resp. Personnel</t>
    <phoneticPr fontId="3" type="noConversion"/>
  </si>
  <si>
    <t>Issue Date</t>
    <phoneticPr fontId="3" type="noConversion"/>
  </si>
  <si>
    <t>Closing Date</t>
    <phoneticPr fontId="3" type="noConversion"/>
  </si>
  <si>
    <t>Remind</t>
    <phoneticPr fontId="3" type="noConversion"/>
  </si>
  <si>
    <t>Remark</t>
    <phoneticPr fontId="3" type="noConversion"/>
  </si>
  <si>
    <t>Planning</t>
    <phoneticPr fontId="3" type="noConversion"/>
  </si>
  <si>
    <t>Actual</t>
    <phoneticPr fontId="3" type="noConversion"/>
  </si>
  <si>
    <t>Open</t>
  </si>
  <si>
    <t>Ref
Number</t>
  </si>
  <si>
    <t>Hailong</t>
  </si>
  <si>
    <t>EMPL-GNC-016848</t>
  </si>
  <si>
    <t xml:space="preserve">Clarify if raise the NCR to the cable deformed issue to Hellenic.
</t>
  </si>
  <si>
    <t xml:space="preserve">Clarify with Hellenic </t>
  </si>
  <si>
    <r>
      <t xml:space="preserve">2024/07/31
Aldrik issued the official letter to clarify the issue [ </t>
    </r>
    <r>
      <rPr>
        <b/>
        <sz val="10"/>
        <rFont val="calbri"/>
      </rPr>
      <t>EMPL-GNC-016848</t>
    </r>
    <r>
      <rPr>
        <sz val="10"/>
        <rFont val="calbri"/>
      </rPr>
      <t xml:space="preserve"> ].
2024/09/02
No response from Hellenic.
2024/09/05
- Hellenic has replied the feedback to HL. This deformed section does not affect to the cable function and no need to be repaired.
2024/09/06
- No concern on this matter.
</t>
    </r>
  </si>
  <si>
    <t>Cherry</t>
  </si>
  <si>
    <t>CTI - IAC</t>
  </si>
  <si>
    <t>To get the official letter and update to Goto San</t>
  </si>
  <si>
    <t xml:space="preserve">Cherry </t>
  </si>
  <si>
    <t>CTI</t>
  </si>
  <si>
    <t>Lessons Learnt for HL</t>
  </si>
  <si>
    <t>Request S7</t>
  </si>
  <si>
    <t xml:space="preserve">2024/8/31
S7 provided the LL to HL for information. 
2024/8/31
The LL has been shared to CAB team, Cherry.
</t>
  </si>
  <si>
    <t>Daniel</t>
  </si>
  <si>
    <t>CTI - EXC</t>
  </si>
  <si>
    <t>EMPL-RFTI-000461</t>
  </si>
  <si>
    <t>1600mm²-HOC Ring Plate Bolting Difficulties</t>
  </si>
  <si>
    <t>Consult LSC to help clarify it.</t>
  </si>
  <si>
    <t>TNI - JKT</t>
  </si>
  <si>
    <t>CDWE-GNC-003807</t>
  </si>
  <si>
    <t>CJ</t>
  </si>
  <si>
    <t xml:space="preserve">The ATC pressure can’t reach 100bar as design requirement.
</t>
  </si>
  <si>
    <t xml:space="preserve">2024/8/30
Anti Tailing Cylinders (ATC) pressure has been addressed by IQIP = solved in TQ
</t>
  </si>
  <si>
    <t>Timo</t>
  </si>
  <si>
    <t>RTI</t>
  </si>
  <si>
    <t>TNI - OSS</t>
  </si>
  <si>
    <t>CDWE-NCR-000007</t>
  </si>
  <si>
    <t>Sling issue on the jacket NCR for HL2 and HL3 are same.</t>
  </si>
  <si>
    <t>EXC</t>
  </si>
  <si>
    <t xml:space="preserve">2024/09/02
Discuss this issue with Alfy to issue the NCR
</t>
  </si>
  <si>
    <t xml:space="preserve">2024/09/02
Waiting for Danie M provide more information.
2024/09/03
This issue does not need to raise an NCR based on Aldrik say it is a defect in the quality communication meeting.
</t>
  </si>
  <si>
    <t>EMPL-RFTI-000458</t>
  </si>
  <si>
    <t xml:space="preserve">CPS with visible abnormalities
</t>
  </si>
  <si>
    <t>TQ to clarify it with Tekmar.</t>
  </si>
  <si>
    <t xml:space="preserve">2024/09/02
Tekmar reply that the defect on the HL2A/2B are not impact to the performce of the CPS.
2024/09/06
Refer to the [ EMPL-RFTI-000458 ], Tekmar has clearly provide the technical explain.
</t>
  </si>
  <si>
    <t xml:space="preserve">EMPL-RNONC-000478 </t>
  </si>
  <si>
    <t xml:space="preserve">the statement is not clear for "Final Product Integrity Statement".
</t>
  </si>
  <si>
    <t>LSC-NCR-000028</t>
  </si>
  <si>
    <t xml:space="preserve">need MoC to close the NCR due to the pulling head has replaced by Chinese finger.
</t>
  </si>
  <si>
    <t>Cherry to provide the MoC from S7.</t>
  </si>
  <si>
    <t xml:space="preserve">2024/09/03
Cherry will forword the MoC to close the NCR out.
2024/09/12
Cherry provided the MoC from S7. The NCR close out officially with robust documents.
</t>
  </si>
  <si>
    <t>Cherry / Daniel</t>
  </si>
  <si>
    <t>CDWE</t>
  </si>
  <si>
    <t>TBC</t>
  </si>
  <si>
    <t>QMT</t>
  </si>
  <si>
    <t>CDWE-NCR-000010</t>
  </si>
  <si>
    <t>discuss the NCR-10 Anping hinterland PP supports height with CDWE</t>
  </si>
  <si>
    <t>Close the NCR</t>
  </si>
  <si>
    <t xml:space="preserve">2024/09/25
- CDWE advised that CDWE-NCR-000010 is to be voided. HL still have comments on this. Quality teams are to align on this. 
2024/10/03 
 - The NCR was closed after CDWE's updates and Dainel's confirm.
</t>
  </si>
  <si>
    <t xml:space="preserve">The painting is damaged inside the jacket.
</t>
  </si>
  <si>
    <t>WF-028736</t>
  </si>
  <si>
    <t>JDN's scope is no clear cause the PQP has gap in parties.</t>
  </si>
  <si>
    <t>TNI</t>
  </si>
  <si>
    <t>CDWE-GNC-004035</t>
  </si>
  <si>
    <t>SW7-NCR-000001 &amp; 3</t>
  </si>
  <si>
    <t>The NCRs are duplicated.</t>
  </si>
  <si>
    <t xml:space="preserve">check with SW7 which one would like to be closed.
</t>
  </si>
  <si>
    <t>The deformation cable is acceptable?</t>
  </si>
  <si>
    <t>LSC-NCR-000030</t>
  </si>
  <si>
    <t>Status
[Formula]</t>
  </si>
  <si>
    <t>Type
[Select]</t>
  </si>
  <si>
    <t>Contractor
[Select]</t>
  </si>
  <si>
    <t>Subject</t>
  </si>
  <si>
    <t>Reference Standards/
Clauses</t>
  </si>
  <si>
    <t>Details/
Description of Nonconformaity</t>
  </si>
  <si>
    <t>Nonconformity 
Found Location</t>
  </si>
  <si>
    <t>Person In Charge</t>
  </si>
  <si>
    <t>Serial No.'s/
Batch Ref affected</t>
  </si>
  <si>
    <t>Nonconformance Category
[Select]</t>
  </si>
  <si>
    <t>Product Disposition
[Select]</t>
  </si>
  <si>
    <t>Repair Method Statement</t>
  </si>
  <si>
    <t>Product Disposition Justification</t>
  </si>
  <si>
    <t>Immediate Correction Action Proposal</t>
  </si>
  <si>
    <t>Correction</t>
  </si>
  <si>
    <t>Root Cause Analysis (how/why?)</t>
  </si>
  <si>
    <t>Corrective Actions</t>
  </si>
  <si>
    <t>Corrective Action</t>
  </si>
  <si>
    <t>Final Product Integrity Statement</t>
  </si>
  <si>
    <t>Criticality</t>
  </si>
  <si>
    <t>Agreed</t>
  </si>
  <si>
    <t>Closed Date</t>
  </si>
  <si>
    <t>Found  By</t>
  </si>
  <si>
    <t>Raised By</t>
  </si>
  <si>
    <t xml:space="preserve"> Verification</t>
  </si>
  <si>
    <t>Verified By</t>
  </si>
  <si>
    <t>Product Integrity related?
[Select]</t>
  </si>
  <si>
    <t>Permanent Product Deviation
[Select]</t>
  </si>
  <si>
    <t>Impact to O&amp;M?
[Select]</t>
  </si>
  <si>
    <t>Project Quality Manager
[Select]</t>
  </si>
  <si>
    <t>Package Manager
[Select]</t>
  </si>
  <si>
    <t>CDWE-NCR-000005</t>
  </si>
  <si>
    <t>Non-Conformance Report</t>
  </si>
  <si>
    <t>HL-TNI-CDWE-ENG-NCR-0005 OSS Grouting period exceedance</t>
  </si>
  <si>
    <t>Employer requirement related to seven days trouting time.</t>
  </si>
  <si>
    <t xml:space="preserve">Maximum time between OSS jacket installation and start grouting operation on fourth skirt pile: seven (7) days, subject to DNV approval of Contractor provided memo on duration. 
HL2 OSS JKT was placed on the seabed on the 24th of April, 2024 at 00:10 AM. Consequently, start of grouting operations on fourth skirt pile was expected to occur before 1st of May, 2024 at 00:10 AM. Due to several weather downtime and operational related delays, this timeline was not achieved.
</t>
  </si>
  <si>
    <t>HL2 OSS JKT</t>
  </si>
  <si>
    <t>Cristian Alonso</t>
  </si>
  <si>
    <t>Cat C – Minor (No Associated Risk)</t>
  </si>
  <si>
    <t xml:space="preserve">Use As Is / Reclassification (with Engineering Authority Assessment and Acceptance) </t>
  </si>
  <si>
    <t>x</t>
  </si>
  <si>
    <t>Impact of delay in grouting neglegible</t>
  </si>
  <si>
    <t>NA
[ Because the grouting operation  has been completed, and tDNV no further comment ]</t>
  </si>
  <si>
    <t>Yes</t>
  </si>
  <si>
    <t xml:space="preserve">2024/05/28
HL-TNI-CDWE-ENG-TNO-00010  is currently under review by the Project Certifier and thus we cannot conclude on the NCR yet.  </t>
  </si>
  <si>
    <t>CDWE-NCR-000004</t>
  </si>
  <si>
    <t>HL2 OSS JKT mudmat sling removal</t>
  </si>
  <si>
    <t>HL-TNI-CDWE-ENG-MST-00022</t>
  </si>
  <si>
    <t xml:space="preserve">During the lift off operations of HL2-OSS Jacket, it was noticed by Contractor that ropes/slings were not fully disconnected and were hanging still connected to the mudmats. Lift off operations were followed by lowering and set down activities, resulting in those ropes resulting on the seabed and still connected to inner section of the JKT mudmats.
</t>
  </si>
  <si>
    <t>HL20-T11</t>
  </si>
  <si>
    <t>Not removal of slings/webslings during Seafastening cutting operations due to them being stuck on frondmat frame.</t>
  </si>
  <si>
    <t>CDWE-NCR-000003</t>
  </si>
  <si>
    <t>JKT End Cap SPMT clamp holes</t>
  </si>
  <si>
    <t>HL-TNI-CDWE-LOG-RPT-00015</t>
  </si>
  <si>
    <t xml:space="preserve">During the discharge of the first I_JKT in Anping, Contractor noticed some holes on the top of the End Caps allowing for the installation of the SPMT clamps did not comply with the design. Some of the holes were encountered asymmetrical and smaller than design. Reference is made to Figure 1and Figure 2 (attached document). 
Figure 3 (attached document) shows a random measurement taken showing Ø58mm, while the design hole diameter should be Ø62mm, according to HL-TNI-CDWE-LOG-RPT-00015 (rev. 4.0).
Due to this, a few clamps were not possible to install and hence, a very light gauging was required. This was performed on site to enlarge the problematic holes diameter until design values allowing the correct commissioning of the clamps.
</t>
  </si>
  <si>
    <t>Anping Q11</t>
  </si>
  <si>
    <t>Marc Castro</t>
  </si>
  <si>
    <t>First batch</t>
  </si>
  <si>
    <t xml:space="preserve">Rework (Re-process) - Back to original specific requirements </t>
  </si>
  <si>
    <t>Make conform to original specification</t>
  </si>
  <si>
    <t>Francois Smith</t>
  </si>
  <si>
    <t>All End Caps checked and delivered to Anping in accordance with required quality standards. No impact on final product.</t>
  </si>
  <si>
    <t>2024/06/14 
Daniel Huang - Agree to close this NCR.</t>
  </si>
  <si>
    <t>CDWE-NCR-000002</t>
  </si>
  <si>
    <t>JKT onshore supports clash with JKT handling frame</t>
  </si>
  <si>
    <t xml:space="preserve">During the discharge of the first I_JKT in Anping, Contractor noticed a clash between the JKT handler levelling beam and the central onshore support, as it can be observed in Figure 1. Due to the clash, the JKT could not be driven completely to the designated storage position above the onshore supports.
This clash occurred on the FWD leg on the SPMT. The two aft legs did not encounter any clashes thanks to the transport beam configuration.
In order to mitigate risks by minimising the amount of time the load was taken by the SPMT, it was mutually agreed between Employer, MWS, Sarens and CDWE to turn the support 90o. This was acceptable thanks to the squared shape of the loadspreading, equally distributing the load into the ground. Therefore, the clash was already resolved on site and this NCR intends to report the issue accordingly.
</t>
  </si>
  <si>
    <t>SPMT Central support</t>
  </si>
  <si>
    <t>The design drawing has been updated and back to the specification</t>
  </si>
  <si>
    <t>Rotate the central supports 90o (done on site) and update the design of the supports through a Change Request  (MoC).</t>
  </si>
  <si>
    <t xml:space="preserve">According to TECHNICAL MEMO / S-21-10887_TM0009 (see as from page 11 on HL-TNI-CDWE-ENG-NCR-00002 v2.0) </t>
  </si>
  <si>
    <t>A priori there was a mistake during site layout drafting. The support was designed considering such a height constraint but was wrongly drafted in the drawing later on.
Investigation is ongoing with the Subcontractor and the final outcome of the root cause will be defined here if different than above.</t>
  </si>
  <si>
    <t>1.	Verify final the drawings to ensure they match the initial concept;
2.	Perform 3D clash check;
3.	Provide survey reports to verify the correct position of the supports onshore.</t>
  </si>
  <si>
    <t>1. Verify final the drawings to ensure they match the initial concept; 
2. Perform 3D clash check; 
3. Provide survey reports to verify the correct position of the supports onshore.</t>
  </si>
  <si>
    <t>NA
202/06/14
Daniel Huang - No impact to the permanent product</t>
  </si>
  <si>
    <t xml:space="preserve">2024/06/11
Daniel Huang - CDWE is collecting the evidence for corrective action "#3 Provide survey reports to verify the correct position of the supports onshore".
2024/06/14
Daniel Huang - Close NCR without corrective action "#3 Provide survey reports </t>
  </si>
  <si>
    <t>CDWE-NCR-000001</t>
  </si>
  <si>
    <t>HL-TNI-CDWE-ENG-NCR-00001 Coating damage J03-B NCR</t>
  </si>
  <si>
    <t>Paint damage to asset during lifting.</t>
  </si>
  <si>
    <t>During the Load-in of Batch 02 in Anping, Contractor noticed two coating damages at 
pile J03-B</t>
  </si>
  <si>
    <t>pile J03-B</t>
  </si>
  <si>
    <t xml:space="preserve">Repair (with repair scheme) - Back to original specification requirements </t>
  </si>
  <si>
    <t>HL-FOU-EEWKH-FAB-PRC-00010</t>
  </si>
  <si>
    <t>Best possible solution</t>
  </si>
  <si>
    <t>EMPL-NCR-000008</t>
  </si>
  <si>
    <t>Request for NCR</t>
  </si>
  <si>
    <t>The uncompleted FAT and Follow-up Action for Vibro-hammers and Pile Installation Frame (PIF)</t>
  </si>
  <si>
    <t>HL-TNI-CDWE-QAC-ITP-00001 (3.0) Inspection and Test Plan - Pin Pile Transportation and Installation</t>
  </si>
  <si>
    <t>Vibro-hammers and Pile Installation Frame - Factory</t>
  </si>
  <si>
    <t>Daniel Huang</t>
  </si>
  <si>
    <t>Cat B – Major (Associated Risk Present)</t>
  </si>
  <si>
    <t>NCR to CDWE for Inverted TP Covers Against Water Ingress</t>
  </si>
  <si>
    <t>HL-TNI-CDWE-ENG-DBS-00022 (3.0) Basis of Design - Inverted TP covers</t>
  </si>
  <si>
    <t xml:space="preserve">According to the Basis of Design, the Inverted TP covers need to be against water ingress, please refer to the photos attached photos showing the water is leaking inside the TP.
</t>
  </si>
  <si>
    <t>SKOP Yard</t>
  </si>
  <si>
    <t>CJ Chen</t>
  </si>
  <si>
    <t>The water found is possible to remove before loadout</t>
  </si>
  <si>
    <t>CDWE and HL Client Reps</t>
  </si>
  <si>
    <t>The inverted TP cover met the specification requirements and expectations of the design intent following correct installation.  Further to this the product integrity has been confirmed within the FOU Post Installation walkdown inspection reports before the Inverted TP's have been removed and replaced with the Permanent offshore cover structures (used until WTG tower installation) designed to ensure prevention of water ingress.</t>
  </si>
  <si>
    <t>LSC-NCR-000026</t>
  </si>
  <si>
    <t>LS Cable</t>
  </si>
  <si>
    <t>HL-EXC-LSC-QAC-NCR-00026</t>
  </si>
  <si>
    <t>IEC 62067</t>
  </si>
  <si>
    <t>At approximately 00:40 on February 24th, during the manufacturing operation of Hai Long Lot #5, it was observed that the outer serving yarn was damaged while being withdrawn from the cable on the loading arm side of the turntable. Consequently, the manufacturing line was halted. Upon conducting a thorough line inspection, it was ascertained that damage had occurred to the outer serving yarn due to cable scratches on the edges of the newly installed Gangway guide roller frame, intended for the rewinding of Hai Long PJT Lot #3.
Upon the discovery of cable damage, LSC promptly notified the customer and prepared for repairs in accordance with the Yarn repair procedure.</t>
  </si>
  <si>
    <t>LSC</t>
  </si>
  <si>
    <t>HL2B.2+HL2B.3 (#5, 800+1200SQ)</t>
  </si>
  <si>
    <t xml:space="preserve">Repaired with submitted procedure </t>
  </si>
  <si>
    <t xml:space="preserve">The roller frame for rewinding was relocated to avoid scratches on the cable.Damaged yarns will be repaired in accordance with the yan repair procedure. Please refer to Attachment 1. Yarn repair procedure. 
</t>
  </si>
  <si>
    <t>The damaged yarns were repaired in accordance with the yarn repair procedure. Please refer to Attachment 1. Yarn repair procedure.</t>
  </si>
  <si>
    <t xml:space="preserve">The inadequate management of risk during the modification and enhancement of the cable transfer line(gang way) was the root cause, leading to potential interference between cable lines when installing new roller frame due to insufficient proactive anticipation. </t>
  </si>
  <si>
    <t xml:space="preserve">Following the procedures outlined in the “PP Yarn Repair Procedure” provided by LSC, the damage to this cable was addressed in accordance with the repair corresponding to 1.3.2 Damaged less than 10% of yarns in a pitch.Damaged length marking tag will be replaced to new one before load-out. Repaired section of cable was denoted every ten meters with green tape as inspector’s requirement.[Preventive actions]To prevent such incidents in the future, LSC has newly established the following procedures:1. Prior to any modification or fabrication of the cable transfer line, a work request must be drafted and approved before proceeding with the task. (Please see Attachment 2)2. Implementing a Gangway Construction Checklist to enable a pre-check of detailed specifications before the commencement of work. (Please see Attachment 3)3. Gangway Construction Work Standards has been enacted to establish criteria for gangway construction operations. (Please see Attachment 4) 
</t>
  </si>
  <si>
    <t>To prevent such incidents, relevant procedure, checklist, and work standard were changed and applied as attachment 1,2,3.Preventive actions are valid. </t>
  </si>
  <si>
    <t>The damaged outer serving yarn was repaired as identical sequence according to the HL-EXC-LSC-TNI-MAN-00001 (3.0) Manual – PP Yarn Repair Procedure.To prevent such incidents, relevant procedure, checklist, and work standard were changed and applied as attachment 1,2,3.Following the result of successful FAT on 19th Mar, the integrity of the product was verified.</t>
  </si>
  <si>
    <t xml:space="preserve">No </t>
  </si>
  <si>
    <t>LSC-NCR-000025</t>
  </si>
  <si>
    <t>HL-EXC-LSC-QAC-NCR-00025</t>
  </si>
  <si>
    <t>1.	Date of occurrence: 12:40 11th Feb 2024 
2.	Cable information: Hai Long 220kV Al 1200SQ #3-8-1 (7,469m)
3.	The occurrence can be summarized as follows: 
 During the production (#3-8-1) on 250CCV insulation process, at the time of production 2,912m, PET tape (for conductor protection) was got into insulation X-head.
LSC production team operator removed remaining PET tape, and at the same time LSC production manager checked the cctv to check how much PET tape was inside.
LSC production manager recognized total 1.6m PET tape was contained in cable insulation. To satisfy the quality standard, LSC production team stopped insulation process at 3046m.</t>
  </si>
  <si>
    <t>HL2A.3 Section 4 (#3-8-1)</t>
  </si>
  <si>
    <t>Rework (Re-process) - Back to original specific requirements</t>
  </si>
  <si>
    <t>Rework using the same processes as original product</t>
  </si>
  <si>
    <t>nternal standard was revised to reflect corrective/preventive actions.O-rings and Ionizer cleaning is conducted every 8 hours during manufacturing,Alarm and error history is recorded. </t>
  </si>
  <si>
    <t>LSC-NCR-000024</t>
  </si>
  <si>
    <t>HL-EXC-LSC-QAC-NCR-00024</t>
  </si>
  <si>
    <t>During conductor stranding process for HL2A.3 section 5, DC power supply failure was occurred at conductor stranding machine #2.
1.	Date of occurrence: 15:30 26th Jan 2024
2.	Cable information: HL2A.3 section 5(#3-8-3) 220kV Al 1200SQ 
LSC maintenance team will send the DC power supply to Siemens to verify reason and repair.</t>
  </si>
  <si>
    <t>HL2A.3 Section 5 (#3-8-3, 1200SQ)</t>
  </si>
  <si>
    <t>Scrap (dispose of the product)</t>
  </si>
  <si>
    <t xml:space="preserve">Scrap 510m of conductor </t>
  </si>
  <si>
    <t>510m of stranded cable was cut and scrapped.#3-8-3 conductor stranding process is proceeded at occurred at conductor stranding machine #2. </t>
  </si>
  <si>
    <t>The 510m of conductor was scrapped.#3-8-3 conductor stranding process was proceeded at conductor stranding machine #2. </t>
  </si>
  <si>
    <t xml:space="preserve">1 Why: During operation, an alarm occurred in the control unit and the facility was stopped.
2 Why: As a result of checking the alarm that occurred in the control unit, an overcurrent error was confirmed in the DC power supply machine.
3 Why: DC power supply machine was removed for repair and replaced with a spare product.Pre-charging power supply operation was not performed after installing spare DC power machine.
4 Why: There was failure of ethernet hub protocol status.
5 Why: To find out why pre-charging did not operate, maintenance team operator pressed the manual power button.
6 Why: When the pre-charging power supply operation was not performed, it is prohibited to use manual power button.
7 Why: There was lack of understanding of DC power supply pre-charing behavior. 
</t>
  </si>
  <si>
    <t>1. The DC power supply machine with an overcurrent error was confirmed by the Siemens repair company, and the current detection unit of the power source was found to have failed. The current detection unit has been repaired and replaced.
2. The pre-charging operation of the DC power supply machine was not performed due to a bad hardware condition of the ethernet hub for Siemens, which is responsible for communication between the PLC&lt;-&gt;DC power supply. Ethernet hub for Siemens has been replaced.
3. LSC maintenance team has been trained by Siemens manufacturers on how to pre-charge the DC power supply and how to take action if it does not work.
1) Check Ethernet hub communication status.
2) Press the emergency stop button ON -&gt; OFF, then press the Reset button and check whether the DC power supply works after a few seconds. </t>
  </si>
  <si>
    <t>LSC maintenance team purchased spare part for DC power supply and had been trained from Siemens on how to pre-charge the DC power supply and how to act if it does not work. Relevant OPL was distributed to maintenance team technicians.</t>
  </si>
  <si>
    <t>Because the 510m of conductor stranded cable was scrapped, there is not any impact to the final product integrity.Conductor sranding process of HL2A.3 Section 5 (#3-8-3, 1200SQ) was carried out at conductor stranding machine #1. </t>
  </si>
  <si>
    <t>LSC-NCR-000023</t>
  </si>
  <si>
    <t>HL-EXC-LSC-QAC-NCR-00023</t>
  </si>
  <si>
    <t>During the high voltage test for Hai Long Lot #5-3-1 (HL2B.2 section 1) submarine power cable, a breakdown occurred almost 2 minutes after applying 318kV test voltage on BL power core.
1.	Date of occurrence: 14:55 26th Jan 2024
2.	Cable information: HL2B.2 Section 1(#5-3-1) 220kV Al 800SQ sheathed cable (BL phase, 18.6km)
3.	Specific test condition
3.1 Test voltage: AC 318kV (2.5Uo)
3.2 Testing time: 30 minutes
The cable XLPE insulation resistance was measured, and the value of insulation resistance was low that it could not be measured at 10kV.
As a result of murray loop test, the fault location is estimated near 5.6~5.7km from beginning part. The exact location will be updated after pinpointing the BD point.</t>
  </si>
  <si>
    <t>HL2B.2 Section 1 (#5-3-1, 800SQ)</t>
  </si>
  <si>
    <t>Repair (with repair scheme) - Back to original specification requirements</t>
  </si>
  <si>
    <t>None</t>
  </si>
  <si>
    <t xml:space="preserve">Partial Scrap Defect (21m) - Repair with UFJ </t>
  </si>
  <si>
    <t xml:space="preserve">The non-conformance length was scrapped, and the unplanned factory joint process was completed. The factory joint process was carried out as identical sequence according to the HL-BOP-LSC-DES-PLN-00002 Control Plan for Manufacturing &amp; Monitoring list. The integrity of factory joint was verified by test procedure according to "ITP for Submarine Cables and in-house Accessories", and "FAT procedure for Export cable and Accessories”. Also, the high voltage tests were passed on both 14.93km and 8.72km parts.Additionally, to ensure the integrity of the FJ, FJ PD measurement was performed to verify the integrity of the product.Following the result of successful FAT on 19th Mar, the integrity of the product was verified. 
</t>
  </si>
  <si>
    <t>LSC-NCR-000022</t>
  </si>
  <si>
    <t>HL-EXC-LSC-QAC-NCR-00022</t>
  </si>
  <si>
    <t>During the high voltage test for Hai Long Lot #3(HL2A.3+HL2A.4) submarine power cable, a breakdown occurred almost 12 minutes after applying 318kV test voltage on RD power core.
1.	Date of occurrence: 10:37 4th Jan. 2024
2.	Cable information: HL2A.3+HL2A.4 220kV Al 1200SQ #3 completed cable (RD phase, 39.107km)
3.	Specific test condition
3.1 Test voltage: AC 318kV (2.5Uo)
3.2 Testing time: 30 minutes
The cable XLPE insulation resistance was measured, and the value of insulation resistance was low as 61.3kΩ.
After completing YL, BL phases’ high voltage test, LSC performed murray loop test to find fault location.
The location is expected near 9.2km. For the detailed result of murray loop test, please refer to attachment 1.</t>
  </si>
  <si>
    <t>HL2A.3+HL2A.4 (#3, 1200+1600SQ)</t>
  </si>
  <si>
    <t>To be updated</t>
  </si>
  <si>
    <t>With further investigation of fault location, it is confirmed that the breakdown was occurred at the factory joint, not the cable itself. (#3-5-1 + #3-6-2, RD phase FJ)  After pinpointing the exact location of the fault, LSC immediately planned to first verify the integrity of remaining cables as Table 1.
[Newly Proposed Manufacturing Plan of HL2A and HL3.2]
Since the integrity of each side of cable from the fault location has been verified through the high voltage test, revised manufacturing plan for both HL2A and HL3.2 were proposed as follows to mitigate the impact on overall manufacturing and project schedule.
1. Newly manufactured cable of 1,200SQ 7.2km and 1,600SQ 2km will be connected to a remaining section of cable HL2A 29.9km of 1200SQ by factory joints. Detailed diagram is shown in Figure 4.
2. Remaining section of 1200SQ 7.2km and 1600SQ 2km of HL2A will also be connected by factory joints to the newly manufactured 1000SQ 57.8km of HL3.2. Therefore, 1400SQ 2km will be changed to 1600SQ 2km and 1000SQ 7.2km out of 65km will be changed to 1200SQ. Revised diagram compared with previous diagram of HL3.2 are shown in Figure 5.</t>
  </si>
  <si>
    <t>Throughout investigation process, it has been confirmed that the failed factory joint has been satisfied with the criteria for design and material properties without any anomalies. In general, when the electrical breakdown occurs, the breakdown area is carbonized and combusted due to the high electrical energy, which makes it challenging to accurately identify the root cause. Thus, in many cases, the highly likely root cause is determined through the screening process with relevant test results.
Through the screening process as stated in attached investigation report, it was determined that three parameters such as dimensional, mechanical, and chemical were excluded as a cause of failure. The remained most likely root cause became defect. Furthermore, in consideration of the shape of the breakdown tree and initiation of the tree, there may have been defects above the conductor screen. A detailed review of the factory jointing process was also conducted to reveal the fundamental cause to introduce possible contaminant. It was determined that the insulation restoration was the most likely process to introduce possible contaminant, specifically in the PE taping process.As a conclusion, it is evident that there was contaminant in the insulation layer near the conductor screen. And we believe it is the root cause of the failure of the factory joint.</t>
  </si>
  <si>
    <t>Possible contaminant during the PE taping process is continuously monitored through visual inspection by jointing technicians but following equipment and actions will be reinforced to enhance the detection of contaminants.
1. Additional LED lights to be installed in the clean booth where taping work is performed
2. A magnifying glass to be used during the PE taping
3. Three times (after inner taping, during taping, after taping completed) of full visual inspection of PE taping part to be performed
4. Check list to be revised to reflect above changes made
[Preventive action]
As a further reinforcement to verify the quality of each factory joint before completion of cable, partial discharge (PD) measurement after installation of factory joint will be performed. The PD measurement for factory joint will be based on TB 490 4.9 Test of Factory Joints. (Alternative PD-measurement)Updated documents will also be submitted by 2nd of February to include PD measurement for factory joint. (ITP for submarine cables and in-house accessories, FAT procedure for export cable and accessories)</t>
  </si>
  <si>
    <t>1. Additional LED lights were installed in the clean booth where taping work is performed
2. A magnifying glass is currently used during the PE taping
3. Three times (after inner taping, during taping, after taping completed) of full visual inspection of PE taping part is currently performed.
4. Check list was revised to reflect above changes made</t>
  </si>
  <si>
    <t>LSC-NCR-000021</t>
  </si>
  <si>
    <t>HL-EXC-LSC-QAC-NCR-00021</t>
  </si>
  <si>
    <t>While cleaning the equipment after completing the #5-3-3(Hai Long 220kV Al 800SQ) insulation process, scratches were found on the outer surface of the fourth thread of the insulation screw. Additionally, scratches were found on the inner wall of the insulation cylinder at the same location.</t>
  </si>
  <si>
    <t>HL2B.2 Section 1 #5-3-3 (800SQ)</t>
  </si>
  <si>
    <t xml:space="preserve">As written in attachment 2. XLPE removal sheet, LSC completely removed the insulation layer which has possible contamination. The removal work was carried out as identical sequence according to the Attachment 1. XLPE removal procedure.The re-insulation process of #5-3-3 cable was carried out in 250CCV without any abnormality, and it passed the high voltage test successfully. 
</t>
  </si>
  <si>
    <t>LSC-NCR-000020</t>
  </si>
  <si>
    <t>HL-EXC-LSC-QAC-NCR-00020</t>
  </si>
  <si>
    <t>During the production (#5-2-4) on 250CCV insulation process, the conductor screen extruder main motor   drive fault was detected. Consequently, the alarm was sounded in the monitoring room, and the system shutdown sequence was activated. This situation was same as happened on 20th NOV 2023 (NCR-00018)</t>
  </si>
  <si>
    <t>HL2B.2 Section 1 #5-2-4 (800SQ)</t>
  </si>
  <si>
    <t>Use As Is / Reclassification (with Engineering Authority Assessment and Acceptance)</t>
  </si>
  <si>
    <t>Adjustment of cable length (Change of FJ location)</t>
  </si>
  <si>
    <t>Insulation process of 6,581m length was completed. LSC cut off and scraped about 100m cable.
[LSC-RNONC-000055]
An insulation process of 6,581m in length was completed. LSC cut off and scraped about 80m cable. To avoid unplanned FJ, LSC proposes to relocate the regular FJ position between #8-2-2 and #8-3-2 for this phase. &lt;&lt; Queation&gt;&gt; why this cable is considered as “use as is”
According to Figure 1, the conductor is continuous one body, and LSC will produce #8-3-2 insulation cable for 8,383m. Therefore, the Lot number changes for the conductor and insulation process are necessarily required to produce the delivery length. Additionally, compared to other phases, the FJ point for this specific Lot will be advanced approximately 1.7 km, as illustrated in Figure 2.</t>
  </si>
  <si>
    <t>During the replacement of the extruder motor drive(NCR 18) of 250CCV facility, the operator accidentally turned off the PLC control power. As a result, the cooling water discharge valve did not open, causing the cooling water to backflow into the 250CCV triple common head entrance, leading to a waterfall into the 150CCV.The cooling water caused the temperature of the insulation extruder cylinder to drop, leading to shutdown of the manufacturing line due to non-compliance with extrusion conditions.</t>
  </si>
  <si>
    <t>In response to the communication issues raised between the Facility Management Team and the Production Team, operator training in the form of OPL (One Point Lesson) will be distributed and conducted. Additionally, LSC will utilize work procedures to prevent defects in the operation. The major problem with the current system is that each motor drive shares one MCCB power source. As a result, the operator should turn off the whole Main control PLC power to change a single motor drive component. To prevent such accidents in the future, the individual electrical blocking method will be installed. LSC will apply 3 circuit-breakers for each motor drive in triple extruders. By Control PLC power source separation, it is possible to block the incident when the operator accidentally turns off the entire Main control PLC.</t>
  </si>
  <si>
    <t>OPL(One Point Lesson) was conducted and distributed to ensure compliance with designated power-off procedures.LSC installed circuit-breakers to control power of the drives separately.</t>
  </si>
  <si>
    <t>LSC-NCR-000019</t>
  </si>
  <si>
    <t>HL-EXC-LSC-QAC-NCR-00019</t>
  </si>
  <si>
    <t>During insulation process of Hai Long #8-2-2 Lot (HL3.1.1) submarine power cable, there was an issue with the cooling water flowing backward and fall. As a result, the insulation process was stopped. 
1.	Data of occurrence: 20:30 20th November 2023
2.	Cable information: 220kV Al 1000SQ HL3.1.1 Section 2, #8-2-2 (6,581m, 73.5% insulation process completed)
3.	Specific issue: Insulation machine was stopped due to water falling.</t>
  </si>
  <si>
    <t>HL3.1.1 Section 2 /  #8-2-2 (1000SQ)</t>
  </si>
  <si>
    <t>Partial Scrap Defect (210m) - Repair with Factory Joint</t>
  </si>
  <si>
    <t>LSC replaced the failed drive with a new drive. To be updated
Currently, the frequency of motor overhaul was changed as every 2 years. Also, a designated company performs regular diagnostics every month. Therefore, corrective/preventive actions were completed and verified.</t>
  </si>
  <si>
    <t>LSC-NCR-000018</t>
  </si>
  <si>
    <t>HL-EXC-LSC-QAC-NCR-00018</t>
  </si>
  <si>
    <t>1.	Date of occurrence: 15:30 20th Nov 2023
2.	Cable information: Hai Long 220kV Al 800SQ #5-2-2 (18,602m)
3.	The occurrence can be summarized as follows: 
During the production (#5-2-2) on 250CCV insulation process, the conductor screen extruder main motor drive fault was detected. Consequently, the alarm was sounded in the monitoring room, and system shutdown sequence was activated.
4.	Specific issue with equipment failure: 
 After extruder shutdown, LSC maintenance team took a several steps to verify the fault location. After this step LSC maintenance team confirmed conductor screen motor drive has been broken.</t>
  </si>
  <si>
    <t>HL2B.2 Section 1 / #5-2-2 (800SQ)</t>
  </si>
  <si>
    <t>1. Insulation process of 7,060m length was completed. LSC cut off and scraped 210m cable in the curing/cooling zone.
2. LSC would like to install an unplanned factory joint at #5-2-2 cable, and the total length of the jointed cable would be approximately 18.6km or more, which satisfies the delivery length.</t>
  </si>
  <si>
    <t>Non-conformance length was cut and scrapped.  To be updated
After PE sheath processes of #5-2-2(7,060m), #5-2-4(6,595m), #5-2-5(4,947m) cables, LSC installed unplanned factory joint as Figure 6. It also satisfies delivery length.The cable length was marked continuously from #5-2-2 to #5-2-5 during PE sheath process.</t>
  </si>
  <si>
    <t>LSC maintenance team send drive module to PARKER to verify reason of motor drive fault.  
[PARKER Korea Comment]
The power board of the drive was damaged by internal or external problems. Need to replace the power board of the drive.After that comment of PARKER Korea, LSC checked an additional problem with low motor insulation resistance value. The insulation resistance of motor coil was 100kΩ that could be the root cause of the drive fault.The normal insulation resistance is typically in the GΩ or MΩ range.Therefore, because of low insulation resistance at motor coil, it is suspected that this led to the drive fault.</t>
  </si>
  <si>
    <t>LSC will replace the failed drive with a new drive. 
LSC maintenance team replaced all electrical parts of the motor related power line with new ones.The faulted motor was overhauled 2 years ago. Previously, the motors were sent to a designated company for overhaul every seven years.To prevent these faults, the frequency of motor overhaul is changed as every 2 years.In addition to LSC's own inspections, the maintenance team plans to conduct regular diagnostics every month through a designated company to perform cross-checks and prevent non-conformance.</t>
  </si>
  <si>
    <t>The non-conformance of 210m was scrapped and unplanned FJ process was completed on 24th Jan 2024. The unplanned FJ was carried out as identical sequence according to the HL-BOP-LSC-DES-PLN-00002 Control Plan for Manufacturing &amp; Monitoring list. The integrity of factory joint was verified by test procedure according to "ITP for Submarine Cables and in-house Accessories", and "FAT procedure for Export cable and Accessories”. Please refer to attachment 1 and 2. Also, the high voltage tests were passed on both #5-2-2 and #5-2-4 parts.</t>
  </si>
  <si>
    <t>LSC-NCR-000017</t>
  </si>
  <si>
    <t>HL-EXC-LSC-QAC-NCR-00016</t>
  </si>
  <si>
    <t>Due to the nipple damage of the pressure gauge, there was an instrument recognition error (Fatboy level recognized as 100%), resulting in a massive discharge of cooling water through the drainpipe. As a result, nitrogen within the “End seal” was also vented. Consequently, the pressure inside the curing tubes significantly dropped (from 9.9 bar to 1.34 bar), causing insulation failure.</t>
  </si>
  <si>
    <t>HL2B.1 Section 2 #6-2-2 (800SQ)</t>
  </si>
  <si>
    <t>Partial Scrap Defect (189m) - Repair with Factory Joint</t>
  </si>
  <si>
    <t>2024-1-10 [update]
The non-conformance of 189m was scrapped and unplanned FJ process was completed on 31st Dec 2023. The unplanned FJ was carried out as identical sequence according to the HL-BOP-LSC-DES-PLN-00002 Control Plan for Manufacturing &amp; Monitoring list. The integrity of factory joint was verified by test procedure according to "ITP for Submarine Cables and in-house Accessories", and "FAT procedure for Export cable and Accessories”. 
Please refer to attachment 1 and 2. Also, the high voltage tests were passed on both #6-2-2 and #6-2-4 parts.Currently, the structure has been improved to completely remove the nipple in the nitrogen piping system entering the differential pressure gauge. Therefore, there is not any risk regarding nipple breakage.</t>
  </si>
  <si>
    <t>No (* It will be closed after the FAT completion successfully.)</t>
  </si>
  <si>
    <t>LSC-NCR-000016</t>
  </si>
  <si>
    <t>Damaged Al wire rod of Lot #5-3-2(800sqmm) was found during conductor stranding process on 2nd Oct 2023.</t>
  </si>
  <si>
    <t>Employer</t>
  </si>
  <si>
    <t>HL2B.2 Section 2 #5-3-2</t>
  </si>
  <si>
    <t xml:space="preserve">Partial Scrap Defect (1m) </t>
  </si>
  <si>
    <t xml:space="preserve">1m of non-conformance length was cut and this lot of Al wire rod was returned to subcontractor(LS Alsco). </t>
  </si>
  <si>
    <t xml:space="preserve">The non-conformance length was cut. </t>
  </si>
  <si>
    <t>1Why:Al wire rod was torn during extrusion process.2Why:Al oxide was stuck to the bearing surface of extrusion die.3Why: Al oxide was generated excessively.4Why: There was pressure drop at the chamber.5Why: Shoe clamp amplifier filter was clogged.Responsible factors: Clogged shoe clamp amplifier filter (Sub-contractor) </t>
  </si>
  <si>
    <t xml:space="preserve">1. Subcontractor(LS Alsco) changed shoe clamp amplifier filter. (10th Sep)After changing filter, there was not pressure drop.2. The shoe clamp amplifier filter was modified to easily check its condition. 
</t>
  </si>
  <si>
    <t xml:space="preserve">1. LS Alsco standardized replacing cycles of the shoe clamp amplifier filter.2. Related manufacturing work standard was changed to ensure that the product is isolated/scrapped in case the aluminium wire is damaged. (11th Oct)3. Subcontractor (LS Alsco) strengthened the visual inspection at least over 10 times for all Al wires. 
</t>
  </si>
  <si>
    <t xml:space="preserve">Product integrity is maintained by scrapping the affected conductor wire, therefore the client will not receive the deviating product. </t>
  </si>
  <si>
    <t>LSC-NCR-000015</t>
  </si>
  <si>
    <t>HL-EXC-LSC-QAC-NCR-00015</t>
  </si>
  <si>
    <t>Water blocking compound was not fully applied about approx. 1000mm on 3points (1st layer ~ 3rd layer) of Lot#5-3-3 (AL 800sqmm) conductor at approx. 10,350m during conductor wire welding process. This phenomenon generally occurs when welding a bobbin replacement section. The compound extrusion (mass flow) rate is not uniform because conductor stranding machine rotates at a low line speed. 
 Since the rubber compound is applied by extrusion, some parts may not be applied due to intermittent operation. When operating at low speeds after coming to a stop, local friction can occur between the surface of the compacting dies and the wires as they pass through. This results in a simultaneous extrusion and compression, causing the rubber compound to be applied thinly or only partially. To provide a simple example, when the continuous extruder is halted, it resembles a situation where the compound is not being applied at all. Given that the stranding process is intermittent rather than continuous, the issue of inadequate coating commonly arises during wire replacement and welding tasks.</t>
  </si>
  <si>
    <t>HL2B.2 Section 1 #5-2-3</t>
  </si>
  <si>
    <t>Observation Only (No Nonconformance Present)</t>
  </si>
  <si>
    <t xml:space="preserve">Use As Is as no nonconformance present </t>
  </si>
  <si>
    <t xml:space="preserve">As the integrity of the cable is verified by a water penetration test, this proves that the specification is achieved to maintain product integrity, therefore there is no integrity compromise present due to being a process observation only </t>
  </si>
  <si>
    <t>LSC-NCR-000014</t>
  </si>
  <si>
    <t>HL-EXC-LSC-QAC-NCR-00014</t>
  </si>
  <si>
    <t>This NCR 14 occurred while in progress as part of the NCR 13 corrective action activity.
During insulation removal process of Hai Long #2-2 Lot (HLSpare-2) submarine power cable, there was an issue with the external appearance and abnormal stranding direction.
1.	Data of occurrence: 14:00 25th Aug 2023
2.	Cable information: HLSpare-2, 220kV Al 1200SQ #2-2 (2,742m, insulation removal process completed)
3.	Specific issue with external appearance: Inflated conductor and abnormal stranding direction at the Point A and B as Figure1.
During removing XLPE insulation and tapes around the exposed conductor area, LSC discovered abnormalities of stranding direction and inflated conductor as figure 2.</t>
  </si>
  <si>
    <t>HLSpare-2 #2-2</t>
  </si>
  <si>
    <t xml:space="preserve">Scrap (dispose of the product) </t>
  </si>
  <si>
    <t xml:space="preserve">Scrap entire length of conductor </t>
  </si>
  <si>
    <t xml:space="preserve">The non-conformance Lot #2-2 will not be used in manufacturing and LSC will proceed with the re-production of the conductor for the nonconforming Lot #2-2 during September 6th~7th. The #2-2 length will be used for LSC's internal test lengths and 100% scrapped. Therefore, it is not delivered to the employer.Insulation process of #2-1,4 Lot will be carried out on Sep 10th as originally planned. There is no impact to the manufacturing schedule.Also, LSC conducts a comprehensive inspection on the #2-1 conductor that completed the insulation removal process to check the integrity of the core with visual inspection and dimension checks. If possible, LSC also requests inspection of HL inspector on Sep 9th. 
</t>
  </si>
  <si>
    <t xml:space="preserve">Stranding process was proceeded for re-producing the conductor. This length became lot #2-4 and replaced non-conforming lot #2-2.The non-conformance Lot #2-2 is wound on the drum. This will be 100% scrapped after using for LSC's internal test lengths. Therefore, It is not delivered to the employer. 
</t>
  </si>
  <si>
    <t xml:space="preserve">2nd July 2023, due to the issues arising from NCR013, defects have occurred on the exterior of the cable insulation screen during the insulation process. To collect samples for checking condition of #2-2 cable, the operators removed the insulation at point A and B as figure 1. However, the conductor core was exposed without suitable binding to prevent the localized stress for handing. During cable rewinding from the drying turntable to the drum, due to bending and torsion stress, conductor was inflated, and stranding direction became abnormal.In general, the stress due to bending and torsion occurs from the stranding process to insulation process.According to our factory layout, the bending radius is 4000mm, and the related torsion is 0.5o/m.The distance from the bending start point to the end point where the conductor is bent is approximately 10 m and a radius of rotation is 4000mm. LSC had drawn a single line along the center of the conductor to check the rotation angle for bending. After the bending end point, the rotation angle gradually eased, and in case of straight-line movement, it did not affect the cable rotation angle.In this manufacturing process, a conductor binding tape is applied over conductor to prevent damage by stress like this issue. Also, after insulation process, the insulation layer conducts as a binder method for moving insulation cable. However, in this case, suitable binding method was not applied on point A and B although rewinding process was planned. 
</t>
  </si>
  <si>
    <t xml:space="preserve">This conductor abnormality occurred due to the removal of the binder tapes on the conductor and rewinding without a suitable binding method.Fundamentally, the binding method remover action will be prohibited during the sampling process, and LSC will distribute OPL and provide manual training on the correct cable sampling method.If the binding method is removed unintentionally, LSC will conduct training on the procedure for its restoration before the cable moves. As a result, the exposed part will be adequately repaired.For the drum rewinding process, attached standard manual will be used.1) Distribute the OPL to operator for “How to collect insulation sample”.2) Prohibition of removing binding method action before cable moving.3) Training on the restoration procedure for unintended removal of binding method.4) Implementation of attached drum rewinding process manual. 
</t>
  </si>
  <si>
    <t xml:space="preserve">Management standard of drum rewinding process was established as attachment 1.OPL for collecting insulation sample was attached for insulation process and distributed to operators. 
</t>
  </si>
  <si>
    <t>Product integrity is maintained by 100% scrapping the affected product and re-making with a new production, therefore the client will not receive the deviating product.</t>
  </si>
  <si>
    <t>LSC-NCR-000013</t>
  </si>
  <si>
    <t>HL-EXC-LSC-QAC-NCR-00013</t>
  </si>
  <si>
    <t>During insulation process of Hai Long #2-1,2 Lot(HLSpare-2) submarine power cable, there was an issue with the external appearance. As a result, the XLPE insulation continuous process was stopped. 
1.	Data of occurrence: 03:01 2nd Jun. 2023
2.	Cable information: 220kV Al 1200SQ #2-1,2 (5,257m, 65.6% insulation process completed)
3.	Specific issue with external appearance: 7 bumps, measuring approximately 4-5mm in size, were found.</t>
  </si>
  <si>
    <t>HLSpare-2 #2-1,2</t>
  </si>
  <si>
    <t xml:space="preserve">Reworked using the same processes as original product </t>
  </si>
  <si>
    <t xml:space="preserve">Reworked back to original specification requirements. High voltage test was carried out, and the test result passed on 13th Oct. Confirmed through rework and test that product integrity is maintained. </t>
  </si>
  <si>
    <t>LSC-NCR-000012</t>
  </si>
  <si>
    <t>HL-EXC-LSC-QAC-NCR-00012</t>
  </si>
  <si>
    <t>In the middle of production Lot#3-6-2 insulation process, the insulation core was damaged at approximately 5.6km from start of insulation process due to an operation error in take-up turntable at 22:20, 25 June 2023. (Planned insulation length of Lot#3-6-2: 7.3km)</t>
  </si>
  <si>
    <t>HL2A #3-6-2</t>
  </si>
  <si>
    <t xml:space="preserve">Partial Scrap Defect (10m) - Repair with Factory Joint </t>
  </si>
  <si>
    <t>LSC would like to proceed an unplanned FJ(Factory Joint) into the lot #4-2-3 upon agreement from customer. After cutting off 10meters section of cable including the damaged parts from the #4-2-3 (6,911m), the FJ will be installed between approximately two divided lengths of cables, 5.6km and 1.3km. The lot number for each manufactured length will be printed onto cable sheath process and the lot number is to be maintained until completed cable. Due to this damage issue, however, the previous processes(conductor and insulation process) lot numbers are needed to be changed as table2. </t>
  </si>
  <si>
    <t xml:space="preserve">Based on cable sheath meter marking, 1,339m~1,348m was cut and unplanned FJ was installed. The lot number change for each manufactured length was adapted for manufacturing and printed onto cable sheath. The lot number change is also reflected in the updated schematic line diagram (HL-EXC-DES-DWG-00001 (HL2A,B)). </t>
  </si>
  <si>
    <t xml:space="preserve">The operator in the take-up turntable is in charge of turntable’s operation and cable winding condition in the turntable. While the operator was squatting down in the purpose of pushing the cable slightly to correct the cable touchdown position, the stop button of the remote controller hanging around his neck was pressed by his body. In the moment of his movement, the turntable was stopped but he was not recognized the stop button had been pressed and tried to press the turntable speed-up buttons continuously together with being in confusion.Upon receiving a radio contact from the turntable, another operator was urgently run down to the turn table and making the turntable properly running but two points damages had been already made into the 5meter length section of cable by being broken away from the path line. 
</t>
  </si>
  <si>
    <t xml:space="preserve">After this issue raised, the induction has been implemented to all operators.And the effective preventive solutions are under consideration such as visibly showing the turn table status on a screen monitor or making a sound when button pressed or installing colour lights installation reflecting a turn table status. One of those solutions will be selected and installed until middle of July 2023. 
</t>
  </si>
  <si>
    <t xml:space="preserve">On 14 July 2023, the turntable monitoring system improvement was completed as visibly showing the turn table status on a screen monitor and alarming a sound when turntable stopped. (Please refer to picture 3)Preventive action is valid and implemented. Screen monitor is installed for the status of drying turntable. Also, an alarm system that operates in the event of an emergency stop has been established. 
</t>
  </si>
  <si>
    <t xml:space="preserve">The non-conformance part(1139m~1348m) was removed and scrapped. The unplanned FJ was carried out as identical sequence according to the HL-BOP-LSC-DES-PLN-00002 Control Plan for Manufacturing &amp; Monitoring list. The integrity of factory joint was verified by test procedure according to "ITP for Submarine Cables and in-house Accessories", and "FAT procedure for Export cable and Accessories”. Therefore, Product integrity maintained by addition of an unplanned factory joint to bring back to specification using the FJ Repair Scheme. </t>
  </si>
  <si>
    <t>LSC-NCR-000011</t>
  </si>
  <si>
    <t>HL-EXC-LSC-QAC-NCR-00011</t>
  </si>
  <si>
    <t>In the middle of production Lot#3-7-3 insulation process, the insulation process was interrupted at 813m due to an instantaneous voltage drop occurrence caused by lightning on 16:22 11 June 2023.  (Planned insulation length of Lot#3-7-3: 2,107m)</t>
  </si>
  <si>
    <t>#3-7-3</t>
  </si>
  <si>
    <t xml:space="preserve">Reworked back to original specification requirements. High voltage test was carried out and the test result passed on 19th July. Confirmed through rework and test that product integrity is maintained / not compromised. </t>
  </si>
  <si>
    <t>LSC-NCR-000010</t>
  </si>
  <si>
    <t>HL-EXC-LSC-QAC-NCR-00010</t>
  </si>
  <si>
    <t>In the middle of production Lot#3-4-1 lead sheath and PE sheath, both machines were stopped at 6,639m and 6,559m due to an instantaneous voltage drop caused by lightning at 16:22 on 11th June 2023. (Planned length of Lot #3-4-1: 7857m)</t>
  </si>
  <si>
    <t>HL2A #3-4-1</t>
  </si>
  <si>
    <t xml:space="preserve">Partial Scrap Defect (80m) - Rework with Factory Joint </t>
  </si>
  <si>
    <t xml:space="preserve">Non-conformance length will be scrapped (80m) and a Factory Joint will be added to rework the product back to original specifications </t>
  </si>
  <si>
    <t xml:space="preserve">Non-conformance length was scrapped. LSC proceeded jacketing process for lead sheath and PE sheath, and the high voltage test was completed on 23th Jun.1. The lead sheathed part(6559~6639m) will be scrapped.2. LSC will proceed jacketing process for lead sheath and PE sheath on the insulated part. (About 1250m)3. LSC will proceed unplanned factory joint between PE sheathed part(6559m) and insulated part after jacketing PE sheath.When the FJ is completed, the length is expected to be about 7,800m long.4. LSC remarked the length marking and cable information marking (Lot number) for missing part about 38m. (completed on 14th June)5. The unplanned FJ will be conducted as identical sequence with existing planned factory joint. Although the factory joint will be carried out at this Lot No. #3-4-1, the overall length has not any issue in meeting the delivery length of HL2A. 
</t>
  </si>
  <si>
    <t xml:space="preserve">1. The lead sheath and PE sheath process were interrupted by a voltage drop occurred on 16:23, 11 June 2023.2. It was officially informed from KEPCO that a distribution line related to LS Cable Dong-hae plant was failed in power supplying due to a lightning. *) KEPCO : Korea Electric Power Corporation2. In order to prevent an interruption of Lead and PE sheath against a momentary voltage drop situation, UPS (Uninterruptible Power Supply) system was under operation and ready to back-up for Lead and PE sheath facilities but it was failed to successfully back-up.3. After the issue occurred, the UPS system was investigated in order to find the cause of failure in back-up in power supplying to the facilities in the moment of voltage drop by means of testing the UPS system together with UPS maker’s engineers. As results of the investigation, the UPS system operation itself such as switching was properly operated without an abnormality, but the battery was failed to back-up. 
</t>
  </si>
  <si>
    <t xml:space="preserve">As an immediate action, on 16 June 2023 the batteries of the UPS system were replaced with a number of sets of 12V batteries for temporary use.The new batteries for UPS system have been ordered is expected to be supplied to LS Cable in August. Upon arrival of them, the UPS system is to be immediately repaired. In addition, the condition checks for UPS system is to be included in LS Cable internal maintenance system and to be checked in regular basis by LS Cable maintenance team. 
</t>
  </si>
  <si>
    <t xml:space="preserve">Preventive action is valid and implemented as the batteries of the UPS system were replaced as new 12V batteries on 10th Sep. </t>
  </si>
  <si>
    <t xml:space="preserve">The non-conformance part(6559~6639m) was scrapped and unplanned FJ process was completed on 7th Jul.The unplanned FJ was carried out as identical sequence according to the HL-BOP-LSC-DES-PLN-00002 Control Plan for Manufacturing &amp; Monitoring list. The integrity of factory joint was verified by test procedure according to "ITP for Submarine Cables and in-house Accessories", and "FAT procedure for Export cable and Accessories”. Please refer to attachment 1 and 2. Also, the high voltage tests were passed on both 6.5km and 1.2km parts. 
</t>
  </si>
  <si>
    <t>LSC-NCR-000009</t>
  </si>
  <si>
    <t>HL-EXC-LSC-QAC-NCR-00009</t>
  </si>
  <si>
    <t>During the high voltage test for Hai Long #3-4-3 submarine power cable, a breakdown occurred almost 11 minutes after applying 318kV test voltage on BL power core.
1.	Date of occurrence: 15:53 9th Jun. 2023
2.	Cable information: HL2A 220kV Al 1200SQ #3-4-3 BL phase (7.9km)
3.	Specific test condition
3.1 Test voltage: AC 318kV (2.5Uo)
3.2 Testing time: 30 minutes
The cable XLPE insulation resistance was investigated, and the measured value of insulation resistance was low as 153.2kΩ.</t>
  </si>
  <si>
    <t>HL2A #3-4-3 BL phase</t>
  </si>
  <si>
    <t xml:space="preserve">Repair (with repair scheme) - Back to original specification requirements 
</t>
  </si>
  <si>
    <t xml:space="preserve">Partial Scrap Defect (3m) - Repair with Factory Joint </t>
  </si>
  <si>
    <t xml:space="preserve">Remaining length after cutting #3-4-3(1) and #3-4-1(2) was passed 318kV/30min high voltage test for manufacturing length. As a result, the integrity of cable electrical performance has been verified.Unplanned FJ is installed following factory joint processes.The integrity of factory joint was verified by test procedure according to "ITP for Submarine Cables and in-house Accessories", and "FAT procedure for Export cable and Accessories"No abnormalities were found during Silicone check, Hot/Set, Construction check, tensile strength and elongation tests. Detailed laboratory analysis results are updated on investigation report. 
</t>
  </si>
  <si>
    <t>LSC-NCR-000008</t>
  </si>
  <si>
    <t>HL-EXC-LSC-QAC-NCR-00008</t>
  </si>
  <si>
    <t>To fulfill the customer's request for a change in delivery length, it was planned to replace in-production 1600sqmm 1km product with a spare product.
Hai Long Lot #3-1(HL2A.4) was changed to spare Lot, but it was produced without changing Lot number which was #1-1(HL spare-1) on 2nd May. 2023.</t>
  </si>
  <si>
    <t>Donghae_LSC factory</t>
  </si>
  <si>
    <t>HL Spare-1 (#1-1)</t>
  </si>
  <si>
    <t xml:space="preserve">Non-conformance </t>
  </si>
  <si>
    <t xml:space="preserve">Keep current product printing </t>
  </si>
  <si>
    <t xml:space="preserve">Since it is not related to cable performance, LSC will proceed with the next manufacturing process using the corresponding cable without change of marking. </t>
  </si>
  <si>
    <t xml:space="preserve">1. In the weekly manufacturing planning meeting, the manufacturing technician part leader should also participate to identify and cross-examine changes and major issues.2. When a manufacturing change occurs, the manufacturing planning team notifies not only the engineer in charge, but also the technician part leader and other engineers in the same process. The engineer in charge immediately issues a changed work order, cross-checks whether the changes have been properly applied, and receives a signature.3. Before beginning the line start, reconfirm lot number and other changes between engineers and technicians. This is added to pre-work checklist. 
</t>
  </si>
  <si>
    <t xml:space="preserve">Since it is not related to cable performance, LSC will proceed with the next manufacturing process using the corresponding cable without change of marking. For confusion with the actual 1600SQ Lot #3-1 to be produced later, the #3-1 lot number has been changed to #3-7 lot number. Therefore, the line diagram of #1-1(HL Spare-1 BL phase) is the same as shown in Figure 1 above.For the entire cable, SLD(Schematic line diagram) is attached as figure 3. for reference.The worksheet for previous manufacturing process will be changed with correct Lot number and reflected in MRB. 
</t>
  </si>
  <si>
    <t xml:space="preserve">#1-1 length will be used and proceed with the next manufacturing process. </t>
  </si>
  <si>
    <t xml:space="preserve">There is no product integrity issue as it is not related to cable performance. </t>
  </si>
  <si>
    <t>LSC-NCR-000007</t>
  </si>
  <si>
    <t>HL-EXC-LSC-QAC-NCR-00007</t>
  </si>
  <si>
    <t>6 wires from 3rd  layer of Lot#3-3-2 (AL 1200sqmm) conductor from 6,963m to 6,981m was broken during conductor stranding process on 28th Mar. 2023. (Planned length of Lot#3-3-2 : 8,091m)</t>
  </si>
  <si>
    <t>HL2A (#3-3-2)</t>
  </si>
  <si>
    <t xml:space="preserve">Un-useable product outside of specification must be scrapped </t>
  </si>
  <si>
    <t xml:space="preserve">The non-conforming quantity of Lot#3-3-2(6,963m~6,981) was scrapped at insulation process.There is not any product integrity issue due to nonconforming product being scrapped and no longer a deliverable item.If the non-conformance occurs at the cut point for removing the defective length, it can be cut at a point that is within the caterpillar or before the caterpillar. 
</t>
  </si>
  <si>
    <t>LSC-NCR-000006</t>
  </si>
  <si>
    <t>HL-EXC-LSC-QAC-NCR-00006</t>
  </si>
  <si>
    <t>IEC 62067 Ed.2.0 (2011)</t>
  </si>
  <si>
    <t>During the type test for Hai Long PJT AC 220kV XLPE Al 1600SQ submarine power cable system, a breakdown occurred during 1 cycle of the heating cycle voltage test. The test loop was composed in the order of outdoor termination (Cu 1200), Transition joint (Cu1200 – Al1600), GIS termination (Al 1600), U bend (Al 1600), OFJ (Al 1600), Factory Joint (Al 1600) and outdoor termination (Al 1600). 
(Ref.  Cu 1200 : land cable, Al 1600 : submarine cable)
1.	Date of occurrence : Nov. 26. 2022 
2.	Trouble spot : Factory Joint (Al 1600-1600) area.
3.	Specific test condition 
3.1	Test voltage : AC 254kV (2.0Uo)
3.2	Heating condition : 8h heating (last 2h should be help at 95~100 degree), 16h cooling</t>
  </si>
  <si>
    <t>Type Test Loop 1</t>
  </si>
  <si>
    <t xml:space="preserve">Type Test Loop 1 </t>
  </si>
  <si>
    <t xml:space="preserve">The test will continue to the remaining cables and their accessories after excluding the breakdown object from the loop. </t>
  </si>
  <si>
    <t xml:space="preserve">Symmetric factory joint between 1600-1600sqmm is not delivered to the project. AndAsymmetric factory joint between 1600-1200sqmm covers all FJs as stated in the current ITP according to Cigre TB 496. 
</t>
  </si>
  <si>
    <t xml:space="preserve">Root cause analysis is ongoing. After completion of the investigation, it will be updated. </t>
  </si>
  <si>
    <t xml:space="preserve">In order to continue the remaining tests, NJ(Normal Joint) will be installed to connect two section of type test loop 1. Type test will restart after completion of assembling the NJ. 
</t>
  </si>
  <si>
    <t xml:space="preserve"> Verification
NJ is similar to TJ and has been verified in the same voltage grade. </t>
  </si>
  <si>
    <t xml:space="preserve">Type test loop 1 consists of outdoor termination (Cu1200) - Transition Joint (Cu1200-Al1600) - GIS termination (Al1600) - Ubend (Al1600) - OFJ(Al1600) - NJ (Al1600) - outdoor termination (Al1600)(ref. Cu1200 is land cable, Al 1600 is submarine cable) 
</t>
  </si>
  <si>
    <t>LSC-NCR-000005</t>
  </si>
  <si>
    <t>HL-EXC-LSC-QAC-NCR-00005</t>
  </si>
  <si>
    <t>After the heating cycle voltage test of EQ test was completed, PD measurement at ambient temperature was performed, but Partial Discharge occurred.</t>
  </si>
  <si>
    <t>Changwon_KERI</t>
  </si>
  <si>
    <t xml:space="preserve">Additional EQ test </t>
  </si>
  <si>
    <t xml:space="preserve">The product was reworked and re-tested and results proved the product was back to specification requirements ensuring that there is no Product Integrity Compromise present on the product </t>
  </si>
  <si>
    <t>LSC-NCR-000004</t>
  </si>
  <si>
    <t>HL-EXC-LSC-QAC-NCR-00004</t>
  </si>
  <si>
    <t>After the 60 cycle of Heating without voltage was completed on 25th June, an attempt was made to measure tan delta of the EQ test loop, but the measured value very slightly exceeded the requirement.
1)	Requirement: Max. 0.001
2)	Measured value: 0.00106 (▲0.00006)</t>
  </si>
  <si>
    <t>EQ test loop.</t>
  </si>
  <si>
    <t xml:space="preserve">Tan delta measurement can be conducted without the sequence of the testing. Thus, after completion of heating cycle voltage test, Tan delta will be measured again.And if the measurement will be not ok, then the separate loop will be prepared for tan delta according to the option for this measurement in IEC 62067. 
</t>
  </si>
  <si>
    <t xml:space="preserve">IEC standard specifies above information. 
</t>
  </si>
  <si>
    <t xml:space="preserve">PD from outdoor termination, not part of the test specimen, caused deviation of tan δ measurement. </t>
  </si>
  <si>
    <t xml:space="preserve">Considering the overall schedule, LSC did not have much time to check facilities and test loop. So LSC has changed theschedule to conduct Heating cycle voltage test first and then conduct the tan delta later. It was based on the phrase of NOTEHai Long Offshore Wind Farm Project (HL)NCR REPORT – Tan delta measurement is slightly higher than requirement for EQtest21 of the IEC 62067 “This test may be carried out on a different cable sample with special test terminations from that used forthe remainder of the sequence of tests.”. Thus, the tan delta will be re‐measured later once again.Due to the recent PD issue, the test schedule for EQ loop has been changed. The schedule is as follow;1) Material preparation: ~ 1st week of Sep.2) Re‐installation period: 19th ~ 22th of Sep.3) Internal check : 23th of Sep.4) Left test items including PD : 26th ~ 28th of Sep.Above test items were successfully completed from 26th to 28th Sep. under the witness by designated inspector on behalf 
</t>
  </si>
  <si>
    <t xml:space="preserve">After reassembling the outdoor termination, the tan δ measurement on EQ test loop was successfully completed on 27thSep. 2022.1) Requirement: Max. 0.001 at Uo(127kV)2) Measured value: 0.00013 at Uo(127kV) 
</t>
  </si>
  <si>
    <t xml:space="preserve">Reworked and retested and brought back in line with specification requirements ensuring Product Integrity Maintained. The preventive action is considered valid because the EQ test was successfully completed. </t>
  </si>
  <si>
    <t>LSC-NCR-000003</t>
  </si>
  <si>
    <t>HL-EXC-LSC-QAC-NCR-00003</t>
  </si>
  <si>
    <t>During the assembly of Transition Joint (TJ), damage to the rubber sleeve was found. The TJ assembly was stopped.</t>
  </si>
  <si>
    <t>LSC Gumi factory</t>
  </si>
  <si>
    <t>TJ_outer jointing test sample</t>
  </si>
  <si>
    <t xml:space="preserve">TJ outer jointing test sample was successfully installed. </t>
  </si>
  <si>
    <t>LSC-NCR-000002</t>
  </si>
  <si>
    <t>HL-EXC-LSC-QAC-NCR-00002</t>
  </si>
  <si>
    <t xml:space="preserve">After completion of PD measurement (performed on 7th Apr. 2022), EQ test loop was scheduled to start heating cycle without voltage test on 8th. Apr. 2022. However, 15.5m length including U-bend positioned between GIS termination and Transition Joint on EQ test loop had higher sheath temperature than dummy loop. And the difference was getting bigger. 
	Temperature record at 78°C of conductor temperature 
-. Main loop sheath: 53.5°C 
-. Dummy loop sheath: 39.7°C 
So, the heating cycle without voltage was stopped to prevent from over-heating than required temperature(90~95°C) on 15.5m length including U-bend between GIS termination and Transition Joint.
</t>
  </si>
  <si>
    <t>EQ test loop</t>
  </si>
  <si>
    <t xml:space="preserve">Remove water blocking compound </t>
  </si>
  <si>
    <t xml:space="preserve">Temperature difference goes properly. </t>
  </si>
  <si>
    <t xml:space="preserve">Water blocking compound affects the test current for heating cycle can`t evenly divided to all cross-section of conductor. </t>
  </si>
  <si>
    <t xml:space="preserve">Remove water blocking compound then re-start the heating cycle without voltage testing. </t>
  </si>
  <si>
    <t xml:space="preserve">The heating cycle without voltage testing started without the big difference. </t>
  </si>
  <si>
    <t xml:space="preserve">Heating cycle without voltage for 60cycle was successfully completed. </t>
  </si>
  <si>
    <t>LSC-NCR-000001</t>
  </si>
  <si>
    <t>HL-EXC-LSC-QAC-NCR-00001</t>
  </si>
  <si>
    <t>(On Friday, 11 March 2022)
Although the ongoing EQ test loop consists of 1800mm2 submarine cables, LSC`s design engineer and jointer have found that the two GIS termination male parts supplied for the EQ test are for 1600mm2 cables on 11th Mar. 2022. Therefore, *component do not fit the size of the conductor and insulator, so it is impossible to proceed with the test loop assembly.</t>
  </si>
  <si>
    <t>Additional EQ test </t>
  </si>
  <si>
    <t>GIS Installation was successfully completed. Rework / Correction was possible using the original process and correct specification products with no integrity impact therefore confirming no compromise to the product integrity factors </t>
  </si>
  <si>
    <t>HELLENIC-NCR-000001</t>
  </si>
  <si>
    <t>NCR (Tekmar) Bellmouth Lifting Eye</t>
  </si>
  <si>
    <t>Doc. No: HL-IAC-EMPL-CIN-ERS-IV.B.03 (Employer’s Information and Requirements)
3.2.7. CONTROL OF NON-CONFORMITIES</t>
  </si>
  <si>
    <t xml:space="preserve">Lifting point on 4x Bellmouths are too big for M20 Tap, 
All recent bellmouth mould's have a lift point designed into the mould which on previous designs is removable so there is no risk of cracking or re-shape when pulling the outer tool away from the product. On this design of bellmouth this is not the case &amp; the design feature is fixed &amp; no way to remove. So on de-mould if the outer segments are not pulled out away fully straight there is a risk that the pin has made
the hole bigger than required.
</t>
  </si>
  <si>
    <t>4x Bellmouths</t>
  </si>
  <si>
    <t>Danny Bell</t>
  </si>
  <si>
    <t>Greg Giles</t>
  </si>
  <si>
    <t>4-off Hai Long Array WTG Bellmouths (PN-002-001-1676)</t>
  </si>
  <si>
    <t>Trialled this on 1-off component</t>
  </si>
  <si>
    <t>Tap holes to M24 and insert appropriate lifting eyes.
Associated packing lists to be updated. To ensure the bellmouths can be safely lifted and to prevent scrapping of the products, Tekmar propose to widen the hole to accommodate 2-no M24 lifting eye bolts. Tekmar have trialled this on 1-off component, as per the image below.
To ensure there is no ambiguity upon delivery of the goods, Tekmar will pre-assemble the M24 lifting eyes prior to dispatch of the 4-off impacted bellmouths.</t>
  </si>
  <si>
    <t>M24 tap trial and evidence included within CR-1334-HEL-01. (though here it incorrectly mentions 5-off affected parts).</t>
  </si>
  <si>
    <t xml:space="preserve">Maintenance department found that the motor drive error of the 3d wires cage was due to the failed encoder of the drive.
The encoder failure was evaluated as a defective equipment incident. </t>
  </si>
  <si>
    <t xml:space="preserve">The line will be programmed so as the whole line will fast stop in case of drive error. Thus, the core will remain unaffected in case of a possible future motor drive failure.
This action was implemented through machine PLC and motor drive programming. In case of future drive error, the whole line will fast stop. We consider that further verification is not feasible now, since we cannot cause a controlled drive error. </t>
  </si>
  <si>
    <t xml:space="preserve">The encoder of the drive will be replaced by a new one. </t>
  </si>
  <si>
    <t xml:space="preserve">V. Koukoutsi </t>
  </si>
  <si>
    <t xml:space="preserve">Product's integrity is considered unaffected as the damaged parts were removed from the final product, whereas final products can be used as per the project's requirements, ie Cable list HL-IAC-EMPL-ENG-LST-00001 (4.0) Cable List IAC. </t>
  </si>
  <si>
    <t>HELLENIC-NCR-000002</t>
  </si>
  <si>
    <t>Damage to OSS Bellmouth Pull-out Disc</t>
  </si>
  <si>
    <t xml:space="preserve">On 10/12/2023 the operator reported that an incident occurred on evening shift of ALPE application. More specifically he reported that during his attempt to measure the overlap of the semi-conducting tape the cable core was injured.
800mm2 AL, ALPE batch number 3119764001 batch number, produced core length approx. 21,930 m, core collected in the K3-1 turntable.
The core was scheduled to result into two lengths of approx. 8,360 m (phase L1) and 13,560 m (phase L2).
The incident happened at 7,484 m of phase L2. </t>
  </si>
  <si>
    <t>HEC-HL2-800-03, ALPE process at 7,484m</t>
  </si>
  <si>
    <t xml:space="preserve">E. Poulakis </t>
  </si>
  <si>
    <t>Affected portion of product removed and scrapped</t>
  </si>
  <si>
    <t>E. Poulakis</t>
  </si>
  <si>
    <t xml:space="preserve">The deviation area was cut and removed from the deliverable product and scrapped, final product integrity is maintained and specification requirements are not compromised by the actions taken for the deliverable product. </t>
  </si>
  <si>
    <t>HELLENIC-NCR-000003</t>
  </si>
  <si>
    <t>Report of Non Conformity 7_4</t>
  </si>
  <si>
    <t>On 19/12/2023, during copper wires screen application 800mm2 CU, batch number 3119645001 (HEC-HL2-800C-05), the line stopped unintentionally, and the spooling arm of the pay-off turntable touched the insulated core which resulted in a deformation.</t>
  </si>
  <si>
    <t>Wires Screen application HEC-HL2-800C-05</t>
  </si>
  <si>
    <t>T. Kakavoulias</t>
  </si>
  <si>
    <t>V. Georgiopoulou</t>
  </si>
  <si>
    <t>3119645001</t>
  </si>
  <si>
    <t xml:space="preserve">Cat C – Minor (No Associated Risk) </t>
  </si>
  <si>
    <t>The length will be cut and the affected area will be removed</t>
  </si>
  <si>
    <t xml:space="preserve">The machine remained stopped to evaluate the effect of the incident on the insulated core. The insulated core found affected at the area of the incident.
The Maintenance department was informed. </t>
  </si>
  <si>
    <t>The length will be cut and the affected area will be removed.</t>
  </si>
  <si>
    <t>Maintenance department found that the spooling arm stopped normal moving towards the outer diameter of the K2-3 degassing turntable and injured the insulated core. This abnormal movement was due to the corresponding regulation valve being stucked. We consider that the valve was stuck due to pollutant particle in the oil.</t>
  </si>
  <si>
    <t>The valve will be replaced. 
The length will be cut and the affected area will be removed.
The length will be cut and the affected area will be removed.</t>
  </si>
  <si>
    <t xml:space="preserve">1. Completed on 19/12/2023. This is verified through sap, maintenance works performed.
2. Completed on 19/12/2023, approximately 2 meters containing the affected area were removed. This is verified through sap/copper wires application machine/batch no 3119645001 produced lengths records.
3. Completed on 26/12/2023. This is verified through sap/copper wires application machine/batch no 3119648002 produced lengths records.
An Oil Cleaning machine will be installed. </t>
  </si>
  <si>
    <t>Th. Kakavoulias</t>
  </si>
  <si>
    <t>HELLENIC-NCR-000004</t>
  </si>
  <si>
    <t>Hellenic informed Tekmar Energy on 09th January 2024 of some damage to the OS bellmouth POD scrim upon receipt of goods in Vietnam. POD's were pre-installed prior to dispatch and remained in-situ upon receipt.
The damage was identified upon inspection of goods at receiving yard.
POD part number is PN-002-001-040</t>
  </si>
  <si>
    <t xml:space="preserve">POD part number is PN-002-001-040 </t>
  </si>
  <si>
    <t>Employer </t>
  </si>
  <si>
    <t xml:space="preserve">Tekmar/HEC </t>
  </si>
  <si>
    <t xml:space="preserve">F-1334-01-104 </t>
  </si>
  <si>
    <t>Use As Is - No additional integrity impact / effect</t>
  </si>
  <si>
    <t>Tekmar/HEC</t>
  </si>
  <si>
    <t>HELLENIC-NCR-000005</t>
  </si>
  <si>
    <t xml:space="preserve">Lifting point on 4x Bellmouths are too big for M20 Tap,
All recent bellmouth mould's have a lift point designed into the mould which on previous designs is removable so there is no risk of cracking or re-shape when pulling the outer tool away from the product. On this design of bellmouth this is not the case &amp; the design feature is fixed &amp; no way to remove. So on de-mould if the outer segments are not pulled out away fully straight there is a risk that the pin has made the hole bigger than required. 
</t>
  </si>
  <si>
    <t xml:space="preserve">4x Bellmouths </t>
  </si>
  <si>
    <t xml:space="preserve">Danny Bell </t>
  </si>
  <si>
    <t xml:space="preserve">Greg Giles </t>
  </si>
  <si>
    <t xml:space="preserve">4-off Hai Long Array WTG Bellmouths (PN-002-001-1676) </t>
  </si>
  <si>
    <t xml:space="preserve">Trialled this on 1-off component </t>
  </si>
  <si>
    <t xml:space="preserve">Tap holes to M24 and insert appropriate lifting eyes.
Associated packing lists to be updated. To ensure the bellmouths can be safely lifted and to prevent scrapping of the products, Tekmar propose to widen the hole to accommodate 2-no M24 lifting eye bolts. Tekmar have trialled this on 1-off component, as per the image below.
To ensure there is no ambiguity upon delivery of the goods, Tekmar will pre-assemble the M24 lifting eyes prior to dispatch of the 4-off impacted bellmouths. </t>
  </si>
  <si>
    <t xml:space="preserve">M24 tap trial and evidence included within CR-1334-HEL-01. (though here it incorrectly mentions 5-off affected parts). </t>
  </si>
  <si>
    <t xml:space="preserve">Not executed </t>
  </si>
  <si>
    <t xml:space="preserve">Not defined </t>
  </si>
  <si>
    <t xml:space="preserve">none </t>
  </si>
  <si>
    <t>CDWE-NCR-000006</t>
  </si>
  <si>
    <t>HL-TNI-CDWE-ENG-NCR-00007 HL2 OSS Grouting without gripper A2</t>
  </si>
  <si>
    <t xml:space="preserve">Grouting and gripping operations procedure </t>
  </si>
  <si>
    <t xml:space="preserve">After completion of pilling ops. in HL2 OSS, Boka Atlantic proceeded with jacket pile gripping operations as per procedure. Procedure features that each pile gripper is to be engaged before grouting operations are started.
Primary line of engagement (central panel on jacket cellar deck) was used in all four jacket legs. Successful engagement was achieved in three out of four legs Sufficient pressure was not achieved in the remaining, A2 leg. Same procedure was used in all four, following jacket pile gripper manual. Procedure was repeated for as many times as possible until weather forced Boka to stop operations in the ungripped leg.
Operations were resumed after weather downtime. Following agreed contingency procedure, Boka carried out contingency engagement by means of ROV + hotstab. Contingency was also not successful and JPG in A2 was not engaged.
At this point, Contractor proceeded with grouting operations in the three gripped legs as allowed in Adverse Weather Procedure.
Contractor, after completion of grouting operations in all gripped legs, returned to A2, and, once more and additionally to the stated in MST for contingency, tried again to engage gripper with no success. 
</t>
  </si>
  <si>
    <t xml:space="preserve">HL2 OSS JKT </t>
  </si>
  <si>
    <t xml:space="preserve">Cristian Alonso </t>
  </si>
  <si>
    <t xml:space="preserve">HL20-T11 </t>
  </si>
  <si>
    <t xml:space="preserve">Grouting according to in-field certifier requirements </t>
  </si>
  <si>
    <t xml:space="preserve">Integrity achieved by proceeding with operations according to in-field certifier requirements </t>
  </si>
  <si>
    <t>2024/06/13
Daniel Huang - Respond to CDWE to close this NCR.</t>
  </si>
  <si>
    <t>Seaway7</t>
  </si>
  <si>
    <t>NCR request for HPDE pipe arching issue</t>
  </si>
  <si>
    <t xml:space="preserve">HDPE pipe#4(HL-3A) </t>
  </si>
  <si>
    <t xml:space="preserve">Chuang Wei (Matt) Yaw </t>
  </si>
  <si>
    <t xml:space="preserve">Seaway7 </t>
  </si>
  <si>
    <t xml:space="preserve">HDPE Pipe #4 (HL-3A) </t>
  </si>
  <si>
    <t xml:space="preserve">MBES survey confirmed HL-3A is safe. Case closed </t>
  </si>
  <si>
    <t xml:space="preserve">
Seaway7  </t>
  </si>
  <si>
    <t>NCR request for HPDE pipe bending</t>
  </si>
  <si>
    <t xml:space="preserve">20230814_Hydrographic Survey Report_v01 </t>
  </si>
  <si>
    <t xml:space="preserve">According to the MBES report which shows that the end of the HDPE pipe for HL-3B is pushed to the north by the drill string. The bending of the pipe at the HDD punch location is unacceptable. </t>
  </si>
  <si>
    <t xml:space="preserve">HDPE pipe#3(HL-3B) </t>
  </si>
  <si>
    <t xml:space="preserve">Daniel Mitchell </t>
  </si>
  <si>
    <t xml:space="preserve">Daniel Huang </t>
  </si>
  <si>
    <t xml:space="preserve">HL-3B </t>
  </si>
  <si>
    <t xml:space="preserve">N/A - HDD is in Temporary As-Left Position </t>
  </si>
  <si>
    <t xml:space="preserve">TBC </t>
  </si>
  <si>
    <t xml:space="preserve">Please refer to NCR - Remedial actions complete and HDD HL-3B back within Design Corridor as be MBES Survey. </t>
  </si>
  <si>
    <t>EMPL-RFNCR-000009</t>
  </si>
  <si>
    <t>The length of exposed HDPE pipe more than design requirement (HL-2A)</t>
  </si>
  <si>
    <t xml:space="preserve">HL-CTI-SW7-DES-DBF-00002 (4.0) DFO - HDD Tailstring Anchor Design and Stability Analysis
20230814_Hydrographic Survey Report_v01 </t>
  </si>
  <si>
    <t xml:space="preserve">HL-2A has more than 19.63m (arc increases length) as shown below demonstrated in attached MBES report. </t>
  </si>
  <si>
    <t xml:space="preserve">HDPE Pipe_HL-2A </t>
  </si>
  <si>
    <t xml:space="preserve">Daniel Kilburn </t>
  </si>
  <si>
    <t>HL-2A</t>
  </si>
  <si>
    <t xml:space="preserve">2024/05/28
Need S7 to raise NCR to close this issue 
2024/09/19
Hi Gerald 
I would like to inform you that the Non-Conformance (NC) related to the exposed length of the HDPE pipe in HL-2A has been corrected, and the issue no longer exists. This correction was made as part of the project’s ongoing progress.
This issue is considered to close-out at this monent.
Regards,
</t>
  </si>
  <si>
    <t>EMPL-RFNCR-000010</t>
  </si>
  <si>
    <t>The length of exposed HDPE pipe more than design requirement (HL-2B)</t>
  </si>
  <si>
    <t xml:space="preserve">HL-2B has more than 12.45m (arc increases length) as shown in attached MBES report. </t>
  </si>
  <si>
    <t xml:space="preserve">HDPE Pipe_HL-2B </t>
  </si>
  <si>
    <t xml:space="preserve">HL-2B </t>
  </si>
  <si>
    <t xml:space="preserve">2024/05/28
Need S7 to raise NCR to close this issue
2024/09/19
I would like to inform you that the Non-Conformance (NC) related to the exposed length of the HDPE pipe in HL-2B has been corrected, and the issue no longer exists. This correction was made as part of the project’s ongoing progress.
This issue is considered to close-out at this monent.
Regards,
</t>
  </si>
  <si>
    <t>Crossing Bottom Layer Mattress NCR [HL2B]</t>
  </si>
  <si>
    <t xml:space="preserve">[1] HL-CTI-SW7-ENG-RPT-00007 Crossing Design Report
[2] HL-CTI-SW7-ENG-DWG-00001 CROSSING ARRANGEMENT DRAWING
[3] HL-CTI-SW7-ENG-PRC-00029 TSV - Cable Burial, Debris Removal, Crossing and Rock Bag Installation Procedure </t>
  </si>
  <si>
    <t xml:space="preserve">Hi Seaway7 Team
I am writing to bring to your attention an issue regarding the installation of bottom layer mattresses and the Employer request for NCR on this matter,
Att#1 highlights that the bottom layer mattresses are not per the design ref [1], i.e. the Crossing Design Report does not show gaps between mattresses. It also highlights that ref [2] does not list installation tolerances and it is unclear why this is case. Regardless, ref [1] should consider any installation tolerances.
Att#2 from Bill Martin notes that tolerances will be provided for the top layer mats and then goes on to state that typical tolerances are “+/-1m, linearly, +/-500mm laterally and +/-10° orientation over the cable.” As per the above, this information was not added into the approved procedures, and the Crossing Design Report does not represent these tolerances.
References: 
[1] HL-CTI-SW7-ENG-RPT-00007 Crossing Design Report
[2] HL-CTI-SW7-ENG-DWG-00001 CROSSING ARRANGEMENT DRAWING
[3] HL-CTI-SW7-ENG-PRC-00029 TSV - Cable Burial, Debris Removal, Crossing and Rock Bag Installation Procedure
</t>
  </si>
  <si>
    <t>HL2B</t>
  </si>
  <si>
    <t>SW7-NCR-000007</t>
  </si>
  <si>
    <t>NCR HL2B Crossing bottom layer Mats</t>
  </si>
  <si>
    <t>Paul Leonard</t>
  </si>
  <si>
    <t>See attached Synergi report with action items included.</t>
  </si>
  <si>
    <t>SW7-NCR-000001</t>
  </si>
  <si>
    <t>NCR - HPDE Pipe [HL-3A] Arched Above Seawater After Pullback</t>
  </si>
  <si>
    <t xml:space="preserve">Conduit Installation As Built Report HL-3B [DFO-TIPL-HL-ASB-0004] </t>
  </si>
  <si>
    <t xml:space="preserve">Ref Synergi Case 24895445 - DFO-TIPL NCR
HDPE pipe #4 (HL-3A) was observed arching above sea surface after completion of pull back operation.
Timeline of incident:
• 26th July at 21:18 - Commence HDPE pipe for HDD #4 (HL-3A) pull back
• 27th July at 10:24 – Complete HDPE pipe pull back
• Incident - 27th July around noon time – HDPE pipe found to have emerged from the water, see attached picture (HL-3A 1st Reported Arch )
• 27th July 13:30 – Meeting held with DFO/TIPL and they proposed to pull the HDPE pipe back to shore for 1 joint to get rid of the arc. [Ref. MOC-03]
• 27th July 23:30 - Pipe was pulled back to shore by 12m and the arc was not seen above water
• 29th July around noon time – Pipe is seen arching out above water, see attached picture [HL3A - Arch after 1st Pull Back MOC-03] .
• 1st Aug 10:00 – Meeting with HL and DFO/TIPL held at 10am; HL give instruction [ref. EMPL-GNC-005942] to pull the pipe back by 8m with max. pulling force of 40mT. Ref. MOC-04.
• 1st Aug 16:30 - TIPL pulled the pipe back to shore with starting pulling force of 20mT for 10mins, then increase the pulling force to 30mT for 10mins, 35mT (10mins) and up to 40mT (10mins). Soon after the tension is released, the pipe cripped back into the conduit. At the end the pipe was only pulled by 3.2m. Pipe arch still visible above water at 0.2m (low) tide. Picture attached [HL-3A-Arch after 2nd Pull Back [MOC-04]
Jack Up Barge to remain at HL-3A final location as guard vessel. 
</t>
  </si>
  <si>
    <t xml:space="preserve">HL-3A </t>
  </si>
  <si>
    <t xml:space="preserve">Mhairi Simpson </t>
  </si>
  <si>
    <t xml:space="preserve">N/A - Remedial Works Ongoing </t>
  </si>
  <si>
    <t xml:space="preserve">Refer to attached DFO-TIPL NCR - Synergi Case 24895445 
Refer to attached DFO-TIPL NCR - Synergi Case 24895545(New)
</t>
  </si>
  <si>
    <t xml:space="preserve">
Information provided on attached documentation. </t>
  </si>
  <si>
    <t>Cause Analysis: DFO/Thaitan to investigate.
MBES Survey results from 8th August to be reviewed as part of the investigation and root cause analysis.
Planned Route of Drilled Hole - Minor Deviation from Actual (All Strings)
Position of HL-3A: exit point approx. 17m downstream from pilot drilling exit point with 22m of pipe exposed above the seabed and the visible section of pipe at approx. 4m above the seabed.
DFO/Thaitan Analysis is as per CPAR No: DFO-TIPL-HL-TW0001-FM—0005_01 (attached to this case)
CPAR Analysis does not account for or assess potential causal impact from there being only 4 Drill Pipes versus the 5 Drill Pipes on the other three lines. Irrespective of the reason for their being 4 Drill Pipes on HL-3A, the bearing that this could have on the stabilisation of the HDPE pipe must be assessed as a variable.</t>
  </si>
  <si>
    <t xml:space="preserve">Corrective Action
• DFO-TIPL-HL-MOC-0003 HDD No. 4 Pullback HDPE from Onshore and or Installation of Rock
Bags was raised and 12m of pipe was pulled back from onshore on 27-07-23.
• DFO-TIPL-HL-MOC-0004_HDD No. 4 Pullback HDPE Pipe from Onshore with Incremental
Increase in Pull Force was raised and some 3.15m of pipe was pulled back on 01-08-23.
• A MBES survey was undertaken to confirm that actual positioning of the pipe on 08-08-23.
• DFO-TIPL-HL-MOC-0005_HDD No. 4 Releasing Any Air Entrapment was raised and the works
carried out on 22-08-23, additional joint of drill pipe added to PBA.
• A further MBES survey was carried out at HL3A location on 23-08-23 confirming that the pipe
arcing had been reduced.
• Tail string stability was reperformed based on the pull back assembly consisting of 5 drill pipes and
2 reamers. The results confirmed the PBA was able to keep tail string in place.
• Diving intervention works were approved and carried out from 23rd Oct to 26th Oct.
• DFO-TIPL-HL-MOC-0007 HDD No.4 Free Span Secured by Saddles was raised, and the works
carried out on 26
th Oct 2023.
• A further MBES survey was carried out at HL3A location on 03-11-23confirming that the pipe
arcing had been reduced, saddles were installed in place.
• DFO-TIPL-HL-RPT-0060_Technical Note MBES Survey was submitted to Buyer on 27-11-2023
and it justified that HL-3A tail string are in safe condition with configuration after diving
intervention. </t>
  </si>
  <si>
    <t xml:space="preserve">DFO-TIPL-HL-RPT-0060_Technical Note_MBES Survey - report attached. </t>
  </si>
  <si>
    <t xml:space="preserve">DFO/Thaitan International </t>
  </si>
  <si>
    <t>LSC-NCR-000027</t>
  </si>
  <si>
    <t>Notification of Inspection for Witness and Hold Point</t>
  </si>
  <si>
    <t>HL-EXC-LSC-QAC-ITP-00006 (3.0) ITP - Offshore Jointing</t>
  </si>
  <si>
    <t>Notification of Inspection for Witness and Hold Points failed</t>
  </si>
  <si>
    <t xml:space="preserve">TJB-HL2B </t>
  </si>
  <si>
    <t xml:space="preserve">Michael Blackett (EX) </t>
  </si>
  <si>
    <t xml:space="preserve">RDS-PP No. : W002ADE20W010-XB031 </t>
  </si>
  <si>
    <t xml:space="preserve">Contractor and Employer </t>
  </si>
  <si>
    <t>Junyong, Jang</t>
  </si>
  <si>
    <t xml:space="preserve">This NCR is irrelevant for the Integrity of the product, as it is a Process NCR only. it’s about the test without the proper notice to the employer. Process corrected for future communications following issuing this NCR. Integrity maintained </t>
  </si>
  <si>
    <t>SW7-NCR-000002</t>
  </si>
  <si>
    <t>Dong Fang Offshore NCR - HDPE Pipe [HL-3B] Out With Design Corridor - Synergi Case 24896869</t>
  </si>
  <si>
    <t xml:space="preserve">HL-CTI-SW7-ENG-PRC-00033
HL-CTI-SW7-SUR-PRC-00002
HL-CTI-SW7-ENG-PRC-00029
TWO001-FRP-20011-B </t>
  </si>
  <si>
    <t>I am writing to request that Seaway7 raise a Non-Conformance Report due to deviations observed in the usage of the Cable Guide on the ROVJET 1200. Upon reviewing the Contractor’s Daily Progress Report, we have identified instances where the Cable Guide was not used, which deviates from the approved procedures.
.......refer to Aconex</t>
  </si>
  <si>
    <t>HL2B -Export Cable</t>
  </si>
  <si>
    <t>HL3 OSS JKT mudmat sling removal</t>
  </si>
  <si>
    <t xml:space="preserve">HL-TNI-CDWE-ENG-MST-00022 </t>
  </si>
  <si>
    <t>During the lift off operations of HL3-OSS Jacket, it was noticed by Contractor that ropes/slings were not fully disconnected and were hanging still connected to the mudmats. Lift off operations were followed by lowering and set down activities, resulting in those ropes resulting on the seabed and still connected to inner section of the JKT mudmats.</t>
  </si>
  <si>
    <t>HL30-T15</t>
  </si>
  <si>
    <t>HL3-OSS</t>
  </si>
  <si>
    <t xml:space="preserve">
Cristian Alonso</t>
  </si>
  <si>
    <t xml:space="preserve">Not removal of slings/webslings during Seafastening cutting operations due to them being stuck on frondmat frame. </t>
  </si>
  <si>
    <t xml:space="preserve">2024/06/11
Daniel Huang - Issue the NCR response to CDWE and requested a conformtable report on this matter,
</t>
  </si>
  <si>
    <t>CDWE-NCR-000008</t>
  </si>
  <si>
    <t>Onshore PP quayside supports location NCR</t>
  </si>
  <si>
    <t>HL-TNI-CDWE-LOG-DWG-00013</t>
  </si>
  <si>
    <t xml:space="preserve">During the arrival of Happy Buccaneer to Q18 for the load-in operations of Batch 01 (03/02/24), Contractor noticed about the incorrect position of the onshore PP supports on the quayside. The set up was shifter approx. 10m towards Q17, which led to a shifting of the Happy Buccaneer position also 10m aft-wards.
The situation was discussed on site between MWS, Employer, Contractor and Subcontractors and it was agreed to proceed without an MoC, but rather with a comment in the CoA issued by the MWS. Reason being of this decision was:
1. The shift led to a very similar mooring configuration;
2. The weather conditions were favourable;
3. The PP supports and the vessel were perfectly aligned allowing for the safe offloading
of PPs onto the quayside supports 
</t>
  </si>
  <si>
    <t>Anping Q18</t>
  </si>
  <si>
    <t>Unloading PP batch 01</t>
  </si>
  <si>
    <t xml:space="preserve">Corrected after first batch. </t>
  </si>
  <si>
    <t xml:space="preserve">Francois Smith </t>
  </si>
  <si>
    <t>NA
2024/6/14
Daniel Huang- the support has been corrected to planned location against the configuration drawing.</t>
  </si>
  <si>
    <t xml:space="preserve">2024/6/13
CDWE issued the NCR happened on 2nd of February to Hailong. </t>
  </si>
  <si>
    <t>SW7-NCR-000006</t>
  </si>
  <si>
    <t>NCR Unacceptable MBES data</t>
  </si>
  <si>
    <t>HL-CTI-SW7-DES-DBF-00002</t>
  </si>
  <si>
    <t>Provisional MBES data supplied to the Client – HL Surveyor and Package Manager deemed data to be unacceptable.</t>
  </si>
  <si>
    <t>Boka Tiamat</t>
  </si>
  <si>
    <t>Rob Spillard</t>
  </si>
  <si>
    <t>Please see Synergi case print off attached</t>
  </si>
  <si>
    <t>8 actions have been proposed and captured on the attached Synergi Case print off.</t>
  </si>
  <si>
    <t>SW7-NCR-000005</t>
  </si>
  <si>
    <t>NCR Bellmouth Inspection  x 3</t>
  </si>
  <si>
    <t>PR-GL-PG-065 WELDING VISUAL INSPECTION PROCEDURE</t>
  </si>
  <si>
    <t xml:space="preserve">On receiving the bellmouth at the HDD site on 10th May 2024 - an Inspection was performed by the onsite Seaway 7 Engineer and issues where discovered internally. The inner wall of the Bellmouth was not smooth, there was evidence of welding slag not cleared - both of the are high potential risks to damaging the Export cable.
2A TW0001-DR-AA-25011
3A TW0001-DR-AA-25013
3B TW0001-DR-AA-25013
</t>
  </si>
  <si>
    <t>HDD site</t>
  </si>
  <si>
    <t>Roger Lin</t>
  </si>
  <si>
    <t>TW0001-DR-AA-25011 TW0001-DR-AA-25013 TW0001-DR-AA-25013</t>
  </si>
  <si>
    <t>Rework - deburr and re-galv.</t>
  </si>
  <si>
    <t>Brian Shih</t>
  </si>
  <si>
    <t>Please review the attached IRN covering the rework and product(s) release.</t>
  </si>
  <si>
    <t>CDWE-NCR-000009</t>
  </si>
  <si>
    <t>H01 PP B coating damage</t>
  </si>
  <si>
    <t xml:space="preserve">Reference to incident CDWE-GNC-003425. </t>
  </si>
  <si>
    <t xml:space="preserve">On July 2, 2024, around 06:40 AM slight coating damage of Pile B (H01) occurred during loading operation carried by Green Jade main crane in Anping Port. After arriving at the port of Anping at around 3 a.m. and setting up at quay no. 18, the operation of loading pin piles onto the Green Jade using the main crane began.
During lifting of Pile C (E02) from seafestening on quay side, contact between lifted piles and storage one occurred causing slight damage of coating.
Two small affected areas were identified. No bare metal, just some coating pressed up with the superficial coating damage.
The incident is reported in the initial report as per CDWE-GNC-003425. </t>
  </si>
  <si>
    <t>HL21 H01 Pin Pile B</t>
  </si>
  <si>
    <t xml:space="preserve">Carter Cao </t>
  </si>
  <si>
    <t xml:space="preserve">HL21 H01 Pin Pile B </t>
  </si>
  <si>
    <t xml:space="preserve">Acceptance product under conditions </t>
  </si>
  <si>
    <t xml:space="preserve">Immediate response:
- Lifting operation stopped to check possible damage of piles and lifting equipment,
- After lifting of Pile C (E02) photo documentation done on Pile B (H01
The integrity of the pile is not jeopardized. This damage was deemed minor and within the margin of the mechanical breakdown factor according to the Foundation Designer’s report, Design report corrosion, and cathodic protection. Pile installation can proceed without the repair in accordance with the breakdown factor implemented.
</t>
  </si>
  <si>
    <t>Corrective actions (CA):
- Review layout of fenders and reconsideration of increasing numbers of fenders or change their location.
- Review of storage layout and reconsider if more space between piles can be given.
- Provide Tool Box Talk for crane operators focusing on accurate load positioning during lifting operations</t>
  </si>
  <si>
    <t xml:space="preserve">Direct Cause (DC):
- Contact between lifted and stored pin pile,
Root Cause (RC)
- Inadequate spacing between fenders
- The small distance between stored piles,
- Human error - the lifting team incorrectly assessed the position of the hook above the load, causing uncontrolled deviation during lifting </t>
  </si>
  <si>
    <t xml:space="preserve">Corrective actions (CA):
- Review layout of fenders and reconsideration of increasing numbers of fenders or change their location.
- Review of storage layout and reconsider if more space between piles can be given.
- Provide Tool Box Talk for crane operators focusing on accurate load positioning during lifting operations </t>
  </si>
  <si>
    <t xml:space="preserve">Verified during check on the damage.
Actions for incident report ongoing. </t>
  </si>
  <si>
    <t>FOU Designer
Ramboll, FRBR</t>
  </si>
  <si>
    <t>These small damages are within the mehanical allowances considered in the CP design.</t>
  </si>
  <si>
    <t>EXC-HL2A_Non-compliance with approved procedure</t>
  </si>
  <si>
    <t xml:space="preserve">HL-CTI-SW7-ENG-PRC-00005
HL-CTI-SW7-QMT-PLN-00001 </t>
  </si>
  <si>
    <t xml:space="preserve">Maersk Connector </t>
  </si>
  <si>
    <t xml:space="preserve">Client Rep. Anthony Brown (EX) </t>
  </si>
  <si>
    <t>NCR Request for IAC Cable Damage Incidents
The PP yarn was damaged on HEC-HL2-800C-05-C and HEC-HL2-800C-05-B.</t>
  </si>
  <si>
    <t>HEC-HL2-800C-05-C and HEC-HL2-800C-05-B 
Taichung Port</t>
  </si>
  <si>
    <t xml:space="preserve">Client Rep, Peter Walker (EX) </t>
  </si>
  <si>
    <t>Daniel Huang(HL)
Daniel Park(S7)</t>
  </si>
  <si>
    <t xml:space="preserve">HEC-HL2-800C-05-C and 
HEC-HL2-800C-05-B </t>
  </si>
  <si>
    <t>HL-IAC-HELLENIC-PMT-MST-00003</t>
  </si>
  <si>
    <t xml:space="preserve">See attached </t>
  </si>
  <si>
    <t>The WIND investigation report is attached. WIND have proposed and implemented the following actions as part of return-to-work protocol: Two persons each shift with radio and paddle in cable tank on the vessel to continuously observe cable moving freely. They will free up the cable if required with paddle or order an all stop if more time is required to free up the cable. Persons will be clearly instructed by the supervisor with TBT for safety precautions:- Apply friction tape on plastic markers to ensure continuous grip.
Elevate BCE 2mtrs to optimize angle from cable inner ring to BCE.
Lower cable speed to 4m/min on inner ring to have sufficient time to monitor cable pick up point or free cable if required.
After last cable end; land BCE quayside for full inspection and function -check.
Every 12hrs BCE wheel pressure will be recorded/logged.
On site assessment for optimizing and/or adding CCTV cameras in Vessel hold.
This has been captured within WIND-MOC-001 and approved by all parties - Seaway7, Hai Long and MWS.</t>
  </si>
  <si>
    <t>Communication needs improvement
Lack of knowledge and / or training
Standard / specification/drawing needs improvement</t>
  </si>
  <si>
    <t>Repair Works on cable 05C were successfully completed. Refer to Inspection report IVR-HL-001 Rev 2.
Deviations to the Hellenic Repair Procedure are captured within Management of Change HL-IAC-MOC-01, approved by all parties - Seaway7 , Hai Long and MWS.
Additional 05B outer damage found - reported on 11th July, damage located in storage area. WIND have been notified and this section of damage shall be assessed and remediated.
Temporary repair actions TBC</t>
  </si>
  <si>
    <t>Damage to Cable 05B was noted post Transpooling, observed in the stooge tank. The probability of other damages to cable below this section cannot be fully discounted. Inspection during next Transpooling operation to be undertaken and repair kits available. Operations team to advise where this action will be recorded as the next spooling operation for this cable is not until 2025.</t>
  </si>
  <si>
    <t xml:space="preserve">LSC-NCR-000028 </t>
  </si>
  <si>
    <t>LSC could not complete the Pull in head installation</t>
  </si>
  <si>
    <t>HL-EXC-LSC-TNI-MAN-00008 (2.0) Manual - Pull In Head</t>
  </si>
  <si>
    <t>21-Jul-2024, 17:00pm, LSC could not complete the Pull in head installation because the thread of circular wire kit was broken by hammer. So, circular wire kit and pulling body could not be assembled.</t>
  </si>
  <si>
    <t xml:space="preserve">
HL2-A </t>
  </si>
  <si>
    <t xml:space="preserve">Alan Hay </t>
  </si>
  <si>
    <t xml:space="preserve">Eunil Kim </t>
  </si>
  <si>
    <t>Report of Non Conformity 8_1
[ The disputed welding is found ]</t>
  </si>
  <si>
    <t xml:space="preserve">On July 29, 2024, early evening shift, the operator reported to the foreman that the last aluminium tape welding of previous evening shift might had opened after weber passing.
Cable core is Hai Long 800CU# batch no 3139344002. (HEC-HL3-800C-04)
The disputed welding is found locally at approx.15,695 of 19,107 m. </t>
  </si>
  <si>
    <t>ALPE layer of the 800CU# batch no 3139344002</t>
  </si>
  <si>
    <t>SHIFT OPERATOR</t>
  </si>
  <si>
    <t xml:space="preserve">V. KOUKOUTSI </t>
  </si>
  <si>
    <t>alpe 3139344002</t>
  </si>
  <si>
    <t xml:space="preserve">Rework - peeling off of ALPE layer as per procedure </t>
  </si>
  <si>
    <t xml:space="preserve">For precautionary reasons the alpe sheathed core batch no 3139344002 will be peeled off, start on 30/7/2024. </t>
  </si>
  <si>
    <t xml:space="preserve">For precautionary reasons the ALPE sheathed core batch no 3139344002 will be peeled off, started on 30/7/2024.
The peeling will be performed according to the procedure ALPE TY4, rev.4 that is included in Annex A.
The core, even after the peeling off the ALPE sheath, remains protected by the semi-conducting water blocking tapes.
Handling of the core during peeling off is identical to that of the normal production and carefully designed to protect the core from injuries and strains building. </t>
  </si>
  <si>
    <t>Helleic</t>
  </si>
  <si>
    <t xml:space="preserve">RCA Summary: Disputed quality welding due to delayed operator’s report.
As the operator initially, had assessed that the welding was satisfactory and had reported nothing,
the alpe sheathed core batch 3139344002, in the meantime, had been completed and proceeded to the next stage of Routine testing. Routine testing was performed successfully.
According to HEC internal procedure, before every factory aluminium tape welding that is to be performed, six testing welds are performed and tested. All testing welds before the certain welding were successful. </t>
  </si>
  <si>
    <t xml:space="preserve">A new ALPE sheath will be applied on the cable length. </t>
  </si>
  <si>
    <t xml:space="preserve">The above length will be routine tested according to the ITP. </t>
  </si>
  <si>
    <t xml:space="preserve">Vasiliki Georgiopoulou </t>
  </si>
  <si>
    <t xml:space="preserve">Final product is not affected as cable underwent again through the standard production process of application of ALPE layer, after its removal/stripping. </t>
  </si>
  <si>
    <t>2024/7/31
The disputed welding quality issue is due to operator's delay in report it.</t>
  </si>
  <si>
    <t>LSC-NCR-000029</t>
  </si>
  <si>
    <t>Low welding quality due to lack of argon gas</t>
  </si>
  <si>
    <t xml:space="preserve">HL-EXC-LSC-HSS-RSA-00008 (3.0) RAMS for Offshore Field Repair Joint </t>
  </si>
  <si>
    <t xml:space="preserve">02-Aug-2024, 04:00am, During “R” phase conductor welding, the argon gas was insufficient, make low-quality the conductor welding.
(The argon gas was consumed much faster than expected.) </t>
  </si>
  <si>
    <t xml:space="preserve">HL2-A </t>
  </si>
  <si>
    <t xml:space="preserve">Rework using the same processes as original product </t>
  </si>
  <si>
    <t xml:space="preserve">The Post OFJ (TDR) test was completed without any problems after cable jointing </t>
  </si>
  <si>
    <t>HL-TNI-CDWE-ENG-NCR-00012 NCR - Anping hinterland PP supports height</t>
  </si>
  <si>
    <t xml:space="preserve">During the investigation of the settlements encountered on the onshore hinterland PP supports in Anping Q17/18, the Contractor identified a design misalignment between the PP supports' height and the PP SPMT handling frames.
The supports were designed with a height of 2000mm, accounting for maximum expected PP settlements of 122mm (refer to Appendix B, pg. 94 of HL-TNI-CDWE-ENG-RPT-00062 rev. 5.0). Therefore, the initial design provided a minimum gap of 1878mm between the PP and the ground.
Conversely, the PP SPMT handling frames were designed to accommodate the SPMT minimum height (1250mm), a steel load-spreading mat (400mm), and a steel stopper beam to hold the rubber catchers in position (200mm), resulting in an overall minimum height of 1850mm.
However, during the fabrication of the gravel bunds, a small indentation of approximately 50mm was made to better accommodate the pile, preventing rolling and point loads against it. This 50mm indentation reduced the actual available space between the ground and the pile to 1828mm, less than the minimum SPMT height.
Consequently, if all expected settlements occur, the SPMT would be unable to drive under the pile. 
</t>
  </si>
  <si>
    <t>Anping Q17/18</t>
  </si>
  <si>
    <t>PP supports</t>
  </si>
  <si>
    <t>Repair / rework of product / process</t>
  </si>
  <si>
    <t xml:space="preserve">1. Reduce the SPMT height 30mm by cutting the vertical stopper for the rubber catcher, as defined in HL-TNI-CDWE-LOG-COR-00031. For the sake of clarity, reference is made to Figure 1 above, showing the final configuration of the SPMT.
2. Perform periodic by-weekly PP height measurements to the lowest pile of every sand dune to monitor the sand dune settlements throughout the duration of the Project – allowing to perform the below rectification actions in due time.
3. If the settlements are observed near the minimum SPMT height (i.e.1820mm), lift the PP and insert sheets of plywood under the geotextile over the contact area between dune and PP, allowing to increase the clearance. Alternatively, additional material can be added below the geotextile to elevate the pile.
4. Investigate the possibility of replacing the welded vertical steel profile as stopper for the rubber catcher by a bolted profile, creating a removable structure to reduce further the SPMT minimum height. This investigation will be performed over the winter season of 2024. 
</t>
  </si>
  <si>
    <t xml:space="preserve">SPMT reduced minimum height as per HL-TNI-CDWE-LOG-COR-00031 (i.e. -30mm)
completed. </t>
  </si>
  <si>
    <t xml:space="preserve">The ~50mm dent on the sand dune to accommodate the PP was not accounted for in the original design. It was overlooked the fact that all calculated settlements added
together to the mentioned dent did not provide enough space for the SPMT driving under the pile. </t>
  </si>
  <si>
    <t xml:space="preserve">1. Stick to only IFC design documents during operations;
2. Consider the exact final configuration during the design phase. Any practical adjustments (such as the creation of a dent to accommodate the pile) are to be included into the final design. Consider expected plastic and elastic deformations for all structures. </t>
  </si>
  <si>
    <t xml:space="preserve">Integrity achieved by reducing the SPMT height. </t>
  </si>
  <si>
    <t>Carter Cao</t>
  </si>
  <si>
    <t xml:space="preserve">Jonas Arnout </t>
  </si>
  <si>
    <t>CDWE-NCR-000012</t>
  </si>
  <si>
    <t>Grout Density Readings</t>
  </si>
  <si>
    <t xml:space="preserve">Grouting (secondary works) method statement </t>
  </si>
  <si>
    <t xml:space="preserve">HL21-B02 Leg B </t>
  </si>
  <si>
    <t xml:space="preserve">Ruben Wesemael </t>
  </si>
  <si>
    <t xml:space="preserve">Grouting process </t>
  </si>
  <si>
    <t xml:space="preserve">The original purpose of the density probe was to limit further the overage of 15% by having a probe confirming the achievement of correct density at the top of the structural grout column.
Therefore, we will prepare a MOC that pumping can be stopped when 1 of the following 3 conditions are met (independent of the availability of certain equipment):
o Density probe reaches 2 consecutive values between 2.22 kg/l and 2.28 kg/l
o Upon visual confirmation of grout overflow, 15% overage will be pumped
o At 125% of the theoretical volume </t>
  </si>
  <si>
    <t xml:space="preserve">DNV Type Approval Certificate MasterFlow 9800.pdf
HL21 B02 Leg B 1 sec 16-Sep-24.xlsx
Overflow and Fresh Grout Testing results on HL B02.pdf </t>
  </si>
  <si>
    <t xml:space="preserve">Management of Change request form. </t>
  </si>
  <si>
    <t>CDWE-NCR-000013</t>
  </si>
  <si>
    <t>Foundation Jacket Pile Gripper performance issue - HL-H02</t>
  </si>
  <si>
    <t>HL21-H02</t>
  </si>
  <si>
    <t>Cat A – Critical (Associated Risk Present)</t>
  </si>
  <si>
    <t>Use as it is</t>
  </si>
  <si>
    <t>Jonas Arnout</t>
  </si>
  <si>
    <t>CDWE-NCR-000014</t>
  </si>
  <si>
    <t>CDWE-NCR-000015</t>
  </si>
  <si>
    <t>Foundation Jacket Pile Gripper performance issue - HL-J03</t>
  </si>
  <si>
    <t>H21L-J03</t>
  </si>
  <si>
    <t>CDWE-NCR-000016</t>
  </si>
  <si>
    <t>H21L-J05</t>
  </si>
  <si>
    <t>CDWE-NCR-000017</t>
  </si>
  <si>
    <t>Foundation Jacket Pile Gripper performance issue - HL22-E03</t>
  </si>
  <si>
    <t>HL22-E03</t>
  </si>
  <si>
    <t>Bono de Witte</t>
  </si>
  <si>
    <t>EMPL-RFNCR-000048</t>
  </si>
  <si>
    <t>Non-Compliance with Repair and Inspection Procedures for Jacket Coating Repairs</t>
  </si>
  <si>
    <t xml:space="preserve">HL-FOU-Samkang-QAC-PRC-00001, Rev 7.0, Surface Preparation and Coating Procedure </t>
  </si>
  <si>
    <t xml:space="preserve">CDWE’s coating repairs did not comply with Surface Preparation and Coating Procedure Chapters 9 and 8, lacking documentation and certified inspections (FROSIO/NACE III). Incomplete records raise concerns about repair quality. Additionally, red paint residue from the alignment frame was observed on several jackets, which CDWE unsuccessfully attempted to remove. The contractor is requested to submit repair documentation, third-party inspection reports, and detailed cleaning product specifications for approval. 
</t>
  </si>
  <si>
    <t xml:space="preserve">All installed Jackets </t>
  </si>
  <si>
    <t xml:space="preserve">CJ Chen </t>
  </si>
  <si>
    <t xml:space="preserve">The temporary hang-off clamp installation for HL2A was improperly executed, resulting in defective bolt/nut combinations and incomplete works. These shortcomings pose a risk to the safety and integrity of the installation, and immediate corrective actions are required. </t>
  </si>
  <si>
    <t>Abbr.</t>
    <phoneticPr fontId="3" type="noConversion"/>
  </si>
  <si>
    <t>Description</t>
    <phoneticPr fontId="3" type="noConversion"/>
  </si>
  <si>
    <t>HE</t>
    <phoneticPr fontId="3" type="noConversion"/>
  </si>
  <si>
    <t>Hitachi Energy</t>
    <phoneticPr fontId="3" type="noConversion"/>
  </si>
  <si>
    <t>material test clarification</t>
    <phoneticPr fontId="3" type="noConversion"/>
  </si>
  <si>
    <t>PG</t>
    <phoneticPr fontId="3" type="noConversion"/>
  </si>
  <si>
    <t>Power Grid</t>
    <phoneticPr fontId="3" type="noConversion"/>
  </si>
  <si>
    <t>certification</t>
    <phoneticPr fontId="23" type="noConversion"/>
  </si>
  <si>
    <t>PGHV</t>
    <phoneticPr fontId="3" type="noConversion"/>
  </si>
  <si>
    <t>Power Grid High Voltage</t>
    <phoneticPr fontId="3" type="noConversion"/>
  </si>
  <si>
    <r>
      <t>v</t>
    </r>
    <r>
      <rPr>
        <sz val="12"/>
        <rFont val="宋体"/>
        <charset val="134"/>
      </rPr>
      <t>erification</t>
    </r>
  </si>
  <si>
    <t>PGGI</t>
    <phoneticPr fontId="3" type="noConversion"/>
  </si>
  <si>
    <t>Power Grid Grid Integration</t>
    <phoneticPr fontId="3" type="noConversion"/>
  </si>
  <si>
    <r>
      <t>c</t>
    </r>
    <r>
      <rPr>
        <sz val="12"/>
        <rFont val="宋体"/>
        <charset val="134"/>
      </rPr>
      <t>larification</t>
    </r>
  </si>
  <si>
    <t>PGGA (SAS)</t>
    <phoneticPr fontId="3" type="noConversion"/>
  </si>
  <si>
    <t>Power Grid Grid Automation</t>
    <phoneticPr fontId="3" type="noConversion"/>
  </si>
  <si>
    <t>PGTR</t>
    <phoneticPr fontId="3" type="noConversion"/>
  </si>
  <si>
    <t>Power Grid Transformer</t>
    <phoneticPr fontId="3" type="noConversion"/>
  </si>
  <si>
    <t>CNHHS</t>
    <phoneticPr fontId="3" type="noConversion"/>
  </si>
  <si>
    <t>CNHHS-Xiamen Factory</t>
    <phoneticPr fontId="3" type="noConversion"/>
  </si>
  <si>
    <t>Dilo Cart</t>
    <phoneticPr fontId="3" type="noConversion"/>
  </si>
  <si>
    <r>
      <t xml:space="preserve">SF6 </t>
    </r>
    <r>
      <rPr>
        <sz val="12"/>
        <rFont val="細明體"/>
        <family val="2"/>
        <charset val="136"/>
      </rPr>
      <t>的手推車</t>
    </r>
  </si>
  <si>
    <r>
      <t>g</t>
    </r>
    <r>
      <rPr>
        <sz val="12"/>
        <rFont val="宋体"/>
        <charset val="134"/>
      </rPr>
      <t xml:space="preserve">lossary /abbrentary </t>
    </r>
  </si>
  <si>
    <t>COO</t>
    <phoneticPr fontId="3" type="noConversion"/>
  </si>
  <si>
    <t>Certificate of Origin</t>
    <phoneticPr fontId="3" type="noConversion"/>
  </si>
  <si>
    <t>BCU</t>
    <phoneticPr fontId="3" type="noConversion"/>
  </si>
  <si>
    <t>Bay Control Unit</t>
    <phoneticPr fontId="3" type="noConversion"/>
  </si>
  <si>
    <t>CT</t>
    <phoneticPr fontId="3" type="noConversion"/>
  </si>
  <si>
    <t>Current Transformer</t>
    <phoneticPr fontId="3" type="noConversion"/>
  </si>
  <si>
    <t xml:space="preserve">VT </t>
    <phoneticPr fontId="3" type="noConversion"/>
  </si>
  <si>
    <t>Voltage Transformer</t>
    <phoneticPr fontId="3" type="noConversion"/>
  </si>
  <si>
    <t>PT</t>
    <phoneticPr fontId="3" type="noConversion"/>
  </si>
  <si>
    <t>Proemial Transformer</t>
  </si>
  <si>
    <t>CB</t>
    <phoneticPr fontId="3" type="noConversion"/>
  </si>
  <si>
    <t>Circuit Breaker</t>
    <phoneticPr fontId="3" type="noConversion"/>
  </si>
  <si>
    <t>ES</t>
    <phoneticPr fontId="3" type="noConversion"/>
  </si>
  <si>
    <t>Earthing Switch</t>
    <phoneticPr fontId="3" type="noConversion"/>
  </si>
  <si>
    <t>FES</t>
    <phoneticPr fontId="3" type="noConversion"/>
  </si>
  <si>
    <t>Fast Earthing Switch</t>
    <phoneticPr fontId="3" type="noConversion"/>
  </si>
  <si>
    <t>DS</t>
    <phoneticPr fontId="3" type="noConversion"/>
  </si>
  <si>
    <t>Disconnector Switch</t>
    <phoneticPr fontId="3" type="noConversion"/>
  </si>
  <si>
    <t>SA (LA)</t>
    <phoneticPr fontId="3" type="noConversion"/>
  </si>
  <si>
    <t>Surge Arrester</t>
    <phoneticPr fontId="3" type="noConversion"/>
  </si>
  <si>
    <t>CEU</t>
    <phoneticPr fontId="3" type="noConversion"/>
  </si>
  <si>
    <t>Cable End Unit</t>
    <phoneticPr fontId="3" type="noConversion"/>
  </si>
  <si>
    <t>HVD</t>
    <phoneticPr fontId="3" type="noConversion"/>
  </si>
  <si>
    <t>Hight Voltage Detector</t>
    <phoneticPr fontId="3" type="noConversion"/>
  </si>
  <si>
    <t>ID HITACHI</t>
    <phoneticPr fontId="3" type="noConversion"/>
  </si>
  <si>
    <t>Indonesia HITACHI</t>
    <phoneticPr fontId="3" type="noConversion"/>
  </si>
  <si>
    <t>MTC</t>
    <phoneticPr fontId="3" type="noConversion"/>
  </si>
  <si>
    <t>Material Test Clarification</t>
    <phoneticPr fontId="3" type="noConversion"/>
  </si>
  <si>
    <t>Material Certificate</t>
    <phoneticPr fontId="3" type="noConversion"/>
  </si>
  <si>
    <t>RTR</t>
    <phoneticPr fontId="3" type="noConversion"/>
  </si>
  <si>
    <t>Routine Test Report</t>
    <phoneticPr fontId="3" type="noConversion"/>
  </si>
  <si>
    <t>JSA</t>
    <phoneticPr fontId="3" type="noConversion"/>
  </si>
  <si>
    <t>Job Safety Analysis</t>
    <phoneticPr fontId="3" type="noConversion"/>
  </si>
  <si>
    <t>工作安全分析</t>
    <phoneticPr fontId="3" type="noConversion"/>
  </si>
  <si>
    <t>SLD</t>
    <phoneticPr fontId="3" type="noConversion"/>
  </si>
  <si>
    <t>Signal line diagram</t>
    <phoneticPr fontId="3" type="noConversion"/>
  </si>
  <si>
    <t>GCD</t>
    <phoneticPr fontId="3" type="noConversion"/>
  </si>
  <si>
    <t>Gas Compartment diagram</t>
    <phoneticPr fontId="3" type="noConversion"/>
  </si>
  <si>
    <t xml:space="preserve">MP PANEL </t>
    <phoneticPr fontId="3" type="noConversion"/>
  </si>
  <si>
    <t>主電源盤</t>
    <phoneticPr fontId="3" type="noConversion"/>
  </si>
  <si>
    <t xml:space="preserve">EMP PANEL </t>
    <phoneticPr fontId="3" type="noConversion"/>
  </si>
  <si>
    <t>緊急電源盤</t>
    <phoneticPr fontId="3" type="noConversion"/>
  </si>
  <si>
    <t>SC PANEL</t>
    <phoneticPr fontId="3" type="noConversion"/>
  </si>
  <si>
    <t>改善功因盤</t>
    <phoneticPr fontId="3" type="noConversion"/>
  </si>
  <si>
    <t>NGCP</t>
    <phoneticPr fontId="3" type="noConversion"/>
  </si>
  <si>
    <t>National Grid Corporation of the Philippines</t>
    <phoneticPr fontId="3" type="noConversion"/>
  </si>
  <si>
    <t>PCR</t>
    <phoneticPr fontId="3" type="noConversion"/>
  </si>
  <si>
    <t>Project Calculation Review Request</t>
    <phoneticPr fontId="3" type="noConversion"/>
  </si>
  <si>
    <t>PSP</t>
    <phoneticPr fontId="3" type="noConversion"/>
  </si>
  <si>
    <t>Project Specific Parameters</t>
    <phoneticPr fontId="3" type="noConversion"/>
  </si>
  <si>
    <t>GIL</t>
    <phoneticPr fontId="3" type="noConversion"/>
  </si>
  <si>
    <t>Gas Insulated transmission Lines</t>
    <phoneticPr fontId="3" type="noConversion"/>
  </si>
  <si>
    <t>GIB</t>
    <phoneticPr fontId="3" type="noConversion"/>
  </si>
  <si>
    <t>Gas insolated bus</t>
    <phoneticPr fontId="3" type="noConversion"/>
  </si>
  <si>
    <t>俗稱管道母線，它是一種輸電技術</t>
    <phoneticPr fontId="3" type="noConversion"/>
  </si>
  <si>
    <t>CTT</t>
    <phoneticPr fontId="3" type="noConversion"/>
  </si>
  <si>
    <t>Current test terminal</t>
    <phoneticPr fontId="3" type="noConversion"/>
  </si>
  <si>
    <t>電流測試端子座</t>
    <phoneticPr fontId="3" type="noConversion"/>
  </si>
  <si>
    <t>PTT</t>
    <phoneticPr fontId="3" type="noConversion"/>
  </si>
  <si>
    <t>電壓測試端子座</t>
    <phoneticPr fontId="3" type="noConversion"/>
  </si>
  <si>
    <t>GCB</t>
    <phoneticPr fontId="3" type="noConversion"/>
  </si>
  <si>
    <t>Gas Circuit Breaker</t>
    <phoneticPr fontId="3" type="noConversion"/>
  </si>
  <si>
    <t>氣體斷路器(六氟化硫氣體斷路器)</t>
    <phoneticPr fontId="3" type="noConversion"/>
  </si>
  <si>
    <t>//</t>
    <phoneticPr fontId="3" type="noConversion"/>
  </si>
  <si>
    <t>Net margin</t>
    <phoneticPr fontId="3" type="noConversion"/>
  </si>
  <si>
    <t>凈利潤率</t>
    <phoneticPr fontId="3" type="noConversion"/>
  </si>
  <si>
    <r>
      <t>(Net Income Margin)</t>
    </r>
    <r>
      <rPr>
        <sz val="12"/>
        <rFont val="細明體"/>
        <family val="2"/>
        <charset val="136"/>
      </rPr>
      <t>，就是稅後淨利佔總營收的百分比。</t>
    </r>
    <r>
      <rPr>
        <sz val="12"/>
        <rFont val="Calibri"/>
        <family val="2"/>
      </rPr>
      <t xml:space="preserve"> </t>
    </r>
    <r>
      <rPr>
        <sz val="12"/>
        <rFont val="細明體"/>
        <family val="2"/>
        <charset val="136"/>
      </rPr>
      <t>代表一間公司每賺進</t>
    </r>
    <r>
      <rPr>
        <sz val="12"/>
        <rFont val="Calibri"/>
        <family val="2"/>
      </rPr>
      <t>1</t>
    </r>
    <r>
      <rPr>
        <sz val="12"/>
        <rFont val="細明體"/>
        <family val="2"/>
        <charset val="136"/>
      </rPr>
      <t>元的營收，可以得到多少稅後的淨利。</t>
    </r>
  </si>
  <si>
    <t>Gross margin</t>
    <phoneticPr fontId="3" type="noConversion"/>
  </si>
  <si>
    <t>毛利率或毛利潤率</t>
    <phoneticPr fontId="3" type="noConversion"/>
  </si>
  <si>
    <r>
      <rPr>
        <sz val="12"/>
        <rFont val="細明體"/>
        <family val="2"/>
        <charset val="136"/>
      </rPr>
      <t>是衡量一家公司在扣除與銷售商品及服務相關的直接成本後剩餘利潤的方法。</t>
    </r>
    <r>
      <rPr>
        <sz val="12"/>
        <rFont val="Calibri"/>
        <family val="2"/>
      </rPr>
      <t xml:space="preserve"> </t>
    </r>
    <r>
      <rPr>
        <sz val="12"/>
        <rFont val="細明體"/>
        <family val="2"/>
        <charset val="136"/>
      </rPr>
      <t>它可以說明公司在產生支出的情況下是否仍有收益。</t>
    </r>
    <r>
      <rPr>
        <sz val="12"/>
        <rFont val="Calibri"/>
        <family val="2"/>
      </rPr>
      <t xml:space="preserve"> </t>
    </r>
    <r>
      <rPr>
        <sz val="12"/>
        <rFont val="細明體"/>
        <family val="2"/>
        <charset val="136"/>
      </rPr>
      <t>毛利率通常以百分比表示</t>
    </r>
  </si>
  <si>
    <t>KY</t>
    <phoneticPr fontId="3" type="noConversion"/>
  </si>
  <si>
    <t>危險預知。</t>
    <phoneticPr fontId="3" type="noConversion"/>
  </si>
  <si>
    <r>
      <t xml:space="preserve">K—— Kiken </t>
    </r>
    <r>
      <rPr>
        <sz val="12"/>
        <rFont val="細明體"/>
        <family val="2"/>
        <charset val="136"/>
      </rPr>
      <t>不安全的狀態</t>
    </r>
    <r>
      <rPr>
        <sz val="12"/>
        <rFont val="Calibri"/>
        <family val="2"/>
      </rPr>
      <t xml:space="preserve">
Y——Yochi </t>
    </r>
    <r>
      <rPr>
        <sz val="12"/>
        <rFont val="細明體"/>
        <family val="2"/>
        <charset val="136"/>
      </rPr>
      <t>預先掌握</t>
    </r>
    <r>
      <rPr>
        <sz val="12"/>
        <rFont val="Calibri"/>
        <family val="2"/>
      </rPr>
      <t xml:space="preserve">
KY</t>
    </r>
    <r>
      <rPr>
        <sz val="12"/>
        <rFont val="細明體"/>
        <family val="2"/>
        <charset val="136"/>
      </rPr>
      <t>在日本工業中為危險預知之意。</t>
    </r>
    <r>
      <rPr>
        <sz val="12"/>
        <rFont val="Calibri"/>
        <family val="2"/>
      </rPr>
      <t xml:space="preserve">
KYT </t>
    </r>
    <r>
      <rPr>
        <sz val="12"/>
        <rFont val="細明體"/>
        <family val="2"/>
        <charset val="136"/>
      </rPr>
      <t>意為危險預知訓練。起源於日本住友金屬工業公司。</t>
    </r>
    <r>
      <rPr>
        <sz val="12"/>
        <rFont val="Calibri"/>
        <family val="2"/>
      </rPr>
      <t xml:space="preserve">
</t>
    </r>
    <r>
      <rPr>
        <sz val="12"/>
        <rFont val="細明體"/>
        <family val="2"/>
        <charset val="136"/>
      </rPr>
      <t>針對生產過程中，以危險因素為對象，以作業班組為團隊開展的一項安全教育和訓練活動，目的是控制作業過程中的危險，預測和預防可能出現的事故。</t>
    </r>
  </si>
  <si>
    <t>IDOU</t>
    <phoneticPr fontId="3" type="noConversion"/>
  </si>
  <si>
    <t>GPM</t>
    <phoneticPr fontId="3" type="noConversion"/>
  </si>
  <si>
    <t>GLOBAL PERFORMANCE MANAGEMENT</t>
    <phoneticPr fontId="3" type="noConversion"/>
  </si>
  <si>
    <t>OT container</t>
    <phoneticPr fontId="3" type="noConversion"/>
  </si>
  <si>
    <t>Open Top container</t>
    <phoneticPr fontId="3" type="noConversion"/>
  </si>
  <si>
    <t>開頂櫃</t>
    <phoneticPr fontId="3" type="noConversion"/>
  </si>
  <si>
    <t>ETD</t>
    <phoneticPr fontId="3" type="noConversion"/>
  </si>
  <si>
    <t>estimated Time of Departure</t>
    <phoneticPr fontId="3" type="noConversion"/>
  </si>
  <si>
    <r>
      <t>預計</t>
    </r>
    <r>
      <rPr>
        <sz val="12"/>
        <color rgb="FFFF0000"/>
        <rFont val="MingLiU"/>
        <family val="3"/>
        <charset val="136"/>
      </rPr>
      <t>送出</t>
    </r>
    <r>
      <rPr>
        <sz val="12"/>
        <rFont val="MingLiU"/>
        <family val="2"/>
        <charset val="136"/>
      </rPr>
      <t>時間</t>
    </r>
  </si>
  <si>
    <t>BL</t>
    <phoneticPr fontId="3" type="noConversion"/>
  </si>
  <si>
    <t>Bill of Lading</t>
    <phoneticPr fontId="3" type="noConversion"/>
  </si>
  <si>
    <t>TLX</t>
    <phoneticPr fontId="3" type="noConversion"/>
  </si>
  <si>
    <t>Telex Release</t>
    <phoneticPr fontId="3" type="noConversion"/>
  </si>
  <si>
    <t>ETA</t>
    <phoneticPr fontId="3" type="noConversion"/>
  </si>
  <si>
    <t xml:space="preserve">ETA( Estimated Time of Arrival) </t>
    <phoneticPr fontId="3" type="noConversion"/>
  </si>
  <si>
    <r>
      <t>預計</t>
    </r>
    <r>
      <rPr>
        <sz val="12"/>
        <color rgb="FFFF0000"/>
        <rFont val="MingLiU"/>
        <family val="3"/>
        <charset val="136"/>
      </rPr>
      <t>到達</t>
    </r>
    <r>
      <rPr>
        <sz val="12"/>
        <rFont val="MingLiU"/>
        <family val="2"/>
        <charset val="136"/>
      </rPr>
      <t>時間</t>
    </r>
  </si>
  <si>
    <t>Factors of “Use as is”</t>
  </si>
  <si>
    <t>T&amp;T</t>
  </si>
  <si>
    <t>Termination &amp; Testing</t>
  </si>
  <si>
    <t>電纜終端及測試</t>
  </si>
  <si>
    <t>PLGR</t>
  </si>
  <si>
    <t>Pre-Lay-Grapnel-Run</t>
  </si>
  <si>
    <t>預鋪抓鉤作業"。這是海底電纜鋪設工程中的一個步驟，指的是在鋪設電纜之前使用抓鉤進行清理工作，以確保海底路徑的清潔和暢通。</t>
  </si>
  <si>
    <t>工種</t>
    <phoneticPr fontId="3" type="noConversion"/>
  </si>
  <si>
    <t>description</t>
    <phoneticPr fontId="3" type="noConversion"/>
  </si>
  <si>
    <t>Common</t>
    <phoneticPr fontId="3" type="noConversion"/>
  </si>
  <si>
    <t>檢驗表單</t>
    <phoneticPr fontId="3" type="noConversion"/>
  </si>
  <si>
    <t>各項檢驗表單是否有量化查驗基準? 是否與整體品質計畫書相符?</t>
    <phoneticPr fontId="3" type="noConversion"/>
  </si>
  <si>
    <t>整體品質計畫書</t>
    <phoneticPr fontId="3" type="noConversion"/>
  </si>
  <si>
    <t>是否送審經業主同意?</t>
    <phoneticPr fontId="3" type="noConversion"/>
  </si>
  <si>
    <t>是否於整體計劃書中描述水泥氯離子不可&gt;2%</t>
    <phoneticPr fontId="3" type="noConversion"/>
  </si>
  <si>
    <t>業主針對下包商品質議題，要求中鼎協助求償</t>
    <phoneticPr fontId="3" type="noConversion"/>
  </si>
  <si>
    <t>分項品質計畫書是否與整體品質計畫書描述相符</t>
    <phoneticPr fontId="3" type="noConversion"/>
  </si>
  <si>
    <t>是否有施工計畫送審計畫</t>
    <phoneticPr fontId="3" type="noConversion"/>
  </si>
  <si>
    <t>土木</t>
    <phoneticPr fontId="3" type="noConversion"/>
  </si>
  <si>
    <t>土木分項施工暨品質程序書</t>
    <phoneticPr fontId="3" type="noConversion"/>
  </si>
  <si>
    <t>檢查表氯離子標準是否與整體品質相同</t>
    <phoneticPr fontId="3" type="noConversion"/>
  </si>
  <si>
    <t>竹節鋼筋
須符合CNS 560鋼筋混凝土用鋼筋之規定，並不得使用水淬鋼筋。
銲接用鋼筋應採用SD420W或SD280W</t>
    <phoneticPr fontId="3" type="noConversion"/>
  </si>
  <si>
    <t>管線焊接</t>
    <phoneticPr fontId="3" type="noConversion"/>
  </si>
  <si>
    <t>管線檢驗申請表</t>
    <phoneticPr fontId="3" type="noConversion"/>
  </si>
  <si>
    <t>油漆</t>
    <phoneticPr fontId="3" type="noConversion"/>
  </si>
  <si>
    <t xml:space="preserve">                                                             </t>
    <phoneticPr fontId="3" type="noConversion"/>
  </si>
  <si>
    <t>油漆建造工程師是否到位、人員資格審核</t>
    <phoneticPr fontId="3" type="noConversion"/>
  </si>
  <si>
    <t>分項施工程序書送審狀態</t>
    <phoneticPr fontId="3" type="noConversion"/>
  </si>
  <si>
    <t>油漆施工計畫書與整體品質計畫書是否相符</t>
  </si>
  <si>
    <t>材料檢驗</t>
    <phoneticPr fontId="3" type="noConversion"/>
  </si>
  <si>
    <t>油漆材料是否檢附原廠材質證明及檢驗報告</t>
  </si>
  <si>
    <t>表面處理</t>
    <phoneticPr fontId="3" type="noConversion"/>
  </si>
  <si>
    <t>表面處理方式包括噴砂、酸許、電動工具、手工具</t>
    <phoneticPr fontId="3" type="noConversion"/>
  </si>
  <si>
    <t>規範:SSPC</t>
    <phoneticPr fontId="3" type="noConversion"/>
  </si>
  <si>
    <t>CNS</t>
    <phoneticPr fontId="3" type="noConversion"/>
  </si>
  <si>
    <t>SIS</t>
    <phoneticPr fontId="3" type="noConversion"/>
  </si>
  <si>
    <t>潔淨度檢查</t>
    <phoneticPr fontId="3" type="noConversion"/>
  </si>
  <si>
    <t>採用比對標準表面處理樣板法:</t>
    <phoneticPr fontId="3" type="noConversion"/>
  </si>
  <si>
    <t>施工規範</t>
    <phoneticPr fontId="3" type="noConversion"/>
  </si>
  <si>
    <t>第一級:SSPC-SP-5 / Sa3</t>
    <phoneticPr fontId="3" type="noConversion"/>
  </si>
  <si>
    <t>第二級:SSPC-SP-10 / Sa2 1/2</t>
    <phoneticPr fontId="3" type="noConversion"/>
  </si>
  <si>
    <t xml:space="preserve">第三級:SSPC-SP-6 / Sa2 </t>
    <phoneticPr fontId="3" type="noConversion"/>
  </si>
  <si>
    <t>粗糙度檢查</t>
    <phoneticPr fontId="3" type="noConversion"/>
  </si>
  <si>
    <t>油漆規範一般為25~75um</t>
    <phoneticPr fontId="3" type="noConversion"/>
  </si>
  <si>
    <t>塗裝</t>
    <phoneticPr fontId="3" type="noConversion"/>
  </si>
  <si>
    <t>現場補漆</t>
    <phoneticPr fontId="3" type="noConversion"/>
  </si>
  <si>
    <t>底漆、中漆、面漆在預置場</t>
    <phoneticPr fontId="3" type="noConversion"/>
  </si>
  <si>
    <t>配管底漆</t>
    <phoneticPr fontId="3" type="noConversion"/>
  </si>
  <si>
    <t>面漆、補漆現場</t>
    <phoneticPr fontId="3" type="noConversion"/>
  </si>
  <si>
    <t>面漆選用</t>
    <phoneticPr fontId="3" type="noConversion"/>
  </si>
  <si>
    <t>依施工規範</t>
    <phoneticPr fontId="3" type="noConversion"/>
  </si>
  <si>
    <t>油漆施工條件，現場溫度 10 &lt; T&lt;45</t>
    <phoneticPr fontId="3" type="noConversion"/>
  </si>
  <si>
    <t>雨天不可施工</t>
    <phoneticPr fontId="3" type="noConversion"/>
  </si>
  <si>
    <t>濕度85%不可施工</t>
    <phoneticPr fontId="3" type="noConversion"/>
  </si>
  <si>
    <t>塗裝檢測</t>
    <phoneticPr fontId="3" type="noConversion"/>
  </si>
  <si>
    <t>自主檢查表QVD 建造工程師簽名、品管工程師簽名</t>
    <phoneticPr fontId="3" type="noConversion"/>
  </si>
  <si>
    <t>標示</t>
    <phoneticPr fontId="3" type="noConversion"/>
  </si>
  <si>
    <t>標示方式依油漆規範規定</t>
    <phoneticPr fontId="3" type="noConversion"/>
  </si>
  <si>
    <t>補漆</t>
    <phoneticPr fontId="3" type="noConversion"/>
  </si>
  <si>
    <t>需與既有油漆相容之材料一樣</t>
    <phoneticPr fontId="3" type="noConversion"/>
  </si>
  <si>
    <t>鋼構</t>
    <phoneticPr fontId="3" type="noConversion"/>
  </si>
  <si>
    <t>防火施工</t>
    <phoneticPr fontId="3" type="noConversion"/>
  </si>
  <si>
    <t>防火底漆選用依據防火漆規範規定</t>
    <phoneticPr fontId="3" type="noConversion"/>
  </si>
  <si>
    <t>防火漆作業方式，每到漆最大濕膜厚參照材料製造規範</t>
    <phoneticPr fontId="3" type="noConversion"/>
  </si>
  <si>
    <t>面漆材質應使用與防火底漆相同產品</t>
    <phoneticPr fontId="3" type="noConversion"/>
  </si>
  <si>
    <t>保溫</t>
    <phoneticPr fontId="3" type="noConversion"/>
  </si>
  <si>
    <t>施工前準備</t>
    <phoneticPr fontId="3" type="noConversion"/>
  </si>
  <si>
    <t>熱保溫施工</t>
    <phoneticPr fontId="3" type="noConversion"/>
  </si>
  <si>
    <t>金屬保溫外皮層，是否符合合約規定or 50mm以上</t>
    <phoneticPr fontId="3" type="noConversion"/>
  </si>
  <si>
    <t>金屬保護外皮搭接處使用防水膠填封</t>
    <phoneticPr fontId="3" type="noConversion"/>
  </si>
  <si>
    <t>S、J夾扣後以束縛帶綁牢期間具應依合約規定施工、一般為250mm以上</t>
    <phoneticPr fontId="3" type="noConversion"/>
  </si>
  <si>
    <t>閥門及管配件</t>
    <phoneticPr fontId="3" type="noConversion"/>
  </si>
  <si>
    <t>保溫層</t>
    <phoneticPr fontId="3" type="noConversion"/>
  </si>
  <si>
    <t>依閥門及管配件外型尺寸與先祖裝成行之保溫材料，再裡用鬆散保溫材料填塞隙縫，不鏽鋼線捆牢、填縫膠、防潮膠帶布</t>
    <phoneticPr fontId="3" type="noConversion"/>
  </si>
  <si>
    <t>金屬保護層</t>
    <phoneticPr fontId="3" type="noConversion"/>
  </si>
  <si>
    <t>依閥門及配件預先成行金屬護皮閥座，在其搭接處密封防水膠，並安裝S、J夾扣以束縛帶綁牢</t>
    <phoneticPr fontId="3" type="noConversion"/>
  </si>
  <si>
    <t>可拆式保溫</t>
    <phoneticPr fontId="3" type="noConversion"/>
  </si>
  <si>
    <t>使用於儀表溢位計、設備人孔、泵及設備銘排保溫施工，安裝詳細圖應符合業主圖面要求</t>
    <phoneticPr fontId="3" type="noConversion"/>
  </si>
  <si>
    <t>電熱及蒸汽追蹤管保溫</t>
    <phoneticPr fontId="3" type="noConversion"/>
  </si>
  <si>
    <t>使用玻璃纖維束縛帶纏覆於追蹤管或導壓管;主管部分使用相同管系及設備保溫材料。</t>
    <phoneticPr fontId="3" type="noConversion"/>
  </si>
  <si>
    <t>保冷施工</t>
    <phoneticPr fontId="3" type="noConversion"/>
  </si>
  <si>
    <t>管線支撐鞍座</t>
    <phoneticPr fontId="3" type="noConversion"/>
  </si>
  <si>
    <t>成形PIR或PU®、橡木塊、Foam Glass…等管支撐作業</t>
    <phoneticPr fontId="3" type="noConversion"/>
  </si>
  <si>
    <t>管線及設備</t>
    <phoneticPr fontId="3" type="noConversion"/>
  </si>
  <si>
    <t>表面處理:</t>
    <phoneticPr fontId="3" type="noConversion"/>
  </si>
  <si>
    <t>表面處理:管線及設備表整理、補漆…等作業</t>
    <phoneticPr fontId="3" type="noConversion"/>
  </si>
  <si>
    <t>保冷層:支撐環、保冷材料安裝;或保溫厚度超過保溫規範規定之單一最大保冷層，則應分多層施工，一般單一最大保冷層厚度為50mm以上，保冷材質接縫應錯開並塗膠密封</t>
    <phoneticPr fontId="3" type="noConversion"/>
  </si>
  <si>
    <t>防潮層:鋪玻璃纖維布、塗裝兩層水膠…等座逾，保冷防潮膠布應具與保冷材職相容性</t>
    <phoneticPr fontId="3" type="noConversion"/>
  </si>
  <si>
    <t>金屬保護外皮層:外層保護皮之間隙應使用填縫膠密封</t>
    <phoneticPr fontId="3" type="noConversion"/>
  </si>
  <si>
    <t>保冷層及金屬護皮層:成行金屬護皮閥座、填充鋪玻璃纖維、或灌注PU發泡保冷材料、不鏽鋼束縛帶捆饒、填塞填縫膠於金屬護皮間隙、安裝S型扣夾</t>
    <phoneticPr fontId="3" type="noConversion"/>
  </si>
  <si>
    <t xml:space="preserve"> </t>
    <phoneticPr fontId="3" type="noConversion"/>
  </si>
  <si>
    <t>倉庫</t>
    <phoneticPr fontId="3" type="noConversion"/>
  </si>
  <si>
    <t>倉管人員收料檢驗紀錄</t>
    <phoneticPr fontId="3" type="noConversion"/>
  </si>
  <si>
    <t>OSD</t>
    <phoneticPr fontId="3" type="noConversion"/>
  </si>
  <si>
    <t>MARINE抽查現場數量是否與系統相符</t>
    <phoneticPr fontId="3" type="noConversion"/>
  </si>
  <si>
    <t>焊接人員資格查驗</t>
    <phoneticPr fontId="3" type="noConversion"/>
  </si>
  <si>
    <t>1. CMS 系統是否建置檔案</t>
    <phoneticPr fontId="3" type="noConversion"/>
  </si>
  <si>
    <t>2. 焊接人員資格證照</t>
    <phoneticPr fontId="3" type="noConversion"/>
  </si>
  <si>
    <t>3. 查是否有同一焊接人員，焊接不良率超過 ??? %</t>
    <phoneticPr fontId="3" type="noConversion"/>
  </si>
  <si>
    <t>焊接材料保存</t>
    <phoneticPr fontId="3" type="noConversion"/>
  </si>
  <si>
    <t>SQM</t>
    <phoneticPr fontId="3" type="noConversion"/>
  </si>
  <si>
    <t>不符合事項管控表</t>
    <phoneticPr fontId="3" type="noConversion"/>
  </si>
  <si>
    <t>DMGMC-111-B</t>
    <phoneticPr fontId="24" type="noConversion"/>
  </si>
  <si>
    <t>回填夯實施工</t>
    <phoneticPr fontId="24" type="noConversion"/>
  </si>
  <si>
    <t>回填土</t>
    <phoneticPr fontId="24" type="noConversion"/>
  </si>
  <si>
    <t>&lt;30cm/層</t>
    <phoneticPr fontId="24" type="noConversion"/>
  </si>
  <si>
    <t>級配砂石</t>
    <phoneticPr fontId="24" type="noConversion"/>
  </si>
  <si>
    <t>&lt;25cm/層</t>
    <phoneticPr fontId="24" type="noConversion"/>
  </si>
  <si>
    <t>DMGMQ-002-B</t>
    <phoneticPr fontId="24" type="noConversion"/>
  </si>
  <si>
    <t>焊工編號</t>
    <phoneticPr fontId="24" type="noConversion"/>
  </si>
  <si>
    <t>是否超過6個月未從事焊接工作</t>
    <phoneticPr fontId="24" type="noConversion"/>
  </si>
  <si>
    <t>焊接不良率過高</t>
    <phoneticPr fontId="24" type="noConversion"/>
  </si>
  <si>
    <t>WPS/PQR</t>
    <phoneticPr fontId="24" type="noConversion"/>
  </si>
  <si>
    <t>混擬土</t>
    <phoneticPr fontId="24" type="noConversion"/>
  </si>
  <si>
    <t>氯離子&lt;0.3 kg/m3</t>
    <phoneticPr fontId="24" type="noConversion"/>
  </si>
  <si>
    <t>GIS Checklist</t>
    <phoneticPr fontId="3" type="noConversion"/>
  </si>
  <si>
    <t>Item</t>
    <phoneticPr fontId="3" type="noConversion"/>
  </si>
  <si>
    <t>Spec</t>
    <phoneticPr fontId="3" type="noConversion"/>
  </si>
  <si>
    <t>Type</t>
    <phoneticPr fontId="3" type="noConversion"/>
  </si>
  <si>
    <t>Client's SLD</t>
    <phoneticPr fontId="3" type="noConversion"/>
  </si>
  <si>
    <t>SF6 leakage rate</t>
    <phoneticPr fontId="3" type="noConversion"/>
  </si>
  <si>
    <t>Busbar</t>
    <phoneticPr fontId="3" type="noConversion"/>
  </si>
  <si>
    <r>
      <rPr>
        <sz val="12"/>
        <rFont val="標楷體"/>
        <family val="4"/>
        <charset val="136"/>
      </rPr>
      <t>溫升</t>
    </r>
  </si>
  <si>
    <t>Main body</t>
    <phoneticPr fontId="3" type="noConversion"/>
  </si>
  <si>
    <r>
      <rPr>
        <sz val="12"/>
        <rFont val="標楷體"/>
        <family val="4"/>
        <charset val="136"/>
      </rPr>
      <t>單相單管</t>
    </r>
  </si>
  <si>
    <r>
      <rPr>
        <sz val="12"/>
        <rFont val="標楷體"/>
        <family val="4"/>
        <charset val="136"/>
      </rPr>
      <t>三相共管</t>
    </r>
  </si>
  <si>
    <t>Painting color</t>
    <phoneticPr fontId="3" type="noConversion"/>
  </si>
  <si>
    <t>Corrosion Grade</t>
    <phoneticPr fontId="3" type="noConversion"/>
  </si>
  <si>
    <t>Maintance plateform</t>
    <phoneticPr fontId="3" type="noConversion"/>
  </si>
  <si>
    <t xml:space="preserve">Power supply </t>
    <phoneticPr fontId="3" type="noConversion"/>
  </si>
  <si>
    <t>Indicator</t>
    <phoneticPr fontId="3" type="noConversion"/>
  </si>
  <si>
    <t>Counter</t>
    <phoneticPr fontId="3" type="noConversion"/>
  </si>
  <si>
    <t>CB specification</t>
    <phoneticPr fontId="3" type="noConversion"/>
  </si>
  <si>
    <t>DS Specification</t>
    <phoneticPr fontId="3" type="noConversion"/>
  </si>
  <si>
    <t>ES Specification</t>
    <phoneticPr fontId="3" type="noConversion"/>
  </si>
  <si>
    <t>CT Specification</t>
    <phoneticPr fontId="3" type="noConversion"/>
  </si>
  <si>
    <t>CT class</t>
    <phoneticPr fontId="3" type="noConversion"/>
  </si>
  <si>
    <t>PT Specification</t>
    <phoneticPr fontId="3" type="noConversion"/>
  </si>
  <si>
    <t>LA Specification</t>
    <phoneticPr fontId="3" type="noConversion"/>
  </si>
  <si>
    <t>PT Class</t>
    <phoneticPr fontId="3" type="noConversion"/>
  </si>
  <si>
    <t>MOF</t>
    <phoneticPr fontId="3" type="noConversion"/>
  </si>
  <si>
    <t>Nameplate</t>
    <phoneticPr fontId="3" type="noConversion"/>
  </si>
  <si>
    <t>SF6 density meter</t>
    <phoneticPr fontId="3" type="noConversion"/>
  </si>
  <si>
    <t>LCC</t>
    <phoneticPr fontId="3" type="noConversion"/>
  </si>
  <si>
    <t>Spare parts (Years?)</t>
    <phoneticPr fontId="3" type="noConversion"/>
  </si>
  <si>
    <t>Connector Terminal type</t>
    <phoneticPr fontId="3" type="noConversion"/>
  </si>
  <si>
    <t>O type</t>
    <phoneticPr fontId="3" type="noConversion"/>
  </si>
  <si>
    <t>Y type</t>
    <phoneticPr fontId="3" type="noConversion"/>
  </si>
  <si>
    <t>Heater</t>
    <phoneticPr fontId="3" type="noConversion"/>
  </si>
  <si>
    <t>Cable Material</t>
    <phoneticPr fontId="3" type="noConversion"/>
  </si>
  <si>
    <t>UPS or DC charger</t>
    <phoneticPr fontId="3" type="noConversion"/>
  </si>
  <si>
    <t xml:space="preserve">How long </t>
    <phoneticPr fontId="3" type="noConversion"/>
  </si>
  <si>
    <r>
      <rPr>
        <sz val="12"/>
        <rFont val="標楷體"/>
        <family val="4"/>
        <charset val="136"/>
      </rPr>
      <t>阻抗</t>
    </r>
  </si>
  <si>
    <r>
      <rPr>
        <sz val="12"/>
        <rFont val="標楷體"/>
        <family val="4"/>
        <charset val="136"/>
      </rPr>
      <t>鐵損</t>
    </r>
  </si>
  <si>
    <r>
      <rPr>
        <sz val="12"/>
        <rFont val="標楷體"/>
        <family val="4"/>
        <charset val="136"/>
      </rPr>
      <t>激磁電流</t>
    </r>
  </si>
  <si>
    <r>
      <rPr>
        <sz val="12"/>
        <rFont val="標楷體"/>
        <family val="4"/>
        <charset val="136"/>
      </rPr>
      <t>噪音標準</t>
    </r>
  </si>
  <si>
    <t>Assoraries</t>
    <phoneticPr fontId="3" type="noConversion"/>
  </si>
  <si>
    <t>Special tools</t>
    <phoneticPr fontId="3" type="noConversion"/>
  </si>
  <si>
    <t>Gas Filling Cart</t>
    <phoneticPr fontId="3" type="noConversion"/>
  </si>
  <si>
    <t>FAT</t>
    <phoneticPr fontId="3" type="noConversion"/>
  </si>
  <si>
    <t>ITP</t>
    <phoneticPr fontId="3" type="noConversion"/>
  </si>
  <si>
    <t xml:space="preserve">Notification </t>
    <phoneticPr fontId="3" type="noConversion"/>
  </si>
  <si>
    <t>SAT</t>
    <phoneticPr fontId="3" type="noConversion"/>
  </si>
  <si>
    <t>Drawing Frame</t>
    <phoneticPr fontId="3" type="noConversion"/>
  </si>
  <si>
    <t>Document Format</t>
    <phoneticPr fontId="3" type="noConversion"/>
  </si>
  <si>
    <t>Delivery</t>
    <phoneticPr fontId="3" type="noConversion"/>
  </si>
  <si>
    <t>Schedule</t>
    <phoneticPr fontId="3" type="noConversion"/>
  </si>
  <si>
    <t>Payment</t>
    <phoneticPr fontId="3" type="noConversion"/>
  </si>
  <si>
    <t>Penalty</t>
    <phoneticPr fontId="3" type="noConversion"/>
  </si>
  <si>
    <t>Language</t>
    <phoneticPr fontId="3" type="noConversion"/>
  </si>
  <si>
    <t>Unit</t>
    <phoneticPr fontId="3" type="noConversion"/>
  </si>
  <si>
    <t>long lead material</t>
    <phoneticPr fontId="3" type="noConversion"/>
  </si>
  <si>
    <t>#</t>
    <phoneticPr fontId="20" type="noConversion"/>
  </si>
  <si>
    <t>Questionaire</t>
    <phoneticPr fontId="20" type="noConversion"/>
  </si>
  <si>
    <t>Reply</t>
    <phoneticPr fontId="20" type="noConversion"/>
  </si>
  <si>
    <t xml:space="preserve">Assembly, Installation site (city): </t>
    <phoneticPr fontId="20" type="noConversion"/>
  </si>
  <si>
    <t>New Taipei City, Taiwan</t>
    <phoneticPr fontId="20" type="noConversion"/>
  </si>
  <si>
    <t>Earth quake region, if yes how many g in horizontal and vertical</t>
    <phoneticPr fontId="20" type="noConversion"/>
  </si>
  <si>
    <t xml:space="preserve">Building already exist, if yes is a 3D model available? </t>
    <phoneticPr fontId="20" type="noConversion"/>
  </si>
  <si>
    <t>The building is exist, by there is no 3D model for us.</t>
    <phoneticPr fontId="20" type="noConversion"/>
  </si>
  <si>
    <t xml:space="preserve">Climatization in the building? </t>
    <phoneticPr fontId="20" type="noConversion"/>
  </si>
  <si>
    <t xml:space="preserve">Color thickness 35 µm, to be confirmed. </t>
    <phoneticPr fontId="20" type="noConversion"/>
  </si>
  <si>
    <t>Follow up Hitachi standard specification.</t>
    <phoneticPr fontId="20" type="noConversion"/>
  </si>
  <si>
    <t xml:space="preserve">Earthing (Netzerdung) Isolated or inductive or solidly grounded? </t>
    <phoneticPr fontId="20" type="noConversion"/>
  </si>
  <si>
    <t xml:space="preserve">Customer required auxiliary contacts in drives? </t>
    <phoneticPr fontId="20" type="noConversion"/>
  </si>
  <si>
    <t xml:space="preserve">Any approved Vendor list ? </t>
    <phoneticPr fontId="20" type="noConversion"/>
  </si>
  <si>
    <t>No</t>
    <phoneticPr fontId="20" type="noConversion"/>
  </si>
  <si>
    <t xml:space="preserve">Cable fluid filled IEC standard IEC 62271-209, to be confirmed. </t>
    <phoneticPr fontId="20" type="noConversion"/>
  </si>
  <si>
    <t xml:space="preserve">Is in the building an overhead crane, if yes how many tons and the height? </t>
    <phoneticPr fontId="20" type="noConversion"/>
  </si>
  <si>
    <t xml:space="preserve">Rated Voltage for DC Supplies </t>
    <phoneticPr fontId="20" type="noConversion"/>
  </si>
  <si>
    <t xml:space="preserve">Rated Voltage for AC Supplies (Phase-Phase / Phase-Earth) </t>
    <phoneticPr fontId="20" type="noConversion"/>
  </si>
  <si>
    <t xml:space="preserve">Rated Frequency for AC Supplies </t>
    <phoneticPr fontId="20" type="noConversion"/>
  </si>
  <si>
    <t xml:space="preserve">Do we have any previous project reference ? </t>
    <phoneticPr fontId="20" type="noConversion"/>
  </si>
  <si>
    <t xml:space="preserve">MOF CT &amp; VT connection method or any specific requirements? </t>
    <phoneticPr fontId="20" type="noConversion"/>
  </si>
  <si>
    <t>The MOF is not included.</t>
    <phoneticPr fontId="20" type="noConversion"/>
  </si>
  <si>
    <t xml:space="preserve">Number of drive spare auxiliary contacts for in LCC for remote ? </t>
    <phoneticPr fontId="20" type="noConversion"/>
  </si>
  <si>
    <t xml:space="preserve">Control Voltage VDC/VAC and value </t>
    <phoneticPr fontId="20" type="noConversion"/>
  </si>
  <si>
    <t xml:space="preserve">Motor Voltage for Drives VDC/VAC and value </t>
    <phoneticPr fontId="20" type="noConversion"/>
  </si>
  <si>
    <t xml:space="preserve">Heating Voltage for Drives VDC/VAC and value </t>
    <phoneticPr fontId="20" type="noConversion"/>
  </si>
  <si>
    <t xml:space="preserve">Please provide cover sheet cad and pdf file/ template . </t>
    <phoneticPr fontId="20" type="noConversion"/>
  </si>
  <si>
    <t xml:space="preserve">Do we need to follow any documentation ID number . </t>
    <phoneticPr fontId="20" type="noConversion"/>
  </si>
  <si>
    <t xml:space="preserve">Do we have customer specification . </t>
    <phoneticPr fontId="20" type="noConversion"/>
  </si>
  <si>
    <t>Project</t>
  </si>
  <si>
    <t>Satus</t>
  </si>
  <si>
    <t>Type</t>
  </si>
  <si>
    <t>Category</t>
  </si>
  <si>
    <t>Product Disposition</t>
  </si>
  <si>
    <t>Cat D - Process Error (No Associated Risk)</t>
  </si>
  <si>
    <t>TNI - PP</t>
  </si>
  <si>
    <t>TNI - WTG</t>
  </si>
  <si>
    <t>Opening</t>
  </si>
  <si>
    <t>Closed</t>
  </si>
  <si>
    <r>
      <rPr>
        <sz val="11"/>
        <color theme="1"/>
        <rFont val="標楷體"/>
        <family val="4"/>
        <charset val="136"/>
      </rPr>
      <t>專案編號</t>
    </r>
    <r>
      <rPr>
        <sz val="11"/>
        <color theme="1"/>
        <rFont val="Arial"/>
        <family val="2"/>
      </rPr>
      <t xml:space="preserve"> Project No</t>
    </r>
    <r>
      <rPr>
        <sz val="11"/>
        <color theme="1"/>
        <rFont val="標楷體"/>
        <family val="4"/>
        <charset val="136"/>
      </rPr>
      <t>：</t>
    </r>
  </si>
  <si>
    <r>
      <rPr>
        <sz val="11"/>
        <color theme="1"/>
        <rFont val="標楷體"/>
        <family val="4"/>
        <charset val="136"/>
      </rPr>
      <t>專案工地經理</t>
    </r>
    <r>
      <rPr>
        <sz val="11"/>
        <color theme="1"/>
        <rFont val="Arial"/>
        <family val="2"/>
      </rPr>
      <t xml:space="preserve"> PSM: </t>
    </r>
  </si>
  <si>
    <r>
      <rPr>
        <sz val="11"/>
        <color theme="1"/>
        <rFont val="標楷體"/>
        <family val="4"/>
        <charset val="136"/>
      </rPr>
      <t>檢查日期</t>
    </r>
    <r>
      <rPr>
        <sz val="11"/>
        <color theme="1"/>
        <rFont val="Arial"/>
        <family val="2"/>
      </rPr>
      <t xml:space="preserve"> Date</t>
    </r>
    <r>
      <rPr>
        <sz val="11"/>
        <color theme="1"/>
        <rFont val="標楷體"/>
        <family val="4"/>
        <charset val="136"/>
      </rPr>
      <t>：　</t>
    </r>
    <r>
      <rPr>
        <sz val="11"/>
        <color theme="1"/>
        <rFont val="Arial"/>
        <family val="2"/>
      </rPr>
      <t xml:space="preserve"> </t>
    </r>
    <r>
      <rPr>
        <sz val="11"/>
        <color theme="1"/>
        <rFont val="標楷體"/>
        <family val="4"/>
        <charset val="136"/>
      </rPr>
      <t>年</t>
    </r>
    <r>
      <rPr>
        <sz val="11"/>
        <color theme="1"/>
        <rFont val="Arial"/>
        <family val="2"/>
      </rPr>
      <t>Year</t>
    </r>
    <r>
      <rPr>
        <sz val="11"/>
        <color theme="1"/>
        <rFont val="標楷體"/>
        <family val="4"/>
        <charset val="136"/>
      </rPr>
      <t>　　月</t>
    </r>
    <r>
      <rPr>
        <sz val="11"/>
        <color theme="1"/>
        <rFont val="Arial"/>
        <family val="2"/>
      </rPr>
      <t>Mon.</t>
    </r>
    <r>
      <rPr>
        <sz val="11"/>
        <color theme="1"/>
        <rFont val="標楷體"/>
        <family val="4"/>
        <charset val="136"/>
      </rPr>
      <t>　　日</t>
    </r>
    <r>
      <rPr>
        <sz val="11"/>
        <color theme="1"/>
        <rFont val="Arial"/>
        <family val="2"/>
      </rPr>
      <t>Day</t>
    </r>
  </si>
  <si>
    <r>
      <rPr>
        <sz val="11"/>
        <color theme="1"/>
        <rFont val="標楷體"/>
        <family val="4"/>
        <charset val="136"/>
      </rPr>
      <t>專案工地名稱</t>
    </r>
    <r>
      <rPr>
        <sz val="11"/>
        <color theme="1"/>
        <rFont val="Arial"/>
        <family val="2"/>
      </rPr>
      <t xml:space="preserve"> Project Title</t>
    </r>
    <r>
      <rPr>
        <sz val="11"/>
        <color theme="1"/>
        <rFont val="標楷體"/>
        <family val="4"/>
        <charset val="136"/>
      </rPr>
      <t>：</t>
    </r>
  </si>
  <si>
    <r>
      <rPr>
        <sz val="11"/>
        <color theme="1"/>
        <rFont val="標楷體"/>
        <family val="4"/>
        <charset val="136"/>
      </rPr>
      <t>總分</t>
    </r>
    <r>
      <rPr>
        <sz val="11"/>
        <color theme="1"/>
        <rFont val="Arial"/>
        <family val="2"/>
      </rPr>
      <t xml:space="preserve"> Score</t>
    </r>
    <r>
      <rPr>
        <sz val="11"/>
        <color theme="1"/>
        <rFont val="標楷體"/>
        <family val="4"/>
        <charset val="136"/>
      </rPr>
      <t>：</t>
    </r>
  </si>
  <si>
    <r>
      <rPr>
        <sz val="11"/>
        <color theme="1"/>
        <rFont val="標楷體"/>
        <family val="4"/>
        <charset val="136"/>
      </rPr>
      <t>檢查人員</t>
    </r>
    <r>
      <rPr>
        <sz val="11"/>
        <color theme="1"/>
        <rFont val="Arial"/>
        <family val="2"/>
      </rPr>
      <t xml:space="preserve"> Inspected By</t>
    </r>
    <r>
      <rPr>
        <sz val="11"/>
        <color theme="1"/>
        <rFont val="標楷體"/>
        <family val="4"/>
        <charset val="136"/>
      </rPr>
      <t>：</t>
    </r>
  </si>
  <si>
    <t>Part 1</t>
    <phoneticPr fontId="10" type="noConversion"/>
  </si>
  <si>
    <r>
      <rPr>
        <b/>
        <sz val="14"/>
        <color theme="1"/>
        <rFont val="標楷體"/>
        <family val="4"/>
        <charset val="136"/>
      </rPr>
      <t>專案</t>
    </r>
    <r>
      <rPr>
        <b/>
        <sz val="14"/>
        <color theme="1"/>
        <rFont val="Arial"/>
        <family val="2"/>
      </rPr>
      <t xml:space="preserve"> Project</t>
    </r>
  </si>
  <si>
    <r>
      <rPr>
        <b/>
        <sz val="14"/>
        <color theme="1"/>
        <rFont val="標楷體"/>
        <family val="4"/>
        <charset val="136"/>
      </rPr>
      <t>查核說明</t>
    </r>
  </si>
  <si>
    <t>1.</t>
    <phoneticPr fontId="10" type="noConversion"/>
  </si>
  <si>
    <r>
      <rPr>
        <b/>
        <sz val="12"/>
        <color theme="1"/>
        <rFont val="標楷體"/>
        <family val="4"/>
        <charset val="136"/>
      </rPr>
      <t>專案管理</t>
    </r>
    <r>
      <rPr>
        <b/>
        <sz val="12"/>
        <color theme="1"/>
        <rFont val="Arial"/>
        <family val="2"/>
      </rPr>
      <t xml:space="preserve"> Project Management</t>
    </r>
  </si>
  <si>
    <t>1.1</t>
    <phoneticPr fontId="10" type="noConversion"/>
  </si>
  <si>
    <r>
      <rPr>
        <b/>
        <sz val="12"/>
        <color theme="1"/>
        <rFont val="標楷體"/>
        <family val="4"/>
        <charset val="136"/>
      </rPr>
      <t>是否有訂定專案執行計畫</t>
    </r>
    <r>
      <rPr>
        <b/>
        <sz val="12"/>
        <color theme="1"/>
        <rFont val="Arial"/>
        <family val="2"/>
      </rPr>
      <t xml:space="preserve">? / </t>
    </r>
    <r>
      <rPr>
        <b/>
        <sz val="12"/>
        <color theme="1"/>
        <rFont val="標楷體"/>
        <family val="4"/>
        <charset val="136"/>
      </rPr>
      <t>每個專案角色皆有其相對應的</t>
    </r>
    <r>
      <rPr>
        <b/>
        <sz val="12"/>
        <color theme="1"/>
        <rFont val="Arial"/>
        <family val="2"/>
      </rPr>
      <t>R&amp;R
The PEP is provided for project and R&amp;R is defined for each project position.</t>
    </r>
  </si>
  <si>
    <t>1.2</t>
    <phoneticPr fontId="10" type="noConversion"/>
  </si>
  <si>
    <r>
      <rPr>
        <b/>
        <sz val="12"/>
        <color theme="1"/>
        <rFont val="標楷體"/>
        <family val="4"/>
        <charset val="136"/>
      </rPr>
      <t xml:space="preserve">專案是否有做可施工性評估及風險評估？
</t>
    </r>
    <r>
      <rPr>
        <b/>
        <sz val="12"/>
        <color theme="1"/>
        <rFont val="Arial"/>
        <family val="2"/>
      </rPr>
      <t>Does project provide the constructability and risk assessment?</t>
    </r>
  </si>
  <si>
    <t>1.3</t>
    <phoneticPr fontId="10" type="noConversion"/>
  </si>
  <si>
    <r>
      <rPr>
        <b/>
        <sz val="12"/>
        <color theme="1"/>
        <rFont val="標楷體"/>
        <family val="4"/>
        <charset val="136"/>
      </rPr>
      <t>施工架發包管控情形</t>
    </r>
    <r>
      <rPr>
        <b/>
        <sz val="12"/>
        <color theme="1"/>
        <rFont val="Arial"/>
        <family val="2"/>
      </rPr>
      <t xml:space="preserve">  Check the status of subcontracting and management of scaffolding.</t>
    </r>
  </si>
  <si>
    <t>1.4</t>
    <phoneticPr fontId="10" type="noConversion"/>
  </si>
  <si>
    <r>
      <rPr>
        <b/>
        <sz val="12"/>
        <color theme="1"/>
        <rFont val="標楷體"/>
        <family val="4"/>
        <charset val="136"/>
      </rPr>
      <t>機具發包管控情形</t>
    </r>
    <r>
      <rPr>
        <b/>
        <sz val="12"/>
        <color theme="1"/>
        <rFont val="Arial"/>
        <family val="2"/>
      </rPr>
      <t xml:space="preserve"> The status of subcontracting and management of construction equipment and tools.</t>
    </r>
  </si>
  <si>
    <t>1.5</t>
    <phoneticPr fontId="10" type="noConversion"/>
  </si>
  <si>
    <r>
      <t xml:space="preserve">Vendor documents </t>
    </r>
    <r>
      <rPr>
        <b/>
        <sz val="12"/>
        <color theme="1"/>
        <rFont val="標楷體"/>
        <family val="4"/>
        <charset val="136"/>
      </rPr>
      <t>包括</t>
    </r>
    <r>
      <rPr>
        <b/>
        <sz val="12"/>
        <color theme="1"/>
        <rFont val="Arial"/>
        <family val="2"/>
      </rPr>
      <t>IOM</t>
    </r>
    <r>
      <rPr>
        <b/>
        <sz val="12"/>
        <color theme="1"/>
        <rFont val="標楷體"/>
        <family val="4"/>
        <charset val="136"/>
      </rPr>
      <t>是否及時提送</t>
    </r>
    <r>
      <rPr>
        <b/>
        <sz val="12"/>
        <color theme="1"/>
        <rFont val="Arial"/>
        <family val="2"/>
      </rPr>
      <t>? Whether vendor documents (including IOM) are provided on time or not?</t>
    </r>
  </si>
  <si>
    <t>2.</t>
    <phoneticPr fontId="10" type="noConversion"/>
  </si>
  <si>
    <r>
      <rPr>
        <b/>
        <sz val="12"/>
        <color theme="1"/>
        <rFont val="標楷體"/>
        <family val="4"/>
        <charset val="136"/>
      </rPr>
      <t>專案安衛環</t>
    </r>
    <r>
      <rPr>
        <b/>
        <sz val="12"/>
        <color theme="1"/>
        <rFont val="Arial"/>
        <family val="2"/>
      </rPr>
      <t xml:space="preserve"> HSE</t>
    </r>
  </si>
  <si>
    <t>2.1</t>
    <phoneticPr fontId="10" type="noConversion"/>
  </si>
  <si>
    <r>
      <rPr>
        <b/>
        <sz val="12"/>
        <color theme="1"/>
        <rFont val="標楷體"/>
        <family val="4"/>
        <charset val="136"/>
      </rPr>
      <t>專案是否設立安衛環競賽獎金？</t>
    </r>
    <r>
      <rPr>
        <b/>
        <sz val="12"/>
        <color theme="1"/>
        <rFont val="Arial"/>
        <family val="2"/>
      </rPr>
      <t>Whether project established the incentive program or not for HSE competition?</t>
    </r>
  </si>
  <si>
    <t>2.2</t>
    <phoneticPr fontId="10" type="noConversion"/>
  </si>
  <si>
    <r>
      <rPr>
        <b/>
        <sz val="12"/>
        <color theme="1"/>
        <rFont val="標楷體"/>
        <family val="4"/>
        <charset val="136"/>
      </rPr>
      <t>是否擔任專案安衛環管理對外之主要窗口，並與專案安衛環利害關係者溝通？</t>
    </r>
    <r>
      <rPr>
        <b/>
        <sz val="12"/>
        <color theme="1"/>
        <rFont val="Arial"/>
        <family val="2"/>
      </rPr>
      <t xml:space="preserve">Is PHSEM responsible to the HSE management as the window to project HSE stakeholders? </t>
    </r>
  </si>
  <si>
    <t>2.3</t>
    <phoneticPr fontId="10" type="noConversion"/>
  </si>
  <si>
    <r>
      <t>ITB</t>
    </r>
    <r>
      <rPr>
        <b/>
        <sz val="12"/>
        <color theme="1"/>
        <rFont val="標楷體"/>
        <family val="4"/>
        <charset val="136"/>
      </rPr>
      <t>規定的</t>
    </r>
    <r>
      <rPr>
        <b/>
        <sz val="12"/>
        <color theme="1"/>
        <rFont val="Arial"/>
        <family val="2"/>
      </rPr>
      <t>HSE deliverable</t>
    </r>
    <r>
      <rPr>
        <b/>
        <sz val="12"/>
        <color theme="1"/>
        <rFont val="標楷體"/>
        <family val="4"/>
        <charset val="136"/>
      </rPr>
      <t>是否都已提送？</t>
    </r>
    <r>
      <rPr>
        <b/>
        <sz val="12"/>
        <color theme="1"/>
        <rFont val="Arial"/>
        <family val="2"/>
      </rPr>
      <t>Check that the deliverables of HSE addressed in the ITB were all submitted.</t>
    </r>
  </si>
  <si>
    <t>3.</t>
    <phoneticPr fontId="10" type="noConversion"/>
  </si>
  <si>
    <r>
      <rPr>
        <b/>
        <sz val="12"/>
        <color theme="1"/>
        <rFont val="標楷體"/>
        <family val="4"/>
        <charset val="136"/>
      </rPr>
      <t>專案品質</t>
    </r>
    <r>
      <rPr>
        <b/>
        <sz val="12"/>
        <color theme="1"/>
        <rFont val="Arial"/>
        <family val="2"/>
      </rPr>
      <t xml:space="preserve"> Project Quality</t>
    </r>
  </si>
  <si>
    <t>3.1</t>
    <phoneticPr fontId="10" type="noConversion"/>
  </si>
  <si>
    <r>
      <rPr>
        <b/>
        <sz val="12"/>
        <color theme="1"/>
        <rFont val="標楷體"/>
        <family val="4"/>
        <charset val="136"/>
      </rPr>
      <t>是否提供</t>
    </r>
    <r>
      <rPr>
        <b/>
        <sz val="12"/>
        <color theme="1"/>
        <rFont val="Arial"/>
        <family val="2"/>
      </rPr>
      <t xml:space="preserve">PQP, </t>
    </r>
    <r>
      <rPr>
        <b/>
        <sz val="12"/>
        <color theme="1"/>
        <rFont val="標楷體"/>
        <family val="4"/>
        <charset val="136"/>
      </rPr>
      <t>內容與</t>
    </r>
    <r>
      <rPr>
        <b/>
        <sz val="12"/>
        <color theme="1"/>
        <rFont val="Arial"/>
        <family val="2"/>
      </rPr>
      <t>CQP</t>
    </r>
    <r>
      <rPr>
        <b/>
        <sz val="12"/>
        <color theme="1"/>
        <rFont val="標楷體"/>
        <family val="4"/>
        <charset val="136"/>
      </rPr>
      <t>執行不互相衝突？</t>
    </r>
    <r>
      <rPr>
        <b/>
        <sz val="12"/>
        <color theme="1"/>
        <rFont val="Arial"/>
        <family val="2"/>
      </rPr>
      <t>Does the PQP provide for project and the content is not conflict between PQP and CQP.</t>
    </r>
  </si>
  <si>
    <t>3.2</t>
    <phoneticPr fontId="10" type="noConversion"/>
  </si>
  <si>
    <r>
      <rPr>
        <b/>
        <sz val="12"/>
        <color theme="1"/>
        <rFont val="標楷體"/>
        <family val="4"/>
        <charset val="136"/>
      </rPr>
      <t>品質問題發生是否有協助</t>
    </r>
    <r>
      <rPr>
        <b/>
        <sz val="12"/>
        <color theme="1"/>
        <rFont val="Arial"/>
        <family val="2"/>
      </rPr>
      <t>EPCK</t>
    </r>
    <r>
      <rPr>
        <b/>
        <sz val="12"/>
        <color theme="1"/>
        <rFont val="標楷體"/>
        <family val="4"/>
        <charset val="136"/>
      </rPr>
      <t xml:space="preserve">做溝通協調？是否擔任專案品質管理對外之主要窗口，並與專案品質利害關係者溝通？
</t>
    </r>
    <r>
      <rPr>
        <b/>
        <sz val="12"/>
        <color theme="1"/>
        <rFont val="Arial"/>
        <family val="2"/>
      </rPr>
      <t>Check that PQM assists solve quality problems with EPCK and is responsible to the quality management as the window to project quality stakeholders.</t>
    </r>
  </si>
  <si>
    <t>3.3</t>
    <phoneticPr fontId="10" type="noConversion"/>
  </si>
  <si>
    <r>
      <rPr>
        <b/>
        <sz val="12"/>
        <color theme="1"/>
        <rFont val="標楷體"/>
        <family val="4"/>
        <charset val="136"/>
      </rPr>
      <t>專案稽核報告，是否真正反應</t>
    </r>
    <r>
      <rPr>
        <b/>
        <sz val="12"/>
        <color theme="1"/>
        <rFont val="Arial"/>
        <family val="2"/>
      </rPr>
      <t>EPC</t>
    </r>
    <r>
      <rPr>
        <b/>
        <sz val="12"/>
        <color theme="1"/>
        <rFont val="標楷體"/>
        <family val="4"/>
        <charset val="136"/>
      </rPr>
      <t>問題，且</t>
    </r>
    <r>
      <rPr>
        <b/>
        <sz val="12"/>
        <color theme="1"/>
        <rFont val="Arial"/>
        <family val="2"/>
      </rPr>
      <t>PQM</t>
    </r>
    <r>
      <rPr>
        <b/>
        <sz val="12"/>
        <color theme="1"/>
        <rFont val="標楷體"/>
        <family val="4"/>
        <charset val="136"/>
      </rPr>
      <t xml:space="preserve">協助處理解決？
</t>
    </r>
    <r>
      <rPr>
        <b/>
        <sz val="12"/>
        <color theme="1"/>
        <rFont val="Arial"/>
        <family val="2"/>
      </rPr>
      <t>Whether project audit report disclose the exactly problem to the EPC execution and PQM assists EPC to solve the problem or not?</t>
    </r>
  </si>
  <si>
    <t>3.4</t>
    <phoneticPr fontId="10" type="noConversion"/>
  </si>
  <si>
    <r>
      <rPr>
        <b/>
        <sz val="12"/>
        <color theme="1"/>
        <rFont val="標楷體"/>
        <family val="4"/>
        <charset val="136"/>
      </rPr>
      <t>專案是否設立專案品質競賽獎金？</t>
    </r>
    <r>
      <rPr>
        <b/>
        <sz val="12"/>
        <color theme="1"/>
        <rFont val="Arial"/>
        <family val="2"/>
      </rPr>
      <t>Whether project establish incentive program or not for quality competition?</t>
    </r>
  </si>
  <si>
    <t>4.</t>
    <phoneticPr fontId="10" type="noConversion"/>
  </si>
  <si>
    <r>
      <rPr>
        <b/>
        <sz val="12"/>
        <color theme="1"/>
        <rFont val="標楷體"/>
        <family val="4"/>
        <charset val="136"/>
      </rPr>
      <t>專案時程計畫</t>
    </r>
    <r>
      <rPr>
        <b/>
        <sz val="12"/>
        <color theme="1"/>
        <rFont val="Arial"/>
        <family val="2"/>
      </rPr>
      <t xml:space="preserve"> Schedule</t>
    </r>
  </si>
  <si>
    <t>4.1</t>
    <phoneticPr fontId="10" type="noConversion"/>
  </si>
  <si>
    <r>
      <t>WBS</t>
    </r>
    <r>
      <rPr>
        <b/>
        <sz val="12"/>
        <color theme="1"/>
        <rFont val="標楷體"/>
        <family val="4"/>
        <charset val="136"/>
      </rPr>
      <t>的劃分</t>
    </r>
    <r>
      <rPr>
        <b/>
        <sz val="12"/>
        <color theme="1"/>
        <rFont val="Arial"/>
        <family val="2"/>
      </rPr>
      <t xml:space="preserve"> The divisions of WBS.</t>
    </r>
  </si>
  <si>
    <t>4.2</t>
    <phoneticPr fontId="10" type="noConversion"/>
  </si>
  <si>
    <r>
      <rPr>
        <b/>
        <sz val="12"/>
        <color theme="1"/>
        <rFont val="標楷體"/>
        <family val="4"/>
        <charset val="136"/>
      </rPr>
      <t>各施工項目的權重是否依各專業的</t>
    </r>
    <r>
      <rPr>
        <b/>
        <sz val="12"/>
        <color theme="1"/>
        <rFont val="Arial"/>
        <family val="2"/>
      </rPr>
      <t>key quantiry MH</t>
    </r>
    <r>
      <rPr>
        <b/>
        <sz val="12"/>
        <color theme="1"/>
        <rFont val="標楷體"/>
        <family val="4"/>
        <charset val="136"/>
      </rPr>
      <t>為基準，人力合理分佈</t>
    </r>
    <r>
      <rPr>
        <b/>
        <sz val="12"/>
        <color theme="1"/>
        <rFont val="Arial"/>
        <family val="2"/>
      </rPr>
      <t>? Check that the weight of each activity is based on MH and it's reasonable.</t>
    </r>
  </si>
  <si>
    <t>4.3</t>
    <phoneticPr fontId="10" type="noConversion"/>
  </si>
  <si>
    <r>
      <rPr>
        <b/>
        <sz val="12"/>
        <color theme="1"/>
        <rFont val="標楷體"/>
        <family val="4"/>
        <charset val="136"/>
      </rPr>
      <t>各專業的效率是否合理？</t>
    </r>
    <r>
      <rPr>
        <b/>
        <sz val="12"/>
        <color theme="1"/>
        <rFont val="Arial"/>
        <family val="2"/>
      </rPr>
      <t>Whether the productivity for each discipline is reasonable or not?</t>
    </r>
  </si>
  <si>
    <t>4.4</t>
    <phoneticPr fontId="10" type="noConversion"/>
  </si>
  <si>
    <r>
      <t>EPCK</t>
    </r>
    <r>
      <rPr>
        <b/>
        <sz val="12"/>
        <color theme="1"/>
        <rFont val="標楷體"/>
        <family val="4"/>
        <charset val="136"/>
      </rPr>
      <t>的進度是否合理？</t>
    </r>
    <r>
      <rPr>
        <b/>
        <sz val="12"/>
        <color theme="1"/>
        <rFont val="Arial"/>
        <family val="2"/>
      </rPr>
      <t>Whether the progress of EPCK is reasonable or not?</t>
    </r>
  </si>
  <si>
    <t>5.</t>
    <phoneticPr fontId="10" type="noConversion"/>
  </si>
  <si>
    <r>
      <rPr>
        <b/>
        <sz val="12"/>
        <color theme="1"/>
        <rFont val="標楷體"/>
        <family val="4"/>
        <charset val="136"/>
      </rPr>
      <t>專案設計</t>
    </r>
    <r>
      <rPr>
        <b/>
        <sz val="12"/>
        <color theme="1"/>
        <rFont val="Arial"/>
        <family val="2"/>
      </rPr>
      <t xml:space="preserve"> Engineering</t>
    </r>
  </si>
  <si>
    <t>5.1</t>
    <phoneticPr fontId="10" type="noConversion"/>
  </si>
  <si>
    <r>
      <rPr>
        <b/>
        <sz val="12"/>
        <color theme="1"/>
        <rFont val="標楷體"/>
        <family val="4"/>
        <charset val="136"/>
      </rPr>
      <t>是否如期提供正確的請購單資料包括工程報價單、圖件、規範及</t>
    </r>
    <r>
      <rPr>
        <b/>
        <sz val="12"/>
        <color theme="1"/>
        <rFont val="Arial"/>
        <family val="2"/>
      </rPr>
      <t>D&amp;M? Whether the correct information of quotation sheet, drawing, specification and D&amp;M are provided or not for requisition in time?</t>
    </r>
  </si>
  <si>
    <t>5.2</t>
    <phoneticPr fontId="10" type="noConversion"/>
  </si>
  <si>
    <r>
      <t>QTO/MTO</t>
    </r>
    <r>
      <rPr>
        <b/>
        <sz val="12"/>
        <color theme="1"/>
        <rFont val="標楷體"/>
        <family val="4"/>
        <charset val="136"/>
      </rPr>
      <t>是否及時提供？</t>
    </r>
    <r>
      <rPr>
        <b/>
        <sz val="12"/>
        <color theme="1"/>
        <rFont val="Arial"/>
        <family val="2"/>
      </rPr>
      <t>Whether QTO/MTO is provided in time or not?</t>
    </r>
  </si>
  <si>
    <t>5.3</t>
    <phoneticPr fontId="10" type="noConversion"/>
  </si>
  <si>
    <r>
      <rPr>
        <b/>
        <sz val="12"/>
        <color theme="1"/>
        <rFont val="標楷體"/>
        <family val="4"/>
        <charset val="136"/>
      </rPr>
      <t>圖說是否延誤？工地對延誤項目有無採取行動</t>
    </r>
    <r>
      <rPr>
        <b/>
        <sz val="12"/>
        <color theme="1"/>
        <rFont val="Arial"/>
        <family val="2"/>
      </rPr>
      <t>Whether the drawing is delay or not? Has any action been taken by site for the delay issue?</t>
    </r>
  </si>
  <si>
    <t>5.4</t>
    <phoneticPr fontId="10" type="noConversion"/>
  </si>
  <si>
    <r>
      <rPr>
        <b/>
        <sz val="12"/>
        <color theme="1"/>
        <rFont val="標楷體"/>
        <family val="4"/>
        <charset val="136"/>
      </rPr>
      <t>出圖品質是否良好？沒有太多</t>
    </r>
    <r>
      <rPr>
        <b/>
        <sz val="12"/>
        <color theme="1"/>
        <rFont val="Arial"/>
        <family val="2"/>
      </rPr>
      <t>hold</t>
    </r>
    <r>
      <rPr>
        <b/>
        <sz val="12"/>
        <color theme="1"/>
        <rFont val="標楷體"/>
        <family val="4"/>
        <charset val="136"/>
      </rPr>
      <t xml:space="preserve">，需要再修改的地方。
</t>
    </r>
    <r>
      <rPr>
        <b/>
        <sz val="12"/>
        <color theme="1"/>
        <rFont val="Arial"/>
        <family val="2"/>
      </rPr>
      <t>Whether the quality of drawing is good or not? There is no need to revise.</t>
    </r>
  </si>
  <si>
    <t>5.5</t>
    <phoneticPr fontId="10" type="noConversion"/>
  </si>
  <si>
    <r>
      <rPr>
        <b/>
        <sz val="12"/>
        <color theme="1"/>
        <rFont val="標楷體"/>
        <family val="4"/>
        <charset val="136"/>
      </rPr>
      <t>資訊看板資料是否及時更新，不符現況時工地如何反應？</t>
    </r>
    <r>
      <rPr>
        <b/>
        <sz val="12"/>
        <color theme="1"/>
        <rFont val="Arial"/>
        <family val="2"/>
      </rPr>
      <t>Whether project intelligent board is updated timely or not? Is there any action been taken by site for non-conformance?</t>
    </r>
  </si>
  <si>
    <t>5.6</t>
    <phoneticPr fontId="10" type="noConversion"/>
  </si>
  <si>
    <r>
      <t>FE</t>
    </r>
    <r>
      <rPr>
        <b/>
        <sz val="12"/>
        <color theme="1"/>
        <rFont val="標楷體"/>
        <family val="4"/>
        <charset val="136"/>
      </rPr>
      <t>人力需求是否依計畫到位？</t>
    </r>
    <r>
      <rPr>
        <b/>
        <sz val="12"/>
        <color theme="1"/>
        <rFont val="Arial"/>
        <family val="2"/>
      </rPr>
      <t>Whether FE is in place according to manpower mobilization plan or not?</t>
    </r>
  </si>
  <si>
    <t>6.</t>
    <phoneticPr fontId="10" type="noConversion"/>
  </si>
  <si>
    <r>
      <rPr>
        <b/>
        <sz val="12"/>
        <color theme="1"/>
        <rFont val="標楷體"/>
        <family val="4"/>
        <charset val="136"/>
      </rPr>
      <t>專案材料管理</t>
    </r>
    <r>
      <rPr>
        <b/>
        <sz val="12"/>
        <color theme="1"/>
        <rFont val="Arial"/>
        <family val="2"/>
      </rPr>
      <t xml:space="preserve"> Material Management</t>
    </r>
  </si>
  <si>
    <t>6.1</t>
    <phoneticPr fontId="10" type="noConversion"/>
  </si>
  <si>
    <r>
      <rPr>
        <b/>
        <sz val="12"/>
        <color theme="1"/>
        <rFont val="標楷體"/>
        <family val="4"/>
        <charset val="136"/>
      </rPr>
      <t>是否使用</t>
    </r>
    <r>
      <rPr>
        <b/>
        <sz val="12"/>
        <color theme="1"/>
        <rFont val="Arial"/>
        <family val="2"/>
      </rPr>
      <t>Marian</t>
    </r>
    <r>
      <rPr>
        <b/>
        <sz val="12"/>
        <color theme="1"/>
        <rFont val="標楷體"/>
        <family val="4"/>
        <charset val="136"/>
      </rPr>
      <t>作為材料管理系統？</t>
    </r>
    <r>
      <rPr>
        <b/>
        <sz val="12"/>
        <color theme="1"/>
        <rFont val="Arial"/>
        <family val="2"/>
      </rPr>
      <t>Is Marian applied for material/equipment management system?</t>
    </r>
  </si>
  <si>
    <t>6.2</t>
  </si>
  <si>
    <r>
      <rPr>
        <b/>
        <sz val="12"/>
        <color theme="1"/>
        <rFont val="標楷體"/>
        <family val="4"/>
        <charset val="136"/>
      </rPr>
      <t>專案是否指派專案器材控制工程師？</t>
    </r>
    <r>
      <rPr>
        <b/>
        <sz val="12"/>
        <color theme="1"/>
        <rFont val="Arial"/>
        <family val="2"/>
      </rPr>
      <t>Whether project material control engineer is in place and assigned by project or not?</t>
    </r>
  </si>
  <si>
    <t>6.3</t>
  </si>
  <si>
    <r>
      <t>PSR (Procurement status report)</t>
    </r>
    <r>
      <rPr>
        <b/>
        <sz val="12"/>
        <color theme="1"/>
        <rFont val="標楷體"/>
        <family val="4"/>
        <charset val="136"/>
      </rPr>
      <t>是否知會工地？</t>
    </r>
    <r>
      <rPr>
        <b/>
        <sz val="12"/>
        <color theme="1"/>
        <rFont val="Arial"/>
        <family val="2"/>
      </rPr>
      <t>Whether PSR is noticed to site or not?</t>
    </r>
  </si>
  <si>
    <t>6.4</t>
  </si>
  <si>
    <r>
      <rPr>
        <b/>
        <sz val="12"/>
        <color theme="1"/>
        <rFont val="標楷體"/>
        <family val="4"/>
        <charset val="136"/>
      </rPr>
      <t>是否指派</t>
    </r>
    <r>
      <rPr>
        <b/>
        <sz val="12"/>
        <color theme="1"/>
        <rFont val="Arial"/>
        <family val="2"/>
      </rPr>
      <t>PE/Buyer</t>
    </r>
    <r>
      <rPr>
        <b/>
        <sz val="12"/>
        <color theme="1"/>
        <rFont val="標楷體"/>
        <family val="4"/>
        <charset val="136"/>
      </rPr>
      <t>追蹤材料到貨狀況</t>
    </r>
    <r>
      <rPr>
        <b/>
        <sz val="12"/>
        <color theme="1"/>
        <rFont val="Arial"/>
        <family val="2"/>
      </rPr>
      <t xml:space="preserve"> Whether PE/Buyer was assigned to trace the arriving status of material/equipment or not?</t>
    </r>
  </si>
  <si>
    <t>6.5</t>
  </si>
  <si>
    <r>
      <rPr>
        <b/>
        <sz val="12"/>
        <color theme="1"/>
        <rFont val="標楷體"/>
        <family val="4"/>
        <charset val="136"/>
      </rPr>
      <t>材料是否</t>
    </r>
    <r>
      <rPr>
        <b/>
        <sz val="12"/>
        <color theme="1"/>
        <rFont val="Arial"/>
        <family val="2"/>
      </rPr>
      <t>Delay</t>
    </r>
    <r>
      <rPr>
        <b/>
        <sz val="12"/>
        <color theme="1"/>
        <rFont val="標楷體"/>
        <family val="4"/>
        <charset val="136"/>
      </rPr>
      <t>？影響到要徑工作及施工效率？</t>
    </r>
    <r>
      <rPr>
        <b/>
        <sz val="12"/>
        <color theme="1"/>
        <rFont val="Arial"/>
        <family val="2"/>
      </rPr>
      <t>Does the material/equipment delay and influence to the critical path and work efficiency?</t>
    </r>
  </si>
  <si>
    <r>
      <t>Part 4 Question (</t>
    </r>
    <r>
      <rPr>
        <sz val="11"/>
        <color rgb="FF0000CC"/>
        <rFont val="標楷體"/>
        <family val="4"/>
        <charset val="136"/>
      </rPr>
      <t>既有</t>
    </r>
    <r>
      <rPr>
        <sz val="11"/>
        <color rgb="FF0000CC"/>
        <rFont val="Arial"/>
        <family val="2"/>
      </rPr>
      <t xml:space="preserve">)
</t>
    </r>
    <r>
      <rPr>
        <sz val="11"/>
        <color rgb="FF0000CC"/>
        <rFont val="標楷體"/>
        <family val="4"/>
        <charset val="136"/>
      </rPr>
      <t>各</t>
    </r>
    <r>
      <rPr>
        <sz val="11"/>
        <color rgb="FF0000CC"/>
        <rFont val="Arial"/>
        <family val="2"/>
      </rPr>
      <t>Discipline</t>
    </r>
    <r>
      <rPr>
        <sz val="11"/>
        <color rgb="FF0000CC"/>
        <rFont val="標楷體"/>
        <family val="4"/>
        <charset val="136"/>
      </rPr>
      <t>是否完全掌控施工進度並對人力</t>
    </r>
    <r>
      <rPr>
        <sz val="11"/>
        <color rgb="FF0000CC"/>
        <rFont val="Arial"/>
        <family val="2"/>
      </rPr>
      <t>/</t>
    </r>
    <r>
      <rPr>
        <sz val="11"/>
        <color rgb="FF0000CC"/>
        <rFont val="標楷體"/>
        <family val="4"/>
        <charset val="136"/>
      </rPr>
      <t>機具</t>
    </r>
    <r>
      <rPr>
        <sz val="11"/>
        <color rgb="FF0000CC"/>
        <rFont val="Arial"/>
        <family val="2"/>
      </rPr>
      <t>/</t>
    </r>
    <r>
      <rPr>
        <sz val="11"/>
        <color rgb="FF0000CC"/>
        <rFont val="標楷體"/>
        <family val="4"/>
        <charset val="136"/>
      </rPr>
      <t>材料短缺狀況完全了解</t>
    </r>
    <r>
      <rPr>
        <sz val="11"/>
        <color rgb="FF0000CC"/>
        <rFont val="Arial"/>
        <family val="2"/>
      </rPr>
      <t>.</t>
    </r>
  </si>
  <si>
    <t>7.</t>
    <phoneticPr fontId="10" type="noConversion"/>
  </si>
  <si>
    <r>
      <rPr>
        <b/>
        <sz val="12"/>
        <color theme="1"/>
        <rFont val="標楷體"/>
        <family val="4"/>
        <charset val="136"/>
      </rPr>
      <t>專案成本</t>
    </r>
    <r>
      <rPr>
        <b/>
        <sz val="12"/>
        <color theme="1"/>
        <rFont val="Arial"/>
        <family val="2"/>
      </rPr>
      <t xml:space="preserve"> Cost</t>
    </r>
  </si>
  <si>
    <t>7.1</t>
    <phoneticPr fontId="10" type="noConversion"/>
  </si>
  <si>
    <r>
      <rPr>
        <b/>
        <sz val="12"/>
        <color theme="1"/>
        <rFont val="標楷體"/>
        <family val="4"/>
        <charset val="136"/>
      </rPr>
      <t xml:space="preserve">建造間接人力計畫是否依據報價時資資料？
</t>
    </r>
    <r>
      <rPr>
        <b/>
        <sz val="12"/>
        <color theme="1"/>
        <rFont val="Arial"/>
        <family val="2"/>
      </rPr>
      <t>Whether the construction indirect manpower plan is developed according to the proposal or not?</t>
    </r>
  </si>
  <si>
    <t>7.2</t>
  </si>
  <si>
    <r>
      <rPr>
        <b/>
        <sz val="12"/>
        <color theme="1"/>
        <rFont val="標楷體"/>
        <family val="4"/>
        <charset val="136"/>
      </rPr>
      <t xml:space="preserve">建造發包計畫是否依據報價階段的發包計畫
</t>
    </r>
    <r>
      <rPr>
        <b/>
        <sz val="12"/>
        <color theme="1"/>
        <rFont val="Arial"/>
        <family val="2"/>
      </rPr>
      <t>Whether the construction subcontracting plan is developed or not according to the subcontracting plan at proposal stage?</t>
    </r>
  </si>
  <si>
    <t>7.3</t>
  </si>
  <si>
    <r>
      <rPr>
        <b/>
        <sz val="12"/>
        <color theme="1"/>
        <rFont val="標楷體"/>
        <family val="4"/>
        <charset val="136"/>
      </rPr>
      <t>工程發包是否延遲，足以影響建造工程進行</t>
    </r>
    <r>
      <rPr>
        <b/>
        <sz val="12"/>
        <color theme="1"/>
        <rFont val="Arial"/>
        <family val="2"/>
      </rPr>
      <t>? Whether the subcontracting work is delayed or not? Is construction progress is delayed?</t>
    </r>
  </si>
  <si>
    <t>7.4</t>
    <phoneticPr fontId="10" type="noConversion"/>
  </si>
  <si>
    <r>
      <rPr>
        <b/>
        <sz val="12"/>
        <color theme="1"/>
        <rFont val="標楷體"/>
        <family val="4"/>
        <charset val="136"/>
      </rPr>
      <t>對業主的合約變更，有無變更通知</t>
    </r>
    <r>
      <rPr>
        <b/>
        <sz val="12"/>
        <color theme="1"/>
        <rFont val="Arial"/>
        <family val="2"/>
      </rPr>
      <t>?  Whether change notice is issued or not for work scope changes?</t>
    </r>
  </si>
  <si>
    <t>8.</t>
    <phoneticPr fontId="10" type="noConversion"/>
  </si>
  <si>
    <r>
      <rPr>
        <b/>
        <sz val="12"/>
        <color theme="1"/>
        <rFont val="標楷體"/>
        <family val="4"/>
        <charset val="136"/>
      </rPr>
      <t>移交系統</t>
    </r>
    <r>
      <rPr>
        <b/>
        <sz val="12"/>
        <color theme="1"/>
        <rFont val="Arial"/>
        <family val="2"/>
      </rPr>
      <t xml:space="preserve"> Turn Over System (TOS)</t>
    </r>
  </si>
  <si>
    <t>8.1</t>
    <phoneticPr fontId="10" type="noConversion"/>
  </si>
  <si>
    <r>
      <rPr>
        <b/>
        <sz val="12"/>
        <color theme="1"/>
        <rFont val="標楷體"/>
        <family val="4"/>
        <charset val="136"/>
      </rPr>
      <t>是否有指派移交經理或工程師</t>
    </r>
    <r>
      <rPr>
        <b/>
        <sz val="12"/>
        <color theme="1"/>
        <rFont val="Arial"/>
        <family val="2"/>
      </rPr>
      <t xml:space="preserve">
Whether turn over manager / engineer is assigned or not?</t>
    </r>
  </si>
  <si>
    <t>8.2</t>
  </si>
  <si>
    <r>
      <rPr>
        <b/>
        <sz val="12"/>
        <color theme="1"/>
        <rFont val="標楷體"/>
        <family val="4"/>
        <charset val="136"/>
      </rPr>
      <t>製程及非製程系統建置及規劃是否完整？</t>
    </r>
    <r>
      <rPr>
        <b/>
        <sz val="12"/>
        <color theme="1"/>
        <rFont val="Arial"/>
        <family val="2"/>
      </rPr>
      <t xml:space="preserve"> Whether the system of process / non-process is defined completely or not?</t>
    </r>
  </si>
  <si>
    <t>8.3</t>
  </si>
  <si>
    <r>
      <rPr>
        <b/>
        <sz val="12"/>
        <color theme="1"/>
        <rFont val="標楷體"/>
        <family val="4"/>
        <charset val="136"/>
      </rPr>
      <t>重要品質證明文件是否已訂出？</t>
    </r>
    <r>
      <rPr>
        <b/>
        <sz val="12"/>
        <color theme="1"/>
        <rFont val="Arial"/>
        <family val="2"/>
      </rPr>
      <t>Whether the Critical QVD has been defined or not?</t>
    </r>
  </si>
  <si>
    <t>8.4</t>
  </si>
  <si>
    <r>
      <rPr>
        <b/>
        <sz val="12"/>
        <color theme="1"/>
        <rFont val="標楷體"/>
        <family val="4"/>
        <charset val="136"/>
      </rPr>
      <t>移交系統是否已建立？</t>
    </r>
    <r>
      <rPr>
        <b/>
        <sz val="12"/>
        <color theme="1"/>
        <rFont val="Arial"/>
        <family val="2"/>
      </rPr>
      <t>Whether TOS has been set or not? (construction progress 50%-60%)</t>
    </r>
  </si>
  <si>
    <r>
      <t>Part 8 Question (</t>
    </r>
    <r>
      <rPr>
        <sz val="11"/>
        <color rgb="FF0000CC"/>
        <rFont val="標楷體"/>
        <family val="4"/>
        <charset val="136"/>
      </rPr>
      <t>既有查</t>
    </r>
    <r>
      <rPr>
        <sz val="11"/>
        <color rgb="FF0000CC"/>
        <rFont val="Arial"/>
        <family val="2"/>
      </rPr>
      <t>Punch</t>
    </r>
    <r>
      <rPr>
        <sz val="11"/>
        <color rgb="FF0000CC"/>
        <rFont val="標楷體"/>
        <family val="4"/>
        <charset val="136"/>
      </rPr>
      <t>部分</t>
    </r>
    <r>
      <rPr>
        <sz val="11"/>
        <color rgb="FF0000CC"/>
        <rFont val="Arial"/>
        <family val="2"/>
      </rPr>
      <t xml:space="preserve">)
</t>
    </r>
    <r>
      <rPr>
        <sz val="11"/>
        <color rgb="FF0000CC"/>
        <rFont val="標楷體"/>
        <family val="4"/>
        <charset val="136"/>
      </rPr>
      <t>建造</t>
    </r>
    <r>
      <rPr>
        <sz val="11"/>
        <color rgb="FF0000CC"/>
        <rFont val="Arial"/>
        <family val="2"/>
      </rPr>
      <t>punch</t>
    </r>
    <r>
      <rPr>
        <sz val="11"/>
        <color rgb="FF0000CC"/>
        <rFont val="標楷體"/>
        <family val="4"/>
        <charset val="136"/>
      </rPr>
      <t>與</t>
    </r>
    <r>
      <rPr>
        <sz val="11"/>
        <color rgb="FF0000CC"/>
        <rFont val="Arial"/>
        <family val="2"/>
      </rPr>
      <t>RFI</t>
    </r>
    <r>
      <rPr>
        <sz val="11"/>
        <color rgb="FF0000CC"/>
        <rFont val="標楷體"/>
        <family val="4"/>
        <charset val="136"/>
      </rPr>
      <t>控管制度建立</t>
    </r>
  </si>
  <si>
    <t>Part 2</t>
    <phoneticPr fontId="10" type="noConversion"/>
  </si>
  <si>
    <r>
      <rPr>
        <b/>
        <sz val="14"/>
        <color theme="1"/>
        <rFont val="標楷體"/>
        <family val="4"/>
        <charset val="136"/>
      </rPr>
      <t>專案工地</t>
    </r>
    <r>
      <rPr>
        <b/>
        <sz val="14"/>
        <color theme="1"/>
        <rFont val="Arial"/>
        <family val="2"/>
      </rPr>
      <t xml:space="preserve"> Project Site</t>
    </r>
  </si>
  <si>
    <t>Item</t>
    <phoneticPr fontId="10" type="noConversion"/>
  </si>
  <si>
    <r>
      <rPr>
        <sz val="11"/>
        <color theme="1"/>
        <rFont val="標楷體"/>
        <family val="4"/>
        <charset val="136"/>
      </rPr>
      <t xml:space="preserve">檢查項目
</t>
    </r>
    <r>
      <rPr>
        <sz val="11"/>
        <color theme="1"/>
        <rFont val="Arial"/>
        <family val="2"/>
      </rPr>
      <t>Inspection Item</t>
    </r>
  </si>
  <si>
    <r>
      <rPr>
        <sz val="11"/>
        <color theme="1"/>
        <rFont val="標楷體"/>
        <family val="4"/>
        <charset val="136"/>
      </rPr>
      <t>評比</t>
    </r>
    <r>
      <rPr>
        <sz val="11"/>
        <color theme="1"/>
        <rFont val="Arial"/>
        <family val="2"/>
      </rPr>
      <t xml:space="preserve"> (0~100)
Score</t>
    </r>
  </si>
  <si>
    <r>
      <rPr>
        <sz val="11"/>
        <color theme="1"/>
        <rFont val="標楷體"/>
        <family val="4"/>
        <charset val="136"/>
      </rPr>
      <t>權重</t>
    </r>
    <r>
      <rPr>
        <sz val="11"/>
        <color theme="1"/>
        <rFont val="Arial"/>
        <family val="2"/>
      </rPr>
      <t>(%)
Weight</t>
    </r>
  </si>
  <si>
    <r>
      <rPr>
        <sz val="11"/>
        <color theme="1"/>
        <rFont val="標楷體"/>
        <family val="4"/>
        <charset val="136"/>
      </rPr>
      <t xml:space="preserve">積分
</t>
    </r>
    <r>
      <rPr>
        <sz val="11"/>
        <color theme="1"/>
        <rFont val="Arial"/>
        <family val="2"/>
      </rPr>
      <t>Credit</t>
    </r>
  </si>
  <si>
    <r>
      <rPr>
        <sz val="11"/>
        <color theme="1"/>
        <rFont val="標楷體"/>
        <family val="4"/>
        <charset val="136"/>
      </rPr>
      <t xml:space="preserve">績效目標
</t>
    </r>
    <r>
      <rPr>
        <sz val="11"/>
        <color theme="1"/>
        <rFont val="Arial"/>
        <family val="2"/>
      </rPr>
      <t>Target Performance</t>
    </r>
  </si>
  <si>
    <r>
      <rPr>
        <sz val="11"/>
        <color theme="1"/>
        <rFont val="標楷體"/>
        <family val="4"/>
        <charset val="136"/>
      </rPr>
      <t xml:space="preserve">主要缺失描述
</t>
    </r>
    <r>
      <rPr>
        <sz val="11"/>
        <color theme="1"/>
        <rFont val="Arial"/>
        <family val="2"/>
      </rPr>
      <t>Non-conformance Description</t>
    </r>
  </si>
  <si>
    <r>
      <rPr>
        <sz val="11"/>
        <color theme="1"/>
        <rFont val="標楷體"/>
        <family val="4"/>
        <charset val="136"/>
      </rPr>
      <t>備註</t>
    </r>
    <r>
      <rPr>
        <sz val="11"/>
        <color theme="1"/>
        <rFont val="Arial"/>
        <family val="2"/>
      </rPr>
      <t xml:space="preserve"> Remark</t>
    </r>
  </si>
  <si>
    <t>1.A</t>
  </si>
  <si>
    <r>
      <rPr>
        <b/>
        <sz val="11"/>
        <color theme="1"/>
        <rFont val="標楷體"/>
        <family val="4"/>
        <charset val="136"/>
      </rPr>
      <t>查核安衛環文件的管理</t>
    </r>
    <r>
      <rPr>
        <b/>
        <sz val="11"/>
        <color theme="1"/>
        <rFont val="Arial"/>
        <family val="2"/>
      </rPr>
      <t>Inspection of HSE document management</t>
    </r>
  </si>
  <si>
    <r>
      <t>SHSEM Signature</t>
    </r>
    <r>
      <rPr>
        <b/>
        <sz val="11"/>
        <color theme="1"/>
        <rFont val="標楷體"/>
        <family val="4"/>
        <charset val="136"/>
      </rPr>
      <t>簽名</t>
    </r>
  </si>
  <si>
    <t>1A.1</t>
  </si>
  <si>
    <r>
      <rPr>
        <sz val="11"/>
        <color theme="1"/>
        <rFont val="標楷體"/>
        <family val="4"/>
        <charset val="136"/>
      </rPr>
      <t>安衛環入場教育場訓練和特殊教育訓練</t>
    </r>
    <r>
      <rPr>
        <sz val="11"/>
        <color theme="1"/>
        <rFont val="Arial"/>
        <family val="2"/>
      </rPr>
      <t xml:space="preserve"> HSE induction orientation and specific training.</t>
    </r>
  </si>
  <si>
    <r>
      <rPr>
        <sz val="11"/>
        <color theme="1"/>
        <rFont val="標楷體"/>
        <family val="4"/>
        <charset val="136"/>
      </rPr>
      <t>訓練人員經驗</t>
    </r>
    <r>
      <rPr>
        <sz val="11"/>
        <color theme="1"/>
        <rFont val="Arial"/>
        <family val="2"/>
      </rPr>
      <t>/</t>
    </r>
    <r>
      <rPr>
        <sz val="11"/>
        <color theme="1"/>
        <rFont val="標楷體"/>
        <family val="4"/>
        <charset val="136"/>
      </rPr>
      <t>設施</t>
    </r>
    <r>
      <rPr>
        <sz val="11"/>
        <color theme="1"/>
        <rFont val="Arial"/>
        <family val="2"/>
      </rPr>
      <t>/</t>
    </r>
    <r>
      <rPr>
        <sz val="11"/>
        <color theme="1"/>
        <rFont val="標楷體"/>
        <family val="4"/>
        <charset val="136"/>
      </rPr>
      <t>教材</t>
    </r>
    <r>
      <rPr>
        <sz val="11"/>
        <color theme="1"/>
        <rFont val="Arial"/>
        <family val="2"/>
      </rPr>
      <t>/</t>
    </r>
    <r>
      <rPr>
        <sz val="11"/>
        <color theme="1"/>
        <rFont val="標楷體"/>
        <family val="4"/>
        <charset val="136"/>
      </rPr>
      <t>紀錄</t>
    </r>
    <r>
      <rPr>
        <sz val="11"/>
        <color theme="1"/>
        <rFont val="Arial"/>
        <family val="2"/>
      </rPr>
      <t xml:space="preserve"> The trainer experience/facility/material/record</t>
    </r>
  </si>
  <si>
    <t>1A.2</t>
  </si>
  <si>
    <r>
      <rPr>
        <sz val="11"/>
        <color theme="1"/>
        <rFont val="標楷體"/>
        <family val="4"/>
        <charset val="136"/>
      </rPr>
      <t>工地人員是否有依規定做身體檢檢查</t>
    </r>
    <r>
      <rPr>
        <sz val="11"/>
        <color theme="1"/>
        <rFont val="Arial"/>
        <family val="2"/>
      </rPr>
      <t>? Whether site persons have been conducted the physical examination or not?</t>
    </r>
  </si>
  <si>
    <r>
      <rPr>
        <sz val="11"/>
        <color theme="1"/>
        <rFont val="標楷體"/>
        <family val="4"/>
        <charset val="136"/>
      </rPr>
      <t>抽查紀錄</t>
    </r>
    <r>
      <rPr>
        <sz val="11"/>
        <color theme="1"/>
        <rFont val="Arial"/>
        <family val="2"/>
      </rPr>
      <t xml:space="preserve"> random check the record </t>
    </r>
  </si>
  <si>
    <t>1A.3</t>
  </si>
  <si>
    <r>
      <rPr>
        <sz val="11"/>
        <color theme="1"/>
        <rFont val="標楷體"/>
        <family val="4"/>
        <charset val="136"/>
      </rPr>
      <t>是否每月將</t>
    </r>
    <r>
      <rPr>
        <sz val="11"/>
        <color theme="1"/>
        <rFont val="Arial"/>
        <family val="2"/>
      </rPr>
      <t>BBS</t>
    </r>
    <r>
      <rPr>
        <sz val="11"/>
        <color theme="1"/>
        <rFont val="標楷體"/>
        <family val="4"/>
        <charset val="136"/>
      </rPr>
      <t>含</t>
    </r>
    <r>
      <rPr>
        <sz val="11"/>
        <color theme="1"/>
        <rFont val="Arial"/>
        <family val="2"/>
      </rPr>
      <t>5S</t>
    </r>
    <r>
      <rPr>
        <sz val="11"/>
        <color theme="1"/>
        <rFont val="標楷體"/>
        <family val="4"/>
        <charset val="136"/>
      </rPr>
      <t xml:space="preserve">活動觀察統計和提出最高項之改善對策及每月上線登錄紀錄。
</t>
    </r>
    <r>
      <rPr>
        <sz val="11"/>
        <color theme="1"/>
        <rFont val="Arial"/>
        <family val="2"/>
      </rPr>
      <t>Whether the statistics of BBS including 5S activities and the highest items of observation has been registered on QHSEMS or not by monthly?</t>
    </r>
  </si>
  <si>
    <r>
      <rPr>
        <sz val="11"/>
        <color theme="1"/>
        <rFont val="標楷體"/>
        <family val="4"/>
        <charset val="136"/>
      </rPr>
      <t>查核</t>
    </r>
    <r>
      <rPr>
        <sz val="11"/>
        <color theme="1"/>
        <rFont val="Arial"/>
        <family val="2"/>
      </rPr>
      <t>QHSEMS</t>
    </r>
    <r>
      <rPr>
        <sz val="11"/>
        <color theme="1"/>
        <rFont val="標楷體"/>
        <family val="4"/>
        <charset val="136"/>
      </rPr>
      <t xml:space="preserve">每月登陸紀錄。
</t>
    </r>
    <r>
      <rPr>
        <sz val="11"/>
        <color theme="1"/>
        <rFont val="Arial"/>
        <family val="2"/>
      </rPr>
      <t>Check the records on QHSEMS</t>
    </r>
    <r>
      <rPr>
        <sz val="11"/>
        <color theme="1"/>
        <rFont val="標楷體"/>
        <family val="4"/>
        <charset val="136"/>
      </rPr>
      <t>。</t>
    </r>
  </si>
  <si>
    <t>1A.4</t>
  </si>
  <si>
    <r>
      <rPr>
        <sz val="11"/>
        <color theme="1"/>
        <rFont val="標楷體"/>
        <family val="4"/>
        <charset val="136"/>
      </rPr>
      <t xml:space="preserve">召開工地相關安衛環會議並記錄存查。
</t>
    </r>
    <r>
      <rPr>
        <sz val="11"/>
        <color theme="1"/>
        <rFont val="Arial"/>
        <family val="2"/>
      </rPr>
      <t xml:space="preserve">Hold relevant HSE meeting and kept the records . </t>
    </r>
  </si>
  <si>
    <r>
      <rPr>
        <sz val="11"/>
        <color theme="1"/>
        <rFont val="標楷體"/>
        <family val="4"/>
        <charset val="136"/>
      </rPr>
      <t>應該參加人員是否參加</t>
    </r>
    <r>
      <rPr>
        <sz val="11"/>
        <color theme="1"/>
        <rFont val="Arial"/>
        <family val="2"/>
      </rPr>
      <t>?</t>
    </r>
    <r>
      <rPr>
        <sz val="11"/>
        <color theme="1"/>
        <rFont val="標楷體"/>
        <family val="4"/>
        <charset val="136"/>
      </rPr>
      <t>紀錄是否反映實際現場的觀察</t>
    </r>
    <r>
      <rPr>
        <sz val="11"/>
        <color theme="1"/>
        <rFont val="Arial"/>
        <family val="2"/>
      </rPr>
      <t xml:space="preserve">? Whether the key persons attend the meeting or not, and the record has been highlighted site actual observation? </t>
    </r>
  </si>
  <si>
    <t>1A.5</t>
  </si>
  <si>
    <r>
      <rPr>
        <sz val="11"/>
        <color theme="1"/>
        <rFont val="標楷體"/>
        <family val="4"/>
        <charset val="136"/>
      </rPr>
      <t xml:space="preserve">執行安衛環自動檢查計畫和保存檢查紀錄
</t>
    </r>
    <r>
      <rPr>
        <sz val="11"/>
        <color theme="1"/>
        <rFont val="Arial"/>
        <family val="2"/>
      </rPr>
      <t>Conducted HSE self-inspection plan and kept inspection records.</t>
    </r>
  </si>
  <si>
    <r>
      <rPr>
        <sz val="11"/>
        <color theme="1"/>
        <rFont val="標楷體"/>
        <family val="4"/>
        <charset val="136"/>
      </rPr>
      <t>依照目前施工階段的項目作抽查</t>
    </r>
    <r>
      <rPr>
        <sz val="11"/>
        <color theme="1"/>
        <rFont val="Arial"/>
        <family val="2"/>
      </rPr>
      <t xml:space="preserve">   Follow the current construction stage for random inspection.</t>
    </r>
  </si>
  <si>
    <t>1A.6</t>
  </si>
  <si>
    <r>
      <rPr>
        <sz val="11"/>
        <color theme="1"/>
        <rFont val="標楷體"/>
        <family val="4"/>
        <charset val="136"/>
      </rPr>
      <t xml:space="preserve">緊急應變計畫和演練紀錄。
</t>
    </r>
    <r>
      <rPr>
        <sz val="11"/>
        <color theme="1"/>
        <rFont val="Arial"/>
        <family val="2"/>
      </rPr>
      <t>Emergency response plan with drill record .</t>
    </r>
  </si>
  <si>
    <r>
      <rPr>
        <sz val="11"/>
        <color theme="1"/>
        <rFont val="標楷體"/>
        <family val="4"/>
        <charset val="136"/>
      </rPr>
      <t>緊急應變計畫是否核准和實施</t>
    </r>
    <r>
      <rPr>
        <sz val="11"/>
        <color theme="1"/>
        <rFont val="Arial"/>
        <family val="2"/>
      </rPr>
      <t>/</t>
    </r>
    <r>
      <rPr>
        <sz val="11"/>
        <color theme="1"/>
        <rFont val="標楷體"/>
        <family val="4"/>
        <charset val="136"/>
      </rPr>
      <t xml:space="preserve">是否需要更新
</t>
    </r>
    <r>
      <rPr>
        <sz val="11"/>
        <color theme="1"/>
        <rFont val="Arial"/>
        <family val="2"/>
      </rPr>
      <t>Whether the emergency plan has been approved and executed or not, whether it needs to be updated or not?</t>
    </r>
  </si>
  <si>
    <t>1A.7</t>
  </si>
  <si>
    <r>
      <rPr>
        <sz val="11"/>
        <color theme="1"/>
        <rFont val="標楷體"/>
        <family val="4"/>
        <charset val="136"/>
      </rPr>
      <t>對於人員</t>
    </r>
    <r>
      <rPr>
        <sz val="11"/>
        <color theme="1"/>
        <rFont val="Arial"/>
        <family val="2"/>
      </rPr>
      <t>/</t>
    </r>
    <r>
      <rPr>
        <sz val="11"/>
        <color theme="1"/>
        <rFont val="標楷體"/>
        <family val="4"/>
        <charset val="136"/>
      </rPr>
      <t>物料</t>
    </r>
    <r>
      <rPr>
        <sz val="11"/>
        <color theme="1"/>
        <rFont val="Arial"/>
        <family val="2"/>
      </rPr>
      <t>/</t>
    </r>
    <r>
      <rPr>
        <sz val="11"/>
        <color theme="1"/>
        <rFont val="標楷體"/>
        <family val="4"/>
        <charset val="136"/>
      </rPr>
      <t>車輛出入工地是否有門禁管制措施</t>
    </r>
    <r>
      <rPr>
        <sz val="11"/>
        <color theme="1"/>
        <rFont val="Arial"/>
        <family val="2"/>
      </rPr>
      <t>?
Whether the security system for controlling person, material, vehicle access gates?</t>
    </r>
  </si>
  <si>
    <r>
      <rPr>
        <sz val="11"/>
        <color theme="1"/>
        <rFont val="標楷體"/>
        <family val="4"/>
        <charset val="136"/>
      </rPr>
      <t xml:space="preserve">有警衛門禁管理辦法和紀錄。
</t>
    </r>
    <r>
      <rPr>
        <sz val="11"/>
        <color theme="1"/>
        <rFont val="Arial"/>
        <family val="2"/>
      </rPr>
      <t>Has any security plan and record?</t>
    </r>
  </si>
  <si>
    <t>1A.8</t>
  </si>
  <si>
    <r>
      <rPr>
        <sz val="11"/>
        <color theme="1"/>
        <rFont val="標楷體"/>
        <family val="4"/>
        <charset val="136"/>
      </rPr>
      <t>是否對於安衛環之缺失改善單有改善</t>
    </r>
    <r>
      <rPr>
        <sz val="11"/>
        <color theme="1"/>
        <rFont val="Arial"/>
        <family val="2"/>
      </rPr>
      <t xml:space="preserve">? </t>
    </r>
    <r>
      <rPr>
        <sz val="11"/>
        <color theme="1"/>
        <rFont val="標楷體"/>
        <family val="4"/>
        <charset val="136"/>
      </rPr>
      <t>保存回覆紀錄</t>
    </r>
    <r>
      <rPr>
        <sz val="11"/>
        <color theme="1"/>
        <rFont val="Arial"/>
        <family val="2"/>
      </rPr>
      <t xml:space="preserve">? </t>
    </r>
    <r>
      <rPr>
        <sz val="11"/>
        <color theme="1"/>
        <rFont val="標楷體"/>
        <family val="4"/>
        <charset val="136"/>
      </rPr>
      <t>有管控表單</t>
    </r>
    <r>
      <rPr>
        <sz val="11"/>
        <color theme="1"/>
        <rFont val="Arial"/>
        <family val="2"/>
      </rPr>
      <t>?
Whether the HSE observations have been improved or not? Kept reply records? Has the control log? .</t>
    </r>
  </si>
  <si>
    <r>
      <rPr>
        <sz val="11"/>
        <color theme="1"/>
        <rFont val="標楷體"/>
        <family val="4"/>
        <charset val="136"/>
      </rPr>
      <t>有任何缺失改善逾期之處理機制</t>
    </r>
    <r>
      <rPr>
        <sz val="11"/>
        <color theme="1"/>
        <rFont val="Arial"/>
        <family val="2"/>
      </rPr>
      <t>?
Has any action has been taken for overdue item?</t>
    </r>
  </si>
  <si>
    <t>1A.9</t>
  </si>
  <si>
    <r>
      <rPr>
        <sz val="11"/>
        <color theme="1"/>
        <rFont val="標楷體"/>
        <family val="4"/>
        <charset val="136"/>
      </rPr>
      <t>專案工地是否有推動安衛環獎勵和處罰辦法</t>
    </r>
    <r>
      <rPr>
        <sz val="11"/>
        <color theme="1"/>
        <rFont val="Arial"/>
        <family val="2"/>
      </rPr>
      <t>?
Whether project site has been conducted HSE incentive and penalty program or not?</t>
    </r>
  </si>
  <si>
    <r>
      <rPr>
        <sz val="11"/>
        <color theme="1"/>
        <rFont val="標楷體"/>
        <family val="4"/>
        <charset val="136"/>
      </rPr>
      <t>檢查相關計畫和紀錄</t>
    </r>
    <r>
      <rPr>
        <sz val="11"/>
        <color theme="1"/>
        <rFont val="Arial"/>
        <family val="2"/>
      </rPr>
      <t xml:space="preserve"> Check relevant plan with records.</t>
    </r>
  </si>
  <si>
    <t>1A.10</t>
  </si>
  <si>
    <r>
      <rPr>
        <sz val="11"/>
        <color theme="1"/>
        <rFont val="標楷體"/>
        <family val="4"/>
        <charset val="136"/>
      </rPr>
      <t>工地是否有推動『區域負責人』制度</t>
    </r>
    <r>
      <rPr>
        <sz val="11"/>
        <color theme="1"/>
        <rFont val="Arial"/>
        <family val="2"/>
      </rPr>
      <t>?
Whether project site has been conducted the area manager system or not?</t>
    </r>
  </si>
  <si>
    <r>
      <rPr>
        <sz val="11"/>
        <color theme="1"/>
        <rFont val="標楷體"/>
        <family val="4"/>
        <charset val="136"/>
      </rPr>
      <t>檢查相關紀錄</t>
    </r>
    <r>
      <rPr>
        <sz val="11"/>
        <color theme="1"/>
        <rFont val="Arial"/>
        <family val="2"/>
      </rPr>
      <t xml:space="preserve"> Check relevant record.</t>
    </r>
  </si>
  <si>
    <t>1.B</t>
  </si>
  <si>
    <r>
      <rPr>
        <b/>
        <sz val="11"/>
        <color theme="1"/>
        <rFont val="標楷體"/>
        <family val="4"/>
        <charset val="136"/>
      </rPr>
      <t>查核安衛環現場執行的管理</t>
    </r>
    <r>
      <rPr>
        <b/>
        <sz val="11"/>
        <color theme="1"/>
        <rFont val="Arial"/>
        <family val="2"/>
      </rPr>
      <t>Inspection of HSE site performance management</t>
    </r>
  </si>
  <si>
    <t>1B.1</t>
  </si>
  <si>
    <r>
      <rPr>
        <sz val="11"/>
        <color theme="1"/>
        <rFont val="標楷體"/>
        <family val="4"/>
        <charset val="136"/>
      </rPr>
      <t>工作許可證</t>
    </r>
    <r>
      <rPr>
        <sz val="11"/>
        <color theme="1"/>
        <rFont val="Arial"/>
        <family val="2"/>
      </rPr>
      <t xml:space="preserve"> permit to work/</t>
    </r>
    <r>
      <rPr>
        <sz val="11"/>
        <color theme="1"/>
        <rFont val="標楷體"/>
        <family val="4"/>
        <charset val="136"/>
      </rPr>
      <t>工具箱會議</t>
    </r>
    <r>
      <rPr>
        <sz val="11"/>
        <color theme="1"/>
        <rFont val="Arial"/>
        <family val="2"/>
      </rPr>
      <t xml:space="preserve"> tool box meeting</t>
    </r>
  </si>
  <si>
    <r>
      <rPr>
        <sz val="11"/>
        <color theme="1"/>
        <rFont val="標楷體"/>
        <family val="4"/>
        <charset val="136"/>
      </rPr>
      <t>抽查執行情況</t>
    </r>
    <r>
      <rPr>
        <sz val="11"/>
        <color theme="1"/>
        <rFont val="Arial"/>
        <family val="2"/>
      </rPr>
      <t xml:space="preserve"> To random check the performance.</t>
    </r>
  </si>
  <si>
    <t>1B.2</t>
  </si>
  <si>
    <r>
      <rPr>
        <sz val="11"/>
        <color theme="1"/>
        <rFont val="標楷體"/>
        <family val="4"/>
        <charset val="136"/>
      </rPr>
      <t>安全通道</t>
    </r>
    <r>
      <rPr>
        <sz val="11"/>
        <color theme="1"/>
        <rFont val="Arial"/>
        <family val="2"/>
      </rPr>
      <t xml:space="preserve"> Safe access/</t>
    </r>
    <r>
      <rPr>
        <sz val="11"/>
        <color theme="1"/>
        <rFont val="標楷體"/>
        <family val="4"/>
        <charset val="136"/>
      </rPr>
      <t>護欄和警告標語</t>
    </r>
    <r>
      <rPr>
        <sz val="11"/>
        <color theme="1"/>
        <rFont val="Arial"/>
        <family val="2"/>
      </rPr>
      <t xml:space="preserve"> barricade and warning sign</t>
    </r>
  </si>
  <si>
    <r>
      <rPr>
        <sz val="11"/>
        <color theme="1"/>
        <rFont val="標楷體"/>
        <family val="4"/>
        <charset val="136"/>
      </rPr>
      <t>抽查執行情況是否合理</t>
    </r>
    <r>
      <rPr>
        <sz val="11"/>
        <color theme="1"/>
        <rFont val="Arial"/>
        <family val="2"/>
      </rPr>
      <t>? Whether all the actions are reasonable or not?</t>
    </r>
  </si>
  <si>
    <t>1B.3</t>
  </si>
  <si>
    <r>
      <rPr>
        <sz val="11"/>
        <color theme="1"/>
        <rFont val="標楷體"/>
        <family val="4"/>
        <charset val="136"/>
      </rPr>
      <t>機具檢查</t>
    </r>
    <r>
      <rPr>
        <sz val="11"/>
        <color theme="1"/>
        <rFont val="Arial"/>
        <family val="2"/>
      </rPr>
      <t xml:space="preserve"> Equipment/tool inspection.</t>
    </r>
  </si>
  <si>
    <r>
      <rPr>
        <sz val="11"/>
        <color theme="1"/>
        <rFont val="標楷體"/>
        <family val="4"/>
        <charset val="136"/>
      </rPr>
      <t>檢查是否落實和是否有貼紙或色標</t>
    </r>
    <r>
      <rPr>
        <sz val="11"/>
        <color theme="1"/>
        <rFont val="Arial"/>
        <family val="2"/>
      </rPr>
      <t>? Whether the inspection activity has been conducted or not with sticker or color code?</t>
    </r>
  </si>
  <si>
    <t>1B.4</t>
  </si>
  <si>
    <r>
      <rPr>
        <sz val="11"/>
        <color theme="1"/>
        <rFont val="標楷體"/>
        <family val="4"/>
        <charset val="136"/>
      </rPr>
      <t>鑽探</t>
    </r>
    <r>
      <rPr>
        <sz val="11"/>
        <color theme="1"/>
        <rFont val="Arial"/>
        <family val="2"/>
      </rPr>
      <t>/</t>
    </r>
    <r>
      <rPr>
        <sz val="11"/>
        <color theme="1"/>
        <rFont val="標楷體"/>
        <family val="4"/>
        <charset val="136"/>
      </rPr>
      <t>打樁</t>
    </r>
    <r>
      <rPr>
        <sz val="11"/>
        <color theme="1"/>
        <rFont val="Arial"/>
        <family val="2"/>
      </rPr>
      <t>/</t>
    </r>
    <r>
      <rPr>
        <sz val="11"/>
        <color theme="1"/>
        <rFont val="標楷體"/>
        <family val="4"/>
        <charset val="136"/>
      </rPr>
      <t>開挖安全</t>
    </r>
    <r>
      <rPr>
        <sz val="11"/>
        <color theme="1"/>
        <rFont val="Arial"/>
        <family val="2"/>
      </rPr>
      <t xml:space="preserve"> Boring/piling/excavation safety  </t>
    </r>
  </si>
  <si>
    <r>
      <rPr>
        <sz val="11"/>
        <color theme="1"/>
        <rFont val="標楷體"/>
        <family val="4"/>
        <charset val="136"/>
      </rPr>
      <t>檢查鑽探</t>
    </r>
    <r>
      <rPr>
        <sz val="11"/>
        <color theme="1"/>
        <rFont val="Arial"/>
        <family val="2"/>
      </rPr>
      <t>/</t>
    </r>
    <r>
      <rPr>
        <sz val="11"/>
        <color theme="1"/>
        <rFont val="標楷體"/>
        <family val="4"/>
        <charset val="136"/>
      </rPr>
      <t>打樁</t>
    </r>
    <r>
      <rPr>
        <sz val="11"/>
        <color theme="1"/>
        <rFont val="Arial"/>
        <family val="2"/>
      </rPr>
      <t>/</t>
    </r>
    <r>
      <rPr>
        <sz val="11"/>
        <color theme="1"/>
        <rFont val="標楷體"/>
        <family val="4"/>
        <charset val="136"/>
      </rPr>
      <t>開挖現場的危害情況</t>
    </r>
    <r>
      <rPr>
        <sz val="11"/>
        <color theme="1"/>
        <rFont val="Arial"/>
        <family val="2"/>
      </rPr>
      <t>? To check the potential hazard for site boring/piling/excavation.</t>
    </r>
  </si>
  <si>
    <t>1B.5</t>
  </si>
  <si>
    <r>
      <rPr>
        <sz val="11"/>
        <color theme="1"/>
        <rFont val="標楷體"/>
        <family val="4"/>
        <charset val="136"/>
      </rPr>
      <t>電氣安全</t>
    </r>
    <r>
      <rPr>
        <sz val="11"/>
        <color theme="1"/>
        <rFont val="Arial"/>
        <family val="2"/>
      </rPr>
      <t>/</t>
    </r>
    <r>
      <rPr>
        <sz val="11"/>
        <color theme="1"/>
        <rFont val="標楷體"/>
        <family val="4"/>
        <charset val="136"/>
      </rPr>
      <t>上鎖標籤安全</t>
    </r>
    <r>
      <rPr>
        <sz val="11"/>
        <color theme="1"/>
        <rFont val="Arial"/>
        <family val="2"/>
      </rPr>
      <t xml:space="preserve"> Electric safety/LOTO safety</t>
    </r>
  </si>
  <si>
    <r>
      <rPr>
        <sz val="11"/>
        <color theme="1"/>
        <rFont val="標楷體"/>
        <family val="4"/>
        <charset val="136"/>
      </rPr>
      <t>抽查現場電氣的安全情況</t>
    </r>
    <r>
      <rPr>
        <sz val="11"/>
        <color theme="1"/>
        <rFont val="Arial"/>
        <family val="2"/>
      </rPr>
      <t>/</t>
    </r>
    <r>
      <rPr>
        <sz val="11"/>
        <color theme="1"/>
        <rFont val="標楷體"/>
        <family val="4"/>
        <charset val="136"/>
      </rPr>
      <t>抽查上鎖和警告標示的情形</t>
    </r>
    <r>
      <rPr>
        <sz val="11"/>
        <color theme="1"/>
        <rFont val="Arial"/>
        <family val="2"/>
      </rPr>
      <t>? To random check site electric safety situation and lock out/tag out situation?</t>
    </r>
  </si>
  <si>
    <t>1B.6</t>
  </si>
  <si>
    <r>
      <rPr>
        <sz val="11"/>
        <color theme="1"/>
        <rFont val="標楷體"/>
        <family val="4"/>
        <charset val="136"/>
      </rPr>
      <t>侷限空間作業安全</t>
    </r>
    <r>
      <rPr>
        <sz val="11"/>
        <color theme="1"/>
        <rFont val="Arial"/>
        <family val="2"/>
      </rPr>
      <t>/</t>
    </r>
    <r>
      <rPr>
        <sz val="11"/>
        <color theme="1"/>
        <rFont val="標楷體"/>
        <family val="4"/>
        <charset val="136"/>
      </rPr>
      <t>交叉作業安全</t>
    </r>
    <r>
      <rPr>
        <sz val="11"/>
        <color theme="1"/>
        <rFont val="Arial"/>
        <family val="2"/>
      </rPr>
      <t xml:space="preserve"> Confined space safety, interface activities safety</t>
    </r>
  </si>
  <si>
    <r>
      <rPr>
        <sz val="11"/>
        <color theme="1"/>
        <rFont val="標楷體"/>
        <family val="4"/>
        <charset val="136"/>
      </rPr>
      <t>檢查有局限空間作業的危害</t>
    </r>
    <r>
      <rPr>
        <sz val="11"/>
        <color theme="1"/>
        <rFont val="Arial"/>
        <family val="2"/>
      </rPr>
      <t>/</t>
    </r>
    <r>
      <rPr>
        <sz val="11"/>
        <color theme="1"/>
        <rFont val="標楷體"/>
        <family val="4"/>
        <charset val="136"/>
      </rPr>
      <t>檢查是否現場有交叉作業的危害</t>
    </r>
    <r>
      <rPr>
        <sz val="11"/>
        <color theme="1"/>
        <rFont val="Arial"/>
        <family val="2"/>
      </rPr>
      <t xml:space="preserve">? Whether there is any hazard for site confined space and interface activities or not? </t>
    </r>
  </si>
  <si>
    <t>1B.7</t>
  </si>
  <si>
    <r>
      <rPr>
        <sz val="11"/>
        <color theme="1"/>
        <rFont val="標楷體"/>
        <family val="4"/>
        <charset val="136"/>
      </rPr>
      <t>施工架安全檢查</t>
    </r>
    <r>
      <rPr>
        <sz val="11"/>
        <color theme="1"/>
        <rFont val="Arial"/>
        <family val="2"/>
      </rPr>
      <t xml:space="preserve"> Scaffold safety inspection</t>
    </r>
  </si>
  <si>
    <r>
      <rPr>
        <sz val="11"/>
        <color theme="1"/>
        <rFont val="標楷體"/>
        <family val="4"/>
        <charset val="136"/>
      </rPr>
      <t>抽查施工架的掛牌和安全性</t>
    </r>
    <r>
      <rPr>
        <sz val="11"/>
        <color theme="1"/>
        <rFont val="Arial"/>
        <family val="2"/>
      </rPr>
      <t>? To random check scaffold tag and scaffold safety situation.</t>
    </r>
  </si>
  <si>
    <t>1B.8</t>
  </si>
  <si>
    <r>
      <rPr>
        <sz val="11"/>
        <color theme="1"/>
        <rFont val="標楷體"/>
        <family val="4"/>
        <charset val="136"/>
      </rPr>
      <t>吊裝安全檢查</t>
    </r>
    <r>
      <rPr>
        <sz val="11"/>
        <color theme="1"/>
        <rFont val="Arial"/>
        <family val="2"/>
      </rPr>
      <t xml:space="preserve"> Lifting safety inspection</t>
    </r>
  </si>
  <si>
    <r>
      <rPr>
        <sz val="11"/>
        <color theme="1"/>
        <rFont val="標楷體"/>
        <family val="4"/>
        <charset val="136"/>
      </rPr>
      <t>抽查現場吊裝的安全情況</t>
    </r>
    <r>
      <rPr>
        <sz val="11"/>
        <color theme="1"/>
        <rFont val="Arial"/>
        <family val="2"/>
      </rPr>
      <t>? To random check site lifting safety situation.</t>
    </r>
  </si>
  <si>
    <t>1B.9</t>
  </si>
  <si>
    <r>
      <rPr>
        <sz val="11"/>
        <color theme="1"/>
        <rFont val="標楷體"/>
        <family val="4"/>
        <charset val="136"/>
      </rPr>
      <t>高空作業安全</t>
    </r>
    <r>
      <rPr>
        <sz val="11"/>
        <color theme="1"/>
        <rFont val="Arial"/>
        <family val="2"/>
      </rPr>
      <t xml:space="preserve"> Elevated work safety</t>
    </r>
  </si>
  <si>
    <r>
      <rPr>
        <sz val="11"/>
        <color theme="1"/>
        <rFont val="標楷體"/>
        <family val="4"/>
        <charset val="136"/>
      </rPr>
      <t>抽查現場高空作業的人員墜落和物體墜落的風險</t>
    </r>
    <r>
      <rPr>
        <sz val="11"/>
        <color theme="1"/>
        <rFont val="Arial"/>
        <family val="2"/>
      </rPr>
      <t xml:space="preserve">. To random check regarding person or object falling risk from elevated place. </t>
    </r>
  </si>
  <si>
    <t>1B.10</t>
    <phoneticPr fontId="10" type="noConversion"/>
  </si>
  <si>
    <r>
      <rPr>
        <sz val="11"/>
        <color theme="1"/>
        <rFont val="標楷體"/>
        <family val="4"/>
        <charset val="136"/>
      </rPr>
      <t>緊急應變的安全</t>
    </r>
    <r>
      <rPr>
        <sz val="11"/>
        <color theme="1"/>
        <rFont val="Arial"/>
        <family val="2"/>
      </rPr>
      <t xml:space="preserve">  Emergency response safety</t>
    </r>
  </si>
  <si>
    <r>
      <rPr>
        <sz val="11"/>
        <color theme="1"/>
        <rFont val="標楷體"/>
        <family val="4"/>
        <charset val="136"/>
      </rPr>
      <t>抽查應變中心和聯絡</t>
    </r>
    <r>
      <rPr>
        <sz val="11"/>
        <color theme="1"/>
        <rFont val="Arial"/>
        <family val="2"/>
      </rPr>
      <t>/</t>
    </r>
    <r>
      <rPr>
        <sz val="11"/>
        <color theme="1"/>
        <rFont val="標楷體"/>
        <family val="4"/>
        <charset val="136"/>
      </rPr>
      <t>救援設施和人員及救護車輛</t>
    </r>
    <r>
      <rPr>
        <sz val="11"/>
        <color theme="1"/>
        <rFont val="Arial"/>
        <family val="2"/>
      </rPr>
      <t>/</t>
    </r>
    <r>
      <rPr>
        <sz val="11"/>
        <color theme="1"/>
        <rFont val="標楷體"/>
        <family val="4"/>
        <charset val="136"/>
      </rPr>
      <t>疏散標示</t>
    </r>
    <r>
      <rPr>
        <sz val="11"/>
        <color theme="1"/>
        <rFont val="Arial"/>
        <family val="2"/>
      </rPr>
      <t>/</t>
    </r>
    <r>
      <rPr>
        <sz val="11"/>
        <color theme="1"/>
        <rFont val="標楷體"/>
        <family val="4"/>
        <charset val="136"/>
      </rPr>
      <t>緊急集合地點</t>
    </r>
    <r>
      <rPr>
        <sz val="11"/>
        <color theme="1"/>
        <rFont val="Arial"/>
        <family val="2"/>
      </rPr>
      <t xml:space="preserve"> To random check ERT center and communication/rescue facility, rescue team with ambulance /evacuation sign/muster point</t>
    </r>
  </si>
  <si>
    <t>2.0</t>
    <phoneticPr fontId="10" type="noConversion"/>
  </si>
  <si>
    <t>QA/QC</t>
    <phoneticPr fontId="10" type="noConversion"/>
  </si>
  <si>
    <r>
      <t xml:space="preserve">SQM Signature </t>
    </r>
    <r>
      <rPr>
        <b/>
        <sz val="11"/>
        <color theme="1"/>
        <rFont val="標楷體"/>
        <family val="4"/>
        <charset val="136"/>
      </rPr>
      <t>簽名</t>
    </r>
  </si>
  <si>
    <r>
      <rPr>
        <sz val="11"/>
        <color theme="1"/>
        <rFont val="標楷體"/>
        <family val="4"/>
        <charset val="136"/>
      </rPr>
      <t>品質量測項目皆符合標準</t>
    </r>
    <r>
      <rPr>
        <sz val="11"/>
        <color theme="1"/>
        <rFont val="Arial"/>
        <family val="2"/>
      </rPr>
      <t>(RT</t>
    </r>
    <r>
      <rPr>
        <sz val="11"/>
        <color theme="1"/>
        <rFont val="標楷體"/>
        <family val="4"/>
        <charset val="136"/>
      </rPr>
      <t>判片不良率、</t>
    </r>
    <r>
      <rPr>
        <sz val="11"/>
        <color theme="1"/>
        <rFont val="Arial"/>
        <family val="2"/>
      </rPr>
      <t>NCR</t>
    </r>
    <r>
      <rPr>
        <sz val="11"/>
        <color theme="1"/>
        <rFont val="標楷體"/>
        <family val="4"/>
        <charset val="136"/>
      </rPr>
      <t>及</t>
    </r>
    <r>
      <rPr>
        <sz val="11"/>
        <color theme="1"/>
        <rFont val="Arial"/>
        <family val="2"/>
      </rPr>
      <t>DND</t>
    </r>
    <r>
      <rPr>
        <sz val="11"/>
        <color theme="1"/>
        <rFont val="標楷體"/>
        <family val="4"/>
        <charset val="136"/>
      </rPr>
      <t>及時結案率</t>
    </r>
    <r>
      <rPr>
        <sz val="11"/>
        <color theme="1"/>
        <rFont val="Arial"/>
        <family val="2"/>
      </rPr>
      <t>)
Quality measurement items are in compliance with the standard (RT defective rate, NCR and DND on-time close ratio)</t>
    </r>
  </si>
  <si>
    <r>
      <t xml:space="preserve">RT </t>
    </r>
    <r>
      <rPr>
        <sz val="11"/>
        <color theme="1"/>
        <rFont val="標楷體"/>
        <family val="4"/>
        <charset val="136"/>
      </rPr>
      <t>判片不良率≦</t>
    </r>
    <r>
      <rPr>
        <sz val="11"/>
        <color theme="1"/>
        <rFont val="Arial"/>
        <family val="2"/>
      </rPr>
      <t xml:space="preserve">2%      RT defective rate </t>
    </r>
    <r>
      <rPr>
        <sz val="11"/>
        <color theme="1"/>
        <rFont val="標楷體"/>
        <family val="4"/>
        <charset val="136"/>
      </rPr>
      <t>≦</t>
    </r>
    <r>
      <rPr>
        <sz val="11"/>
        <color theme="1"/>
        <rFont val="Arial"/>
        <family val="2"/>
      </rPr>
      <t>2% 
NCR</t>
    </r>
    <r>
      <rPr>
        <sz val="11"/>
        <color theme="1"/>
        <rFont val="標楷體"/>
        <family val="4"/>
        <charset val="136"/>
      </rPr>
      <t>結案及時率≧</t>
    </r>
    <r>
      <rPr>
        <sz val="11"/>
        <color theme="1"/>
        <rFont val="Arial"/>
        <family val="2"/>
      </rPr>
      <t xml:space="preserve">95%  NCR on-time close rate </t>
    </r>
    <r>
      <rPr>
        <sz val="11"/>
        <color theme="1"/>
        <rFont val="標楷體"/>
        <family val="4"/>
        <charset val="136"/>
      </rPr>
      <t>≧</t>
    </r>
    <r>
      <rPr>
        <sz val="11"/>
        <color theme="1"/>
        <rFont val="Arial"/>
        <family val="2"/>
      </rPr>
      <t>95%
DND</t>
    </r>
    <r>
      <rPr>
        <sz val="11"/>
        <color theme="1"/>
        <rFont val="標楷體"/>
        <family val="4"/>
        <charset val="136"/>
      </rPr>
      <t>結案及時率≧</t>
    </r>
    <r>
      <rPr>
        <sz val="11"/>
        <color theme="1"/>
        <rFont val="Arial"/>
        <family val="2"/>
      </rPr>
      <t xml:space="preserve">95% DND on-time close rate </t>
    </r>
    <r>
      <rPr>
        <sz val="11"/>
        <color theme="1"/>
        <rFont val="標楷體"/>
        <family val="4"/>
        <charset val="136"/>
      </rPr>
      <t>≧</t>
    </r>
    <r>
      <rPr>
        <sz val="11"/>
        <color theme="1"/>
        <rFont val="Arial"/>
        <family val="2"/>
      </rPr>
      <t xml:space="preserve">95%
</t>
    </r>
    <r>
      <rPr>
        <sz val="11"/>
        <color theme="1"/>
        <rFont val="標楷體"/>
        <family val="4"/>
        <charset val="136"/>
      </rPr>
      <t>文件核准率≧</t>
    </r>
    <r>
      <rPr>
        <sz val="11"/>
        <color theme="1"/>
        <rFont val="Arial"/>
        <family val="2"/>
      </rPr>
      <t>90% Documentation approval on-time rate</t>
    </r>
    <r>
      <rPr>
        <sz val="11"/>
        <color theme="1"/>
        <rFont val="標楷體"/>
        <family val="4"/>
        <charset val="136"/>
      </rPr>
      <t>≧</t>
    </r>
    <r>
      <rPr>
        <sz val="11"/>
        <color theme="1"/>
        <rFont val="Arial"/>
        <family val="2"/>
      </rPr>
      <t>90%
RFI</t>
    </r>
    <r>
      <rPr>
        <sz val="11"/>
        <color theme="1"/>
        <rFont val="標楷體"/>
        <family val="4"/>
        <charset val="136"/>
      </rPr>
      <t>合格率≧</t>
    </r>
    <r>
      <rPr>
        <sz val="11"/>
        <color theme="1"/>
        <rFont val="Arial"/>
        <family val="2"/>
      </rPr>
      <t xml:space="preserve">90%% RFI acceptance rate </t>
    </r>
    <r>
      <rPr>
        <sz val="11"/>
        <color theme="1"/>
        <rFont val="標楷體"/>
        <family val="4"/>
        <charset val="136"/>
      </rPr>
      <t>≧</t>
    </r>
    <r>
      <rPr>
        <sz val="11"/>
        <color theme="1"/>
        <rFont val="Arial"/>
        <family val="2"/>
      </rPr>
      <t>90%</t>
    </r>
  </si>
  <si>
    <r>
      <rPr>
        <sz val="11"/>
        <color theme="1"/>
        <rFont val="標楷體"/>
        <family val="4"/>
        <charset val="136"/>
      </rPr>
      <t xml:space="preserve">公司品質目標管理
</t>
    </r>
    <r>
      <rPr>
        <sz val="11"/>
        <color theme="1"/>
        <rFont val="Arial"/>
        <family val="2"/>
      </rPr>
      <t xml:space="preserve">Corporate quality management standard </t>
    </r>
  </si>
  <si>
    <t>2.1.1</t>
    <phoneticPr fontId="10" type="noConversion"/>
  </si>
  <si>
    <r>
      <rPr>
        <sz val="11"/>
        <color theme="1"/>
        <rFont val="標楷體"/>
        <family val="4"/>
        <charset val="136"/>
      </rPr>
      <t>對於品質不符合之缺失記錄</t>
    </r>
    <r>
      <rPr>
        <sz val="11"/>
        <color theme="1"/>
        <rFont val="Arial"/>
        <family val="2"/>
      </rPr>
      <t>(NCR/DND)</t>
    </r>
    <r>
      <rPr>
        <sz val="11"/>
        <color theme="1"/>
        <rFont val="標楷體"/>
        <family val="4"/>
        <charset val="136"/>
      </rPr>
      <t>是否有改善</t>
    </r>
    <r>
      <rPr>
        <sz val="11"/>
        <color theme="1"/>
        <rFont val="Arial"/>
        <family val="2"/>
      </rPr>
      <t xml:space="preserve"> / </t>
    </r>
    <r>
      <rPr>
        <sz val="11"/>
        <color theme="1"/>
        <rFont val="標楷體"/>
        <family val="4"/>
        <charset val="136"/>
      </rPr>
      <t xml:space="preserve">回覆紀錄並列冊控管。
</t>
    </r>
    <r>
      <rPr>
        <sz val="11"/>
        <color theme="1"/>
        <rFont val="Arial"/>
        <family val="2"/>
      </rPr>
      <t>Whether there is improved / reply record is listed and controlled for the non-conformance records (NCR / DND) .</t>
    </r>
  </si>
  <si>
    <r>
      <rPr>
        <sz val="11"/>
        <color theme="1"/>
        <rFont val="標楷體"/>
        <family val="4"/>
        <charset val="136"/>
      </rPr>
      <t>對於逾時未結案</t>
    </r>
    <r>
      <rPr>
        <sz val="11"/>
        <color theme="1"/>
        <rFont val="Arial"/>
        <family val="2"/>
      </rPr>
      <t>NCR/DND</t>
    </r>
    <r>
      <rPr>
        <sz val="11"/>
        <color theme="1"/>
        <rFont val="標楷體"/>
        <family val="4"/>
        <charset val="136"/>
      </rPr>
      <t xml:space="preserve">有處理、追蹤機制。
</t>
    </r>
    <r>
      <rPr>
        <sz val="11"/>
        <color theme="1"/>
        <rFont val="Arial"/>
        <family val="2"/>
      </rPr>
      <t>Follow-up mechanism is established for the overdue of improvement items.</t>
    </r>
  </si>
  <si>
    <t>ISO 9001:2015</t>
    <phoneticPr fontId="10" type="noConversion"/>
  </si>
  <si>
    <t>2.1.2</t>
    <phoneticPr fontId="10" type="noConversion"/>
  </si>
  <si>
    <r>
      <rPr>
        <sz val="11"/>
        <color theme="1"/>
        <rFont val="標楷體"/>
        <family val="4"/>
        <charset val="136"/>
      </rPr>
      <t xml:space="preserve">是否有對電銲工作資格認定、審核、管理及訓練，依標準程序辦理及發證。
</t>
    </r>
    <r>
      <rPr>
        <sz val="11"/>
        <color theme="1"/>
        <rFont val="Arial"/>
        <family val="2"/>
      </rPr>
      <t>Qualification test, audit, management and training for welder program has been set up. And certificate is issued in accordance with standard procedures.</t>
    </r>
  </si>
  <si>
    <r>
      <rPr>
        <sz val="11"/>
        <color theme="1"/>
        <rFont val="標楷體"/>
        <family val="4"/>
        <charset val="136"/>
      </rPr>
      <t xml:space="preserve">銲工資格證照有效列冊，對銲工不良率較高銲工已再教育，且獲得改善無重覆發生。
</t>
    </r>
    <r>
      <rPr>
        <sz val="11"/>
        <color theme="1"/>
        <rFont val="Arial"/>
        <family val="2"/>
      </rPr>
      <t>Welder qualification certificates are valid and registered, the higher defective rate of welder has been re-educated, and skill improved without repeat occurrence.</t>
    </r>
  </si>
  <si>
    <r>
      <rPr>
        <sz val="11"/>
        <color theme="1"/>
        <rFont val="標楷體"/>
        <family val="4"/>
        <charset val="136"/>
      </rPr>
      <t>是否依據規範及專案建造進度提送整體施工計畫、分項施工計畫，並依專案整體品質計畫及分項施工計畫提送各分項品質計畫及檢驗及測試計畫</t>
    </r>
    <r>
      <rPr>
        <sz val="11"/>
        <color theme="1"/>
        <rFont val="Arial"/>
        <family val="2"/>
      </rPr>
      <t>(ITP)</t>
    </r>
    <r>
      <rPr>
        <sz val="11"/>
        <color theme="1"/>
        <rFont val="標楷體"/>
        <family val="4"/>
        <charset val="136"/>
      </rPr>
      <t xml:space="preserve">。
</t>
    </r>
    <r>
      <rPr>
        <sz val="11"/>
        <color theme="1"/>
        <rFont val="Arial"/>
        <family val="2"/>
      </rPr>
      <t xml:space="preserve">Whether the overall construction execution plan, method statements are submitted based on project spec. and schedule, quality plan and ITP are submitted in accordance with the PQP and each method statement. </t>
    </r>
  </si>
  <si>
    <r>
      <rPr>
        <sz val="11"/>
        <color theme="1"/>
        <rFont val="標楷體"/>
        <family val="4"/>
        <charset val="136"/>
      </rPr>
      <t xml:space="preserve">在各專業開始前已提送業主，並經認可後才開始施工。
</t>
    </r>
    <r>
      <rPr>
        <sz val="11"/>
        <color theme="1"/>
        <rFont val="Arial"/>
        <family val="2"/>
      </rPr>
      <t>Plans have been submitted and approved by client before commencement of each disciplinal work.</t>
    </r>
  </si>
  <si>
    <r>
      <rPr>
        <sz val="11"/>
        <color theme="1"/>
        <rFont val="標楷體"/>
        <family val="4"/>
        <charset val="136"/>
      </rPr>
      <t>檢驗與測試計畫</t>
    </r>
    <r>
      <rPr>
        <sz val="11"/>
        <color theme="1"/>
        <rFont val="Arial"/>
        <family val="2"/>
      </rPr>
      <t>(ITP)</t>
    </r>
    <r>
      <rPr>
        <sz val="11"/>
        <color theme="1"/>
        <rFont val="標楷體"/>
        <family val="4"/>
        <charset val="136"/>
      </rPr>
      <t>，檢查項目與整體施工計畫</t>
    </r>
    <r>
      <rPr>
        <sz val="11"/>
        <color theme="1"/>
        <rFont val="Arial"/>
        <family val="2"/>
      </rPr>
      <t xml:space="preserve"> /</t>
    </r>
    <r>
      <rPr>
        <sz val="11"/>
        <color theme="1"/>
        <rFont val="標楷體"/>
        <family val="4"/>
        <charset val="136"/>
      </rPr>
      <t>整體品質計畫</t>
    </r>
    <r>
      <rPr>
        <sz val="11"/>
        <color theme="1"/>
        <rFont val="Arial"/>
        <family val="2"/>
      </rPr>
      <t>/</t>
    </r>
    <r>
      <rPr>
        <sz val="11"/>
        <color theme="1"/>
        <rFont val="標楷體"/>
        <family val="4"/>
        <charset val="136"/>
      </rPr>
      <t>分項施工計畫</t>
    </r>
    <r>
      <rPr>
        <sz val="11"/>
        <color theme="1"/>
        <rFont val="Arial"/>
        <family val="2"/>
      </rPr>
      <t>/</t>
    </r>
    <r>
      <rPr>
        <sz val="11"/>
        <color theme="1"/>
        <rFont val="標楷體"/>
        <family val="4"/>
        <charset val="136"/>
      </rPr>
      <t xml:space="preserve">分項品質計畫一致，且工地確實執行。
</t>
    </r>
    <r>
      <rPr>
        <sz val="11"/>
        <color theme="1"/>
        <rFont val="Arial"/>
        <family val="2"/>
      </rPr>
      <t>Inspection and Testing Plan (ITP), the check item is consistent with the overall construction plan / project quality plan / method statement / quality plan (each MS), and the site really performs.</t>
    </r>
  </si>
  <si>
    <r>
      <rPr>
        <sz val="11"/>
        <color theme="1"/>
        <rFont val="標楷體"/>
        <family val="4"/>
        <charset val="136"/>
      </rPr>
      <t>檢查項目確實依</t>
    </r>
    <r>
      <rPr>
        <sz val="11"/>
        <color theme="1"/>
        <rFont val="Arial"/>
        <family val="2"/>
      </rPr>
      <t>I</t>
    </r>
    <r>
      <rPr>
        <sz val="11"/>
        <color theme="1"/>
        <rFont val="標楷體"/>
        <family val="4"/>
        <charset val="136"/>
      </rPr>
      <t>、</t>
    </r>
    <r>
      <rPr>
        <sz val="11"/>
        <color theme="1"/>
        <rFont val="Arial"/>
        <family val="2"/>
      </rPr>
      <t>R</t>
    </r>
    <r>
      <rPr>
        <sz val="11"/>
        <color theme="1"/>
        <rFont val="標楷體"/>
        <family val="4"/>
        <charset val="136"/>
      </rPr>
      <t>、</t>
    </r>
    <r>
      <rPr>
        <sz val="11"/>
        <color theme="1"/>
        <rFont val="Arial"/>
        <family val="2"/>
      </rPr>
      <t>W</t>
    </r>
    <r>
      <rPr>
        <sz val="11"/>
        <color theme="1"/>
        <rFont val="標楷體"/>
        <family val="4"/>
        <charset val="136"/>
      </rPr>
      <t>、</t>
    </r>
    <r>
      <rPr>
        <sz val="11"/>
        <color theme="1"/>
        <rFont val="Arial"/>
        <family val="2"/>
      </rPr>
      <t>H</t>
    </r>
    <r>
      <rPr>
        <sz val="11"/>
        <color theme="1"/>
        <rFont val="標楷體"/>
        <family val="4"/>
        <charset val="136"/>
      </rPr>
      <t>執行。自主檢查表項目與</t>
    </r>
    <r>
      <rPr>
        <sz val="11"/>
        <color theme="1"/>
        <rFont val="Arial"/>
        <family val="2"/>
      </rPr>
      <t>ITP</t>
    </r>
    <r>
      <rPr>
        <sz val="11"/>
        <color theme="1"/>
        <rFont val="標楷體"/>
        <family val="4"/>
        <charset val="136"/>
      </rPr>
      <t xml:space="preserve">一致，由建造工程師檢查完畢後當場簽名，未有事後補簽名情形。
</t>
    </r>
    <r>
      <rPr>
        <sz val="11"/>
        <color theme="1"/>
        <rFont val="Arial"/>
        <family val="2"/>
      </rPr>
      <t>Check item indeed executed by I, R, W, H. self-checklist items consistent with ITP, signed by the construction engineer at site, inspection has been completed and no afterthought signature.</t>
    </r>
  </si>
  <si>
    <r>
      <rPr>
        <sz val="11"/>
        <color theme="1"/>
        <rFont val="標楷體"/>
        <family val="4"/>
        <charset val="136"/>
      </rPr>
      <t xml:space="preserve">公共工程品質計畫製作綱要
</t>
    </r>
    <r>
      <rPr>
        <sz val="11"/>
        <color theme="1"/>
        <rFont val="Arial"/>
        <family val="2"/>
      </rPr>
      <t>I=Inspection, examination or test
R=Review of inspection and test report
W=Witness
H=Hold Point</t>
    </r>
  </si>
  <si>
    <t>2.4</t>
    <phoneticPr fontId="10" type="noConversion"/>
  </si>
  <si>
    <r>
      <rPr>
        <sz val="11"/>
        <color theme="1"/>
        <rFont val="標楷體"/>
        <family val="4"/>
        <charset val="136"/>
      </rPr>
      <t>是否落實器材保養</t>
    </r>
    <r>
      <rPr>
        <sz val="11"/>
        <color theme="1"/>
        <rFont val="Arial"/>
        <family val="2"/>
      </rPr>
      <t>/</t>
    </r>
    <r>
      <rPr>
        <sz val="11"/>
        <color theme="1"/>
        <rFont val="標楷體"/>
        <family val="4"/>
        <charset val="136"/>
      </rPr>
      <t>儲存</t>
    </r>
    <r>
      <rPr>
        <sz val="11"/>
        <color theme="1"/>
        <rFont val="Arial"/>
        <family val="2"/>
      </rPr>
      <t>/</t>
    </r>
    <r>
      <rPr>
        <sz val="11"/>
        <color theme="1"/>
        <rFont val="標楷體"/>
        <family val="4"/>
        <charset val="136"/>
      </rPr>
      <t xml:space="preserve">維護作業並有記錄存查。
</t>
    </r>
    <r>
      <rPr>
        <sz val="11"/>
        <color theme="1"/>
        <rFont val="Arial"/>
        <family val="2"/>
      </rPr>
      <t>Site really carried out material/equipment preservation, store and maintenance, and the records are kept.</t>
    </r>
  </si>
  <si>
    <r>
      <rPr>
        <sz val="11"/>
        <color theme="1"/>
        <rFont val="標楷體"/>
        <family val="4"/>
        <charset val="136"/>
      </rPr>
      <t>各專業器材</t>
    </r>
    <r>
      <rPr>
        <sz val="11"/>
        <color theme="1"/>
        <rFont val="Arial"/>
        <family val="2"/>
      </rPr>
      <t>(</t>
    </r>
    <r>
      <rPr>
        <sz val="11"/>
        <color theme="1"/>
        <rFont val="標楷體"/>
        <family val="4"/>
        <charset val="136"/>
      </rPr>
      <t>電</t>
    </r>
    <r>
      <rPr>
        <sz val="11"/>
        <color theme="1"/>
        <rFont val="Arial"/>
        <family val="2"/>
      </rPr>
      <t>/</t>
    </r>
    <r>
      <rPr>
        <sz val="11"/>
        <color theme="1"/>
        <rFont val="標楷體"/>
        <family val="4"/>
        <charset val="136"/>
      </rPr>
      <t>儀</t>
    </r>
    <r>
      <rPr>
        <sz val="11"/>
        <color theme="1"/>
        <rFont val="Arial"/>
        <family val="2"/>
      </rPr>
      <t>/</t>
    </r>
    <r>
      <rPr>
        <sz val="11"/>
        <color theme="1"/>
        <rFont val="標楷體"/>
        <family val="4"/>
        <charset val="136"/>
      </rPr>
      <t>設備</t>
    </r>
    <r>
      <rPr>
        <sz val="11"/>
        <color theme="1"/>
        <rFont val="Arial"/>
        <family val="2"/>
      </rPr>
      <t>/</t>
    </r>
    <r>
      <rPr>
        <sz val="11"/>
        <color theme="1"/>
        <rFont val="標楷體"/>
        <family val="4"/>
        <charset val="136"/>
      </rPr>
      <t>管材</t>
    </r>
    <r>
      <rPr>
        <sz val="11"/>
        <color theme="1"/>
        <rFont val="Arial"/>
        <family val="2"/>
      </rPr>
      <t xml:space="preserve">) </t>
    </r>
    <r>
      <rPr>
        <sz val="11"/>
        <color theme="1"/>
        <rFont val="標楷體"/>
        <family val="4"/>
        <charset val="136"/>
      </rPr>
      <t>皆已建立</t>
    </r>
    <r>
      <rPr>
        <sz val="11"/>
        <color theme="1"/>
        <rFont val="Arial"/>
        <family val="2"/>
      </rPr>
      <t xml:space="preserve"> a. </t>
    </r>
    <r>
      <rPr>
        <sz val="11"/>
        <color theme="1"/>
        <rFont val="標楷體"/>
        <family val="4"/>
        <charset val="136"/>
      </rPr>
      <t>儲存維護計畫</t>
    </r>
    <r>
      <rPr>
        <sz val="11"/>
        <color theme="1"/>
        <rFont val="Arial"/>
        <family val="2"/>
      </rPr>
      <t xml:space="preserve"> b.</t>
    </r>
    <r>
      <rPr>
        <sz val="11"/>
        <color theme="1"/>
        <rFont val="標楷體"/>
        <family val="4"/>
        <charset val="136"/>
      </rPr>
      <t>控制表</t>
    </r>
    <r>
      <rPr>
        <sz val="11"/>
        <color theme="1"/>
        <rFont val="Arial"/>
        <family val="2"/>
      </rPr>
      <t xml:space="preserve"> c.</t>
    </r>
    <r>
      <rPr>
        <sz val="11"/>
        <color theme="1"/>
        <rFont val="標楷體"/>
        <family val="4"/>
        <charset val="136"/>
      </rPr>
      <t>組織</t>
    </r>
    <r>
      <rPr>
        <sz val="11"/>
        <color theme="1"/>
        <rFont val="Arial"/>
        <family val="2"/>
      </rPr>
      <t xml:space="preserve"> </t>
    </r>
    <r>
      <rPr>
        <sz val="11"/>
        <color theme="1"/>
        <rFont val="標楷體"/>
        <family val="4"/>
        <charset val="136"/>
      </rPr>
      <t>，並有</t>
    </r>
    <r>
      <rPr>
        <sz val="11"/>
        <color theme="1"/>
        <rFont val="Arial"/>
        <family val="2"/>
      </rPr>
      <t>d.</t>
    </r>
    <r>
      <rPr>
        <sz val="11"/>
        <color theme="1"/>
        <rFont val="標楷體"/>
        <family val="4"/>
        <charset val="136"/>
      </rPr>
      <t xml:space="preserve">儲存維護記錄
</t>
    </r>
    <r>
      <rPr>
        <sz val="11"/>
        <color theme="1"/>
        <rFont val="Arial"/>
        <family val="2"/>
      </rPr>
      <t>"Each discipline has established (electrical / instrument / equipment / piping ) a. Storage preservation plan b. Control log c. Organization d. Storage preservation records "</t>
    </r>
  </si>
  <si>
    <r>
      <t xml:space="preserve">DMDQ-004-B </t>
    </r>
    <r>
      <rPr>
        <sz val="11"/>
        <color theme="1"/>
        <rFont val="標楷體"/>
        <family val="4"/>
        <charset val="136"/>
      </rPr>
      <t>工地器材維護作業程序書</t>
    </r>
    <r>
      <rPr>
        <sz val="11"/>
        <color theme="1"/>
        <rFont val="Arial"/>
        <family val="2"/>
      </rPr>
      <t xml:space="preserve"> Site material and equipment preservation working procedure</t>
    </r>
  </si>
  <si>
    <t>2.5</t>
    <phoneticPr fontId="10" type="noConversion"/>
  </si>
  <si>
    <r>
      <rPr>
        <sz val="11"/>
        <color theme="1"/>
        <rFont val="標楷體"/>
        <family val="4"/>
        <charset val="136"/>
      </rPr>
      <t xml:space="preserve">專案工地經理全力推動『工地施工品質競賽』，並建立獎懲辦法。
</t>
    </r>
    <r>
      <rPr>
        <sz val="11"/>
        <color theme="1"/>
        <rFont val="Arial"/>
        <family val="2"/>
      </rPr>
      <t>PSM efforts to promote "site quality competition," and incentive/penalty program is established.</t>
    </r>
  </si>
  <si>
    <r>
      <rPr>
        <sz val="11"/>
        <color theme="1"/>
        <rFont val="標楷體"/>
        <family val="4"/>
        <charset val="136"/>
      </rPr>
      <t>施工組</t>
    </r>
    <r>
      <rPr>
        <sz val="11"/>
        <color theme="1"/>
        <rFont val="Arial"/>
        <family val="2"/>
      </rPr>
      <t>(</t>
    </r>
    <r>
      <rPr>
        <sz val="11"/>
        <color theme="1"/>
        <rFont val="標楷體"/>
        <family val="4"/>
        <charset val="136"/>
      </rPr>
      <t>含協力廠商及監工</t>
    </r>
    <r>
      <rPr>
        <sz val="11"/>
        <color theme="1"/>
        <rFont val="Arial"/>
        <family val="2"/>
      </rPr>
      <t>)</t>
    </r>
    <r>
      <rPr>
        <sz val="11"/>
        <color theme="1"/>
        <rFont val="標楷體"/>
        <family val="4"/>
        <charset val="136"/>
      </rPr>
      <t xml:space="preserve">、品管組皆確實執行。
</t>
    </r>
    <r>
      <rPr>
        <sz val="11"/>
        <color theme="1"/>
        <rFont val="Arial"/>
        <family val="2"/>
      </rPr>
      <t>Construction unit (subcontractor and supervisor) and QC team are indeed executed.</t>
    </r>
  </si>
  <si>
    <r>
      <t xml:space="preserve">DMDQ-001-B </t>
    </r>
    <r>
      <rPr>
        <sz val="11"/>
        <color theme="1"/>
        <rFont val="標楷體"/>
        <family val="4"/>
        <charset val="136"/>
      </rPr>
      <t>建造品質管理規則</t>
    </r>
    <r>
      <rPr>
        <sz val="11"/>
        <color theme="1"/>
        <rFont val="Arial"/>
        <family val="2"/>
      </rPr>
      <t xml:space="preserve"> Construction quality management working procedure</t>
    </r>
  </si>
  <si>
    <t>2.6</t>
  </si>
  <si>
    <r>
      <rPr>
        <sz val="11"/>
        <color theme="1"/>
        <rFont val="標楷體"/>
        <family val="4"/>
        <charset val="136"/>
      </rPr>
      <t>是否擬定工地年度內部品質稽核計畫及對各組及協力廠商施行稽核。</t>
    </r>
    <r>
      <rPr>
        <sz val="11"/>
        <color theme="1"/>
        <rFont val="Arial"/>
        <family val="2"/>
      </rPr>
      <t>SQM provides annually internal audit plan to conduct audit for each discipline and sub-contractor.</t>
    </r>
  </si>
  <si>
    <r>
      <rPr>
        <sz val="11"/>
        <color theme="1"/>
        <rFont val="標楷體"/>
        <family val="4"/>
        <charset val="136"/>
      </rPr>
      <t>依擬定稽核計畫及完成內部稽核事項。</t>
    </r>
    <r>
      <rPr>
        <sz val="11"/>
        <color theme="1"/>
        <rFont val="Arial"/>
        <family val="2"/>
      </rPr>
      <t>According to audit plan and complete the audit items.</t>
    </r>
  </si>
  <si>
    <r>
      <t xml:space="preserve">DMDQ-001-B </t>
    </r>
    <r>
      <rPr>
        <sz val="11"/>
        <color theme="1"/>
        <rFont val="標楷體"/>
        <family val="4"/>
        <charset val="136"/>
      </rPr>
      <t xml:space="preserve">建造品質管理作業程序
</t>
    </r>
    <r>
      <rPr>
        <sz val="11"/>
        <color theme="1"/>
        <rFont val="Arial"/>
        <family val="2"/>
      </rPr>
      <t>Construction Quality Management Working Procedure</t>
    </r>
  </si>
  <si>
    <t>2.7</t>
  </si>
  <si>
    <r>
      <rPr>
        <sz val="11"/>
        <color theme="1"/>
        <rFont val="標楷體"/>
        <family val="4"/>
        <charset val="136"/>
      </rPr>
      <t>是否落實執行量測儀器及設備管制。</t>
    </r>
    <r>
      <rPr>
        <sz val="11"/>
        <color theme="1"/>
        <rFont val="Arial"/>
        <family val="2"/>
      </rPr>
      <t>Whether instrument measurement and equipment control is exactly implemented or not?</t>
    </r>
  </si>
  <si>
    <r>
      <rPr>
        <sz val="11"/>
        <color theme="1"/>
        <rFont val="標楷體"/>
        <family val="4"/>
        <charset val="136"/>
      </rPr>
      <t>依程序書完成量測儀器及設備管制。</t>
    </r>
    <r>
      <rPr>
        <sz val="11"/>
        <color theme="1"/>
        <rFont val="Arial"/>
        <family val="2"/>
      </rPr>
      <t>Instrument / equipment is controlled according to the procedure.</t>
    </r>
  </si>
  <si>
    <r>
      <t xml:space="preserve">DMDA-057-B </t>
    </r>
    <r>
      <rPr>
        <sz val="11"/>
        <color theme="1"/>
        <rFont val="標楷體"/>
        <family val="4"/>
        <charset val="136"/>
      </rPr>
      <t>建造部量測儀器</t>
    </r>
    <r>
      <rPr>
        <sz val="11"/>
        <color theme="1"/>
        <rFont val="Arial"/>
        <family val="2"/>
      </rPr>
      <t>_</t>
    </r>
    <r>
      <rPr>
        <sz val="11"/>
        <color theme="1"/>
        <rFont val="標楷體"/>
        <family val="4"/>
        <charset val="136"/>
      </rPr>
      <t xml:space="preserve">設備管制程序
</t>
    </r>
    <r>
      <rPr>
        <sz val="11"/>
        <color theme="1"/>
        <rFont val="Arial"/>
        <family val="2"/>
      </rPr>
      <t>Measuring Instrument / Equipment Control Procedure of Construction Division</t>
    </r>
  </si>
  <si>
    <t>2.8</t>
  </si>
  <si>
    <r>
      <rPr>
        <sz val="11"/>
        <color theme="1"/>
        <rFont val="標楷體"/>
        <family val="4"/>
        <charset val="136"/>
      </rPr>
      <t>是否落實執行銲材管理。</t>
    </r>
    <r>
      <rPr>
        <sz val="11"/>
        <color theme="1"/>
        <rFont val="Arial"/>
        <family val="2"/>
      </rPr>
      <t>Whether welding material control is exactly implemented or not?</t>
    </r>
  </si>
  <si>
    <r>
      <rPr>
        <sz val="11"/>
        <color theme="1"/>
        <rFont val="標楷體"/>
        <family val="4"/>
        <charset val="136"/>
      </rPr>
      <t xml:space="preserve">銲材依程序要求管理
</t>
    </r>
    <r>
      <rPr>
        <sz val="11"/>
        <color theme="1"/>
        <rFont val="Arial"/>
        <family val="2"/>
      </rPr>
      <t xml:space="preserve">Welding material has been controlled in accordance with procedure requirements. </t>
    </r>
  </si>
  <si>
    <t>2.9</t>
  </si>
  <si>
    <r>
      <t>NDE</t>
    </r>
    <r>
      <rPr>
        <sz val="11"/>
        <color theme="1"/>
        <rFont val="標楷體"/>
        <family val="4"/>
        <charset val="136"/>
      </rPr>
      <t>檢驗報告資料是否完善建立及存查</t>
    </r>
    <r>
      <rPr>
        <sz val="11"/>
        <color theme="1"/>
        <rFont val="Arial"/>
        <family val="2"/>
      </rPr>
      <t xml:space="preserve"> Whether the NDE reports are completely filed and kept for reference or not?</t>
    </r>
  </si>
  <si>
    <r>
      <rPr>
        <sz val="11"/>
        <color theme="1"/>
        <rFont val="標楷體"/>
        <family val="4"/>
        <charset val="136"/>
      </rPr>
      <t>依程序要求建立及維護相關紀錄</t>
    </r>
    <r>
      <rPr>
        <sz val="11"/>
        <color theme="1"/>
        <rFont val="Arial"/>
        <family val="2"/>
      </rPr>
      <t xml:space="preserve">  Prepare &amp; maintain inspection report as the procedure requirement. </t>
    </r>
  </si>
  <si>
    <t>2.10</t>
  </si>
  <si>
    <r>
      <t>PMI</t>
    </r>
    <r>
      <rPr>
        <sz val="11"/>
        <color theme="1"/>
        <rFont val="標楷體"/>
        <family val="4"/>
        <charset val="136"/>
      </rPr>
      <t>檢驗報告資料是否已建立及存查，且其檢測人員是否依規定完成訓練及資格取得。</t>
    </r>
    <r>
      <rPr>
        <sz val="11"/>
        <color theme="1"/>
        <rFont val="Arial"/>
        <family val="2"/>
      </rPr>
      <t>Whether PMI reports are filed and kept for reference or not? and the inspectors are trained and certificated according to the procedure.</t>
    </r>
  </si>
  <si>
    <r>
      <rPr>
        <sz val="11"/>
        <color theme="1"/>
        <rFont val="標楷體"/>
        <family val="4"/>
        <charset val="136"/>
      </rPr>
      <t>依程序要求完成人員訓練及建立</t>
    </r>
    <r>
      <rPr>
        <sz val="11"/>
        <color theme="1"/>
        <rFont val="Arial"/>
        <family val="2"/>
      </rPr>
      <t>PMI</t>
    </r>
    <r>
      <rPr>
        <sz val="11"/>
        <color theme="1"/>
        <rFont val="標楷體"/>
        <family val="4"/>
        <charset val="136"/>
      </rPr>
      <t xml:space="preserve">檢驗紀錄
</t>
    </r>
    <r>
      <rPr>
        <sz val="11"/>
        <color theme="1"/>
        <rFont val="Arial"/>
        <family val="2"/>
      </rPr>
      <t xml:space="preserve">Complete inspector training &amp; certificating, and inspection report as procedure requirements. </t>
    </r>
  </si>
  <si>
    <t>2.11</t>
  </si>
  <si>
    <r>
      <rPr>
        <sz val="11"/>
        <color theme="1"/>
        <rFont val="標楷體"/>
        <family val="4"/>
        <charset val="136"/>
      </rPr>
      <t>銲後熱處理及硬度試驗檢驗報告資料是否依程序建立及存查。</t>
    </r>
    <r>
      <rPr>
        <sz val="11"/>
        <color theme="1"/>
        <rFont val="Arial"/>
        <family val="2"/>
      </rPr>
      <t>Whether the test report of PWHT &amp; Hardness is filed and kept for reference or not?</t>
    </r>
  </si>
  <si>
    <r>
      <rPr>
        <sz val="11"/>
        <color theme="1"/>
        <rFont val="標楷體"/>
        <family val="4"/>
        <charset val="136"/>
      </rPr>
      <t xml:space="preserve">依程序要求建立及維護相關紀錄
</t>
    </r>
    <r>
      <rPr>
        <sz val="11"/>
        <color theme="1"/>
        <rFont val="Arial"/>
        <family val="2"/>
      </rPr>
      <t>Prepare &amp; maintain inspection report as the procedure requirements.</t>
    </r>
  </si>
  <si>
    <t>2.12</t>
  </si>
  <si>
    <r>
      <rPr>
        <sz val="11"/>
        <color theme="1"/>
        <rFont val="標楷體"/>
        <family val="4"/>
        <charset val="136"/>
      </rPr>
      <t>各類專業人員</t>
    </r>
    <r>
      <rPr>
        <sz val="11"/>
        <color theme="1"/>
        <rFont val="Arial"/>
        <family val="2"/>
      </rPr>
      <t>(</t>
    </r>
    <r>
      <rPr>
        <sz val="11"/>
        <color theme="1"/>
        <rFont val="標楷體"/>
        <family val="4"/>
        <charset val="136"/>
      </rPr>
      <t>如</t>
    </r>
    <r>
      <rPr>
        <sz val="11"/>
        <color theme="1"/>
        <rFont val="Arial"/>
        <family val="2"/>
      </rPr>
      <t>NDE,</t>
    </r>
    <r>
      <rPr>
        <sz val="11"/>
        <color theme="1"/>
        <rFont val="標楷體"/>
        <family val="4"/>
        <charset val="136"/>
      </rPr>
      <t>公共工程品管工程師</t>
    </r>
    <r>
      <rPr>
        <sz val="11"/>
        <color theme="1"/>
        <rFont val="Arial"/>
        <family val="2"/>
      </rPr>
      <t>)</t>
    </r>
    <r>
      <rPr>
        <sz val="11"/>
        <color theme="1"/>
        <rFont val="標楷體"/>
        <family val="4"/>
        <charset val="136"/>
      </rPr>
      <t>資格及證照管制。</t>
    </r>
    <r>
      <rPr>
        <sz val="11"/>
        <color theme="1"/>
        <rFont val="Arial"/>
        <family val="2"/>
      </rPr>
      <t>Management of certificate is complete. (NDE personnel and public construction QC engineer).</t>
    </r>
  </si>
  <si>
    <r>
      <rPr>
        <sz val="11"/>
        <color theme="1"/>
        <rFont val="標楷體"/>
        <family val="4"/>
        <charset val="136"/>
      </rPr>
      <t xml:space="preserve">妥善列冊管制各類專業人員證照狀況
</t>
    </r>
    <r>
      <rPr>
        <sz val="11"/>
        <color theme="1"/>
        <rFont val="Arial"/>
        <family val="2"/>
      </rPr>
      <t xml:space="preserve">Professional certificates valid status are registered with control log appropriately .
</t>
    </r>
  </si>
  <si>
    <t>2.13</t>
  </si>
  <si>
    <r>
      <rPr>
        <sz val="11"/>
        <color theme="1"/>
        <rFont val="標楷體"/>
        <family val="4"/>
        <charset val="136"/>
      </rPr>
      <t>是否已依程序執行</t>
    </r>
    <r>
      <rPr>
        <sz val="11"/>
        <color theme="1"/>
        <rFont val="Arial"/>
        <family val="2"/>
      </rPr>
      <t>RFI(Request For Inspection)</t>
    </r>
    <r>
      <rPr>
        <sz val="11"/>
        <color theme="1"/>
        <rFont val="標楷體"/>
        <family val="4"/>
        <charset val="136"/>
      </rPr>
      <t>相關申請及管控流程作業。</t>
    </r>
    <r>
      <rPr>
        <sz val="11"/>
        <color theme="1"/>
        <rFont val="Arial"/>
        <family val="2"/>
      </rPr>
      <t>Whether RFI system is applied to manage the application for inspection or not?</t>
    </r>
  </si>
  <si>
    <r>
      <t xml:space="preserve">1. </t>
    </r>
    <r>
      <rPr>
        <sz val="11"/>
        <color theme="1"/>
        <rFont val="標楷體"/>
        <family val="4"/>
        <charset val="136"/>
      </rPr>
      <t>依</t>
    </r>
    <r>
      <rPr>
        <sz val="11"/>
        <color theme="1"/>
        <rFont val="Arial"/>
        <family val="2"/>
      </rPr>
      <t>ITP</t>
    </r>
    <r>
      <rPr>
        <sz val="11"/>
        <color theme="1"/>
        <rFont val="標楷體"/>
        <family val="4"/>
        <charset val="136"/>
      </rPr>
      <t>檢驗點要求提送及完成</t>
    </r>
    <r>
      <rPr>
        <sz val="11"/>
        <color theme="1"/>
        <rFont val="Arial"/>
        <family val="2"/>
      </rPr>
      <t>RFI</t>
    </r>
    <r>
      <rPr>
        <sz val="11"/>
        <color theme="1"/>
        <rFont val="標楷體"/>
        <family val="4"/>
        <charset val="136"/>
      </rPr>
      <t xml:space="preserve">申請與會驗流程。
</t>
    </r>
    <r>
      <rPr>
        <sz val="11"/>
        <color theme="1"/>
        <rFont val="Arial"/>
        <family val="2"/>
      </rPr>
      <t xml:space="preserve">Based on the inspection point defined in ITP submitted and completed AFI activities.
2. </t>
    </r>
    <r>
      <rPr>
        <sz val="11"/>
        <color theme="1"/>
        <rFont val="標楷體"/>
        <family val="4"/>
        <charset val="136"/>
      </rPr>
      <t>使用</t>
    </r>
    <r>
      <rPr>
        <sz val="11"/>
        <color theme="1"/>
        <rFont val="Arial"/>
        <family val="2"/>
      </rPr>
      <t>RFI</t>
    </r>
    <r>
      <rPr>
        <sz val="11"/>
        <color theme="1"/>
        <rFont val="標楷體"/>
        <family val="4"/>
        <charset val="136"/>
      </rPr>
      <t>模組</t>
    </r>
    <r>
      <rPr>
        <sz val="11"/>
        <color theme="1"/>
        <rFont val="Arial"/>
        <family val="2"/>
      </rPr>
      <t xml:space="preserve">, </t>
    </r>
    <r>
      <rPr>
        <sz val="11"/>
        <color theme="1"/>
        <rFont val="標楷體"/>
        <family val="4"/>
        <charset val="136"/>
      </rPr>
      <t>並落實</t>
    </r>
    <r>
      <rPr>
        <sz val="11"/>
        <color theme="1"/>
        <rFont val="Arial"/>
        <family val="2"/>
      </rPr>
      <t>RFI</t>
    </r>
    <r>
      <rPr>
        <sz val="11"/>
        <color theme="1"/>
        <rFont val="標楷體"/>
        <family val="4"/>
        <charset val="136"/>
      </rPr>
      <t xml:space="preserve">的統計。
</t>
    </r>
    <r>
      <rPr>
        <sz val="11"/>
        <color theme="1"/>
        <rFont val="Arial"/>
        <family val="2"/>
      </rPr>
      <t>Site uses RFI module and gathers the statistic of RFI indeed.</t>
    </r>
  </si>
  <si>
    <r>
      <t>Part 8 Question (</t>
    </r>
    <r>
      <rPr>
        <sz val="11"/>
        <color rgb="FF0000CC"/>
        <rFont val="標楷體"/>
        <family val="4"/>
        <charset val="136"/>
      </rPr>
      <t>既有查</t>
    </r>
    <r>
      <rPr>
        <sz val="11"/>
        <color rgb="FF0000CC"/>
        <rFont val="Arial"/>
        <family val="2"/>
      </rPr>
      <t xml:space="preserve">RFI)
</t>
    </r>
    <r>
      <rPr>
        <sz val="11"/>
        <color rgb="FF0000CC"/>
        <rFont val="標楷體"/>
        <family val="4"/>
        <charset val="136"/>
      </rPr>
      <t>建造</t>
    </r>
    <r>
      <rPr>
        <sz val="11"/>
        <color rgb="FF0000CC"/>
        <rFont val="Arial"/>
        <family val="2"/>
      </rPr>
      <t>punch</t>
    </r>
    <r>
      <rPr>
        <sz val="11"/>
        <color rgb="FF0000CC"/>
        <rFont val="標楷體"/>
        <family val="4"/>
        <charset val="136"/>
      </rPr>
      <t>與</t>
    </r>
    <r>
      <rPr>
        <sz val="11"/>
        <color rgb="FF0000CC"/>
        <rFont val="Arial"/>
        <family val="2"/>
      </rPr>
      <t>RFI</t>
    </r>
    <r>
      <rPr>
        <sz val="11"/>
        <color rgb="FF0000CC"/>
        <rFont val="標楷體"/>
        <family val="4"/>
        <charset val="136"/>
      </rPr>
      <t>控管制度建立</t>
    </r>
  </si>
  <si>
    <t>2.14</t>
    <phoneticPr fontId="10" type="noConversion"/>
  </si>
  <si>
    <r>
      <rPr>
        <sz val="11"/>
        <color theme="1"/>
        <rFont val="標楷體"/>
        <family val="4"/>
        <charset val="136"/>
      </rPr>
      <t>建造</t>
    </r>
    <r>
      <rPr>
        <sz val="11"/>
        <color theme="1"/>
        <rFont val="Arial"/>
        <family val="2"/>
      </rPr>
      <t>QVD/critical QVD</t>
    </r>
    <r>
      <rPr>
        <sz val="11"/>
        <color theme="1"/>
        <rFont val="標楷體"/>
        <family val="4"/>
        <charset val="136"/>
      </rPr>
      <t>及相關移交文件皆已訂定。</t>
    </r>
    <r>
      <rPr>
        <sz val="11"/>
        <color theme="1"/>
        <rFont val="Arial"/>
        <family val="2"/>
      </rPr>
      <t>Construction QVD / critical QVD and relevant document are defined.</t>
    </r>
  </si>
  <si>
    <r>
      <rPr>
        <sz val="11"/>
        <color theme="1"/>
        <rFont val="標楷體"/>
        <family val="4"/>
        <charset val="136"/>
      </rPr>
      <t>依</t>
    </r>
    <r>
      <rPr>
        <sz val="11"/>
        <color theme="1"/>
        <rFont val="Arial"/>
        <family val="2"/>
      </rPr>
      <t>ITP</t>
    </r>
    <r>
      <rPr>
        <sz val="11"/>
        <color theme="1"/>
        <rFont val="標楷體"/>
        <family val="4"/>
        <charset val="136"/>
      </rPr>
      <t>檢驗點訂定</t>
    </r>
    <r>
      <rPr>
        <sz val="11"/>
        <color theme="1"/>
        <rFont val="Arial"/>
        <family val="2"/>
      </rPr>
      <t xml:space="preserve">QVD/critical QVD, </t>
    </r>
    <r>
      <rPr>
        <sz val="11"/>
        <color theme="1"/>
        <rFont val="標楷體"/>
        <family val="4"/>
        <charset val="136"/>
      </rPr>
      <t>並經業主核准。</t>
    </r>
    <r>
      <rPr>
        <sz val="11"/>
        <color theme="1"/>
        <rFont val="Arial"/>
        <family val="2"/>
      </rPr>
      <t>Based on the inspection point defined in ITP to define QVD/critical QVD and approved by client.</t>
    </r>
  </si>
  <si>
    <t>3.0</t>
    <phoneticPr fontId="10" type="noConversion"/>
  </si>
  <si>
    <r>
      <rPr>
        <b/>
        <sz val="11"/>
        <color theme="1"/>
        <rFont val="標楷體"/>
        <family val="4"/>
        <charset val="136"/>
      </rPr>
      <t>教育訓練</t>
    </r>
    <r>
      <rPr>
        <b/>
        <sz val="11"/>
        <color theme="1"/>
        <rFont val="Arial"/>
        <family val="2"/>
      </rPr>
      <t xml:space="preserve"> (</t>
    </r>
    <r>
      <rPr>
        <b/>
        <sz val="11"/>
        <color theme="1"/>
        <rFont val="標楷體"/>
        <family val="4"/>
        <charset val="136"/>
      </rPr>
      <t>專業能力訓練</t>
    </r>
    <r>
      <rPr>
        <b/>
        <sz val="11"/>
        <color theme="1"/>
        <rFont val="Arial"/>
        <family val="2"/>
      </rPr>
      <t>) Education (specialist training)</t>
    </r>
  </si>
  <si>
    <r>
      <t xml:space="preserve">SCM signature </t>
    </r>
    <r>
      <rPr>
        <b/>
        <sz val="11"/>
        <color theme="1"/>
        <rFont val="標楷體"/>
        <family val="4"/>
        <charset val="136"/>
      </rPr>
      <t>負責人簽名</t>
    </r>
  </si>
  <si>
    <t>3.1</t>
  </si>
  <si>
    <r>
      <rPr>
        <sz val="11"/>
        <color theme="1"/>
        <rFont val="標楷體"/>
        <family val="4"/>
        <charset val="136"/>
      </rPr>
      <t xml:space="preserve">工地年度訓練計畫。
</t>
    </r>
    <r>
      <rPr>
        <sz val="11"/>
        <color theme="1"/>
        <rFont val="Arial"/>
        <family val="2"/>
      </rPr>
      <t>Site annually training plan.</t>
    </r>
  </si>
  <si>
    <r>
      <rPr>
        <sz val="11"/>
        <color theme="1"/>
        <rFont val="標楷體"/>
        <family val="4"/>
        <charset val="136"/>
      </rPr>
      <t>如期繳交，內需含部門指定課程</t>
    </r>
    <r>
      <rPr>
        <sz val="11"/>
        <color theme="1"/>
        <rFont val="Arial"/>
        <family val="2"/>
      </rPr>
      <t>(</t>
    </r>
    <r>
      <rPr>
        <sz val="11"/>
        <color theme="1"/>
        <rFont val="標楷體"/>
        <family val="4"/>
        <charset val="136"/>
      </rPr>
      <t>如</t>
    </r>
    <r>
      <rPr>
        <sz val="11"/>
        <color theme="1"/>
        <rFont val="Arial"/>
        <family val="2"/>
      </rPr>
      <t>CP</t>
    </r>
    <r>
      <rPr>
        <sz val="11"/>
        <color theme="1"/>
        <rFont val="標楷體"/>
        <family val="4"/>
        <charset val="136"/>
      </rPr>
      <t>、</t>
    </r>
    <r>
      <rPr>
        <sz val="11"/>
        <color theme="1"/>
        <rFont val="Arial"/>
        <family val="2"/>
      </rPr>
      <t>CEP</t>
    </r>
    <r>
      <rPr>
        <sz val="11"/>
        <color theme="1"/>
        <rFont val="標楷體"/>
        <family val="4"/>
        <charset val="136"/>
      </rPr>
      <t>、程序書</t>
    </r>
    <r>
      <rPr>
        <sz val="11"/>
        <color theme="1"/>
        <rFont val="Arial"/>
        <family val="2"/>
      </rPr>
      <t>)</t>
    </r>
    <r>
      <rPr>
        <sz val="11"/>
        <color theme="1"/>
        <rFont val="標楷體"/>
        <family val="4"/>
        <charset val="136"/>
      </rPr>
      <t xml:space="preserve">。
</t>
    </r>
    <r>
      <rPr>
        <sz val="11"/>
        <color theme="1"/>
        <rFont val="Arial"/>
        <family val="2"/>
      </rPr>
      <t>Summit on time, CP, CEP and construction procedure should be included.</t>
    </r>
  </si>
  <si>
    <r>
      <rPr>
        <sz val="11"/>
        <color theme="1"/>
        <rFont val="標楷體"/>
        <family val="4"/>
        <charset val="136"/>
      </rPr>
      <t xml:space="preserve">工地年度訓練計畫
</t>
    </r>
    <r>
      <rPr>
        <sz val="11"/>
        <color theme="1"/>
        <rFont val="Arial"/>
        <family val="2"/>
      </rPr>
      <t>Site annual training plan</t>
    </r>
  </si>
  <si>
    <t>3.2</t>
  </si>
  <si>
    <r>
      <rPr>
        <sz val="11"/>
        <color theme="1"/>
        <rFont val="標楷體"/>
        <family val="4"/>
        <charset val="136"/>
      </rPr>
      <t xml:space="preserve">工地自訓上課完成率
</t>
    </r>
    <r>
      <rPr>
        <sz val="11"/>
        <color theme="1"/>
        <rFont val="Arial"/>
        <family val="2"/>
      </rPr>
      <t>Site training completion rate.</t>
    </r>
  </si>
  <si>
    <r>
      <rPr>
        <sz val="11"/>
        <color theme="1"/>
        <rFont val="標楷體"/>
        <family val="4"/>
        <charset val="136"/>
      </rPr>
      <t>完成訓練人數達</t>
    </r>
    <r>
      <rPr>
        <sz val="11"/>
        <color theme="1"/>
        <rFont val="Arial"/>
        <family val="2"/>
      </rPr>
      <t xml:space="preserve">95% 
Completion rate </t>
    </r>
    <r>
      <rPr>
        <sz val="11"/>
        <color theme="1"/>
        <rFont val="標楷體"/>
        <family val="4"/>
        <charset val="136"/>
      </rPr>
      <t>≧</t>
    </r>
    <r>
      <rPr>
        <sz val="11"/>
        <color theme="1"/>
        <rFont val="Arial"/>
        <family val="2"/>
      </rPr>
      <t xml:space="preserve"> 95%</t>
    </r>
  </si>
  <si>
    <r>
      <t xml:space="preserve">DMDA-053-B </t>
    </r>
    <r>
      <rPr>
        <sz val="11"/>
        <color theme="1"/>
        <rFont val="標楷體"/>
        <family val="4"/>
        <charset val="136"/>
      </rPr>
      <t>建造部人員訓練準則</t>
    </r>
    <r>
      <rPr>
        <sz val="11"/>
        <color theme="1"/>
        <rFont val="Arial"/>
        <family val="2"/>
      </rPr>
      <t xml:space="preserve"> Education and training procedure of construction division</t>
    </r>
  </si>
  <si>
    <t>3.3</t>
  </si>
  <si>
    <r>
      <t>QAQC/HSE</t>
    </r>
    <r>
      <rPr>
        <sz val="11"/>
        <color theme="1"/>
        <rFont val="標楷體"/>
        <family val="4"/>
        <charset val="136"/>
      </rPr>
      <t xml:space="preserve">訓練開課頻率
</t>
    </r>
    <r>
      <rPr>
        <sz val="11"/>
        <color theme="1"/>
        <rFont val="Arial"/>
        <family val="2"/>
      </rPr>
      <t>QAQC/ HSE training frequency.</t>
    </r>
  </si>
  <si>
    <r>
      <rPr>
        <sz val="11"/>
        <color theme="1"/>
        <rFont val="標楷體"/>
        <family val="4"/>
        <charset val="136"/>
      </rPr>
      <t xml:space="preserve">每月至少一次
</t>
    </r>
    <r>
      <rPr>
        <sz val="11"/>
        <color theme="1"/>
        <rFont val="Arial"/>
        <family val="2"/>
      </rPr>
      <t>At least once per month.</t>
    </r>
  </si>
  <si>
    <t>3.4</t>
  </si>
  <si>
    <r>
      <rPr>
        <sz val="11"/>
        <color theme="1"/>
        <rFont val="標楷體"/>
        <family val="4"/>
        <charset val="136"/>
      </rPr>
      <t>工地具備充分且配合施工進度之分項施工計畫、</t>
    </r>
    <r>
      <rPr>
        <sz val="11"/>
        <color theme="1"/>
        <rFont val="Arial"/>
        <family val="2"/>
      </rPr>
      <t>JSA</t>
    </r>
    <r>
      <rPr>
        <sz val="11"/>
        <color theme="1"/>
        <rFont val="標楷體"/>
        <family val="4"/>
        <charset val="136"/>
      </rPr>
      <t>及</t>
    </r>
    <r>
      <rPr>
        <sz val="11"/>
        <color theme="1"/>
        <rFont val="Arial"/>
        <family val="2"/>
      </rPr>
      <t>ITP</t>
    </r>
    <r>
      <rPr>
        <sz val="11"/>
        <color theme="1"/>
        <rFont val="標楷體"/>
        <family val="4"/>
        <charset val="136"/>
      </rPr>
      <t xml:space="preserve">，並實施教育訓練。
</t>
    </r>
    <r>
      <rPr>
        <sz val="11"/>
        <color theme="1"/>
        <rFont val="Arial"/>
        <family val="2"/>
      </rPr>
      <t>The method statement, ITP and JSA are in place properly, issued and trained before commencement of each work.</t>
    </r>
  </si>
  <si>
    <r>
      <rPr>
        <sz val="11"/>
        <color theme="1"/>
        <rFont val="標楷體"/>
        <family val="4"/>
        <charset val="136"/>
      </rPr>
      <t>依據施工進度提送分項施工計畫及相對應之</t>
    </r>
    <r>
      <rPr>
        <sz val="11"/>
        <color theme="1"/>
        <rFont val="Arial"/>
        <family val="2"/>
      </rPr>
      <t>ITP</t>
    </r>
    <r>
      <rPr>
        <sz val="11"/>
        <color theme="1"/>
        <rFont val="標楷體"/>
        <family val="4"/>
        <charset val="136"/>
      </rPr>
      <t>及</t>
    </r>
    <r>
      <rPr>
        <sz val="11"/>
        <color theme="1"/>
        <rFont val="Arial"/>
        <family val="2"/>
      </rPr>
      <t>JSA
Submit MS and the corresponding ITP and JSA as the construction schedule . (JSA should fully cove all construction work items).</t>
    </r>
  </si>
  <si>
    <r>
      <t xml:space="preserve">PQ-001 </t>
    </r>
    <r>
      <rPr>
        <sz val="11"/>
        <color theme="1"/>
        <rFont val="標楷體"/>
        <family val="4"/>
        <charset val="136"/>
      </rPr>
      <t>員工訓練管理程序書</t>
    </r>
    <r>
      <rPr>
        <sz val="11"/>
        <color theme="1"/>
        <rFont val="Arial"/>
        <family val="2"/>
      </rPr>
      <t xml:space="preserve"> Employee training management procedure</t>
    </r>
  </si>
  <si>
    <t>3.5</t>
  </si>
  <si>
    <r>
      <rPr>
        <sz val="11"/>
        <color theme="1"/>
        <rFont val="標楷體"/>
        <family val="4"/>
        <charset val="136"/>
      </rPr>
      <t>工地安排專業外訓上課完成率</t>
    </r>
    <r>
      <rPr>
        <sz val="11"/>
        <color theme="1"/>
        <rFont val="Arial"/>
        <family val="2"/>
      </rPr>
      <t xml:space="preserve"> (</t>
    </r>
    <r>
      <rPr>
        <sz val="11"/>
        <color theme="1"/>
        <rFont val="標楷體"/>
        <family val="4"/>
        <charset val="136"/>
      </rPr>
      <t>品質</t>
    </r>
    <r>
      <rPr>
        <sz val="11"/>
        <color theme="1"/>
        <rFont val="Arial"/>
        <family val="2"/>
      </rPr>
      <t>/</t>
    </r>
    <r>
      <rPr>
        <sz val="11"/>
        <color theme="1"/>
        <rFont val="標楷體"/>
        <family val="4"/>
        <charset val="136"/>
      </rPr>
      <t>安衛環</t>
    </r>
    <r>
      <rPr>
        <sz val="11"/>
        <color theme="1"/>
        <rFont val="Arial"/>
        <family val="2"/>
      </rPr>
      <t>/</t>
    </r>
    <r>
      <rPr>
        <sz val="11"/>
        <color theme="1"/>
        <rFont val="標楷體"/>
        <family val="4"/>
        <charset val="136"/>
      </rPr>
      <t>管理</t>
    </r>
    <r>
      <rPr>
        <sz val="11"/>
        <color theme="1"/>
        <rFont val="Arial"/>
        <family val="2"/>
      </rPr>
      <t>)
Site special outsourcing training completion rate.</t>
    </r>
  </si>
  <si>
    <r>
      <rPr>
        <sz val="11"/>
        <color theme="1"/>
        <rFont val="標楷體"/>
        <family val="4"/>
        <charset val="136"/>
      </rPr>
      <t>依預計訓練名單時程計畫，完成訓練人數達</t>
    </r>
    <r>
      <rPr>
        <sz val="11"/>
        <color theme="1"/>
        <rFont val="Arial"/>
        <family val="2"/>
      </rPr>
      <t xml:space="preserve">95%
Completes training program as the trainee list and schedule. 
Completion rate </t>
    </r>
    <r>
      <rPr>
        <sz val="11"/>
        <color theme="1"/>
        <rFont val="標楷體"/>
        <family val="4"/>
        <charset val="136"/>
      </rPr>
      <t>≧</t>
    </r>
    <r>
      <rPr>
        <sz val="11"/>
        <color theme="1"/>
        <rFont val="Arial"/>
        <family val="2"/>
      </rPr>
      <t xml:space="preserve"> 95%
</t>
    </r>
    <r>
      <rPr>
        <sz val="11"/>
        <color theme="1"/>
        <rFont val="標楷體"/>
        <family val="4"/>
        <charset val="136"/>
      </rPr>
      <t>如：公共工程品管、安全</t>
    </r>
    <r>
      <rPr>
        <sz val="11"/>
        <color theme="1"/>
        <rFont val="Arial"/>
        <family val="2"/>
      </rPr>
      <t>6</t>
    </r>
    <r>
      <rPr>
        <sz val="11"/>
        <color theme="1"/>
        <rFont val="標楷體"/>
        <family val="4"/>
        <charset val="136"/>
      </rPr>
      <t>小時、安全管理員等</t>
    </r>
    <r>
      <rPr>
        <sz val="11"/>
        <color theme="1"/>
        <rFont val="Arial"/>
        <family val="2"/>
      </rPr>
      <t>…</t>
    </r>
    <r>
      <rPr>
        <sz val="11"/>
        <color theme="1"/>
        <rFont val="標楷體"/>
        <family val="4"/>
        <charset val="136"/>
      </rPr>
      <t>。</t>
    </r>
  </si>
  <si>
    <t>3.6</t>
  </si>
  <si>
    <r>
      <rPr>
        <sz val="11"/>
        <color theme="1"/>
        <rFont val="標楷體"/>
        <family val="4"/>
        <charset val="136"/>
      </rPr>
      <t xml:space="preserve">工地須安排證照到期者回訓。
</t>
    </r>
    <r>
      <rPr>
        <sz val="11"/>
        <color theme="1"/>
        <rFont val="Arial"/>
        <family val="2"/>
      </rPr>
      <t>Arrangement of license holder to renew expired license.</t>
    </r>
  </si>
  <si>
    <r>
      <rPr>
        <sz val="11"/>
        <color theme="1"/>
        <rFont val="標楷體"/>
        <family val="4"/>
        <charset val="136"/>
      </rPr>
      <t xml:space="preserve">半年內安排其回訓。
</t>
    </r>
    <r>
      <rPr>
        <sz val="11"/>
        <color theme="1"/>
        <rFont val="Arial"/>
        <family val="2"/>
      </rPr>
      <t>Finish within six months.</t>
    </r>
  </si>
  <si>
    <t>3.7</t>
  </si>
  <si>
    <r>
      <rPr>
        <sz val="11"/>
        <color theme="1"/>
        <rFont val="標楷體"/>
        <family val="4"/>
        <charset val="136"/>
      </rPr>
      <t>是否落實鼎學院</t>
    </r>
    <r>
      <rPr>
        <sz val="11"/>
        <color theme="1"/>
        <rFont val="Arial"/>
        <family val="2"/>
      </rPr>
      <t>(GTS)</t>
    </r>
    <r>
      <rPr>
        <sz val="11"/>
        <color theme="1"/>
        <rFont val="標楷體"/>
        <family val="4"/>
        <charset val="136"/>
      </rPr>
      <t xml:space="preserve">維護作業。
</t>
    </r>
    <r>
      <rPr>
        <sz val="11"/>
        <color theme="1"/>
        <rFont val="Arial"/>
        <family val="2"/>
      </rPr>
      <t>GTS is maintained appropriately.</t>
    </r>
  </si>
  <si>
    <r>
      <rPr>
        <sz val="11"/>
        <color theme="1"/>
        <rFont val="標楷體"/>
        <family val="4"/>
        <charset val="136"/>
      </rPr>
      <t>公司員工派駐工地期間，其在工地所有的訓練紀錄均登載於</t>
    </r>
    <r>
      <rPr>
        <sz val="11"/>
        <color theme="1"/>
        <rFont val="Arial"/>
        <family val="2"/>
      </rPr>
      <t>GTS</t>
    </r>
    <r>
      <rPr>
        <sz val="11"/>
        <color theme="1"/>
        <rFont val="標楷體"/>
        <family val="4"/>
        <charset val="136"/>
      </rPr>
      <t xml:space="preserve">。
</t>
    </r>
    <r>
      <rPr>
        <sz val="11"/>
        <color theme="1"/>
        <rFont val="Arial"/>
        <family val="2"/>
      </rPr>
      <t>Employees who are dispatched at site, their training records are registered on GTS (including employee from other dept.)</t>
    </r>
  </si>
  <si>
    <t>3.8</t>
  </si>
  <si>
    <r>
      <t>GTS</t>
    </r>
    <r>
      <rPr>
        <sz val="11"/>
        <color theme="1"/>
        <rFont val="標楷體"/>
        <family val="4"/>
        <charset val="136"/>
      </rPr>
      <t xml:space="preserve">補登課程須具備公司規定文件。
</t>
    </r>
    <r>
      <rPr>
        <sz val="11"/>
        <color theme="1"/>
        <rFont val="Arial"/>
        <family val="2"/>
      </rPr>
      <t>Register training record on GTS with specified documents.</t>
    </r>
  </si>
  <si>
    <r>
      <rPr>
        <sz val="11"/>
        <color theme="1"/>
        <rFont val="標楷體"/>
        <family val="4"/>
        <charset val="136"/>
      </rPr>
      <t>含公司內訓練結果評估表、員工訓練紀錄表、訓練成果評估彙總表</t>
    </r>
    <r>
      <rPr>
        <sz val="11"/>
        <color theme="1"/>
        <rFont val="Arial"/>
        <family val="2"/>
      </rPr>
      <t>.
Including evaluation of internal training, attendance sheet and summary of training evaluation.</t>
    </r>
  </si>
  <si>
    <t>3.9</t>
  </si>
  <si>
    <r>
      <rPr>
        <sz val="11"/>
        <color theme="1"/>
        <rFont val="標楷體"/>
        <family val="4"/>
        <charset val="136"/>
      </rPr>
      <t xml:space="preserve">安衛環三年三小時訓練紀錄登錄。
</t>
    </r>
    <r>
      <rPr>
        <sz val="11"/>
        <color theme="1"/>
        <rFont val="Arial"/>
        <family val="2"/>
      </rPr>
      <t>3 hours for 3 years HSE training record should be registered on GTS.</t>
    </r>
  </si>
  <si>
    <r>
      <rPr>
        <sz val="11"/>
        <color theme="1"/>
        <rFont val="標楷體"/>
        <family val="4"/>
        <charset val="136"/>
      </rPr>
      <t xml:space="preserve">訓練結束後一周內完成。
</t>
    </r>
    <r>
      <rPr>
        <sz val="11"/>
        <color theme="1"/>
        <rFont val="Arial"/>
        <family val="2"/>
      </rPr>
      <t>Within one week after training.</t>
    </r>
  </si>
  <si>
    <t>3.10</t>
  </si>
  <si>
    <r>
      <t>SOJT</t>
    </r>
    <r>
      <rPr>
        <sz val="11"/>
        <color theme="1"/>
        <rFont val="標楷體"/>
        <family val="4"/>
        <charset val="136"/>
      </rPr>
      <t xml:space="preserve">教學計劃表更新。
</t>
    </r>
    <r>
      <rPr>
        <sz val="11"/>
        <color theme="1"/>
        <rFont val="Arial"/>
        <family val="2"/>
      </rPr>
      <t>Update SOJT.</t>
    </r>
  </si>
  <si>
    <r>
      <rPr>
        <sz val="11"/>
        <color theme="1"/>
        <rFont val="標楷體"/>
        <family val="4"/>
        <charset val="136"/>
      </rPr>
      <t xml:space="preserve">指定人員須在時程內完成教學計劃表更新。
</t>
    </r>
    <r>
      <rPr>
        <sz val="11"/>
        <color theme="1"/>
        <rFont val="Arial"/>
        <family val="2"/>
      </rPr>
      <t>Assigned persons should update SOJT on time as the timetable.</t>
    </r>
  </si>
  <si>
    <t>3.11</t>
    <phoneticPr fontId="10" type="noConversion"/>
  </si>
  <si>
    <r>
      <rPr>
        <sz val="11"/>
        <color theme="1"/>
        <rFont val="標楷體"/>
        <family val="4"/>
        <charset val="136"/>
      </rPr>
      <t xml:space="preserve">工地有提供專案建造執行重點說明
</t>
    </r>
    <r>
      <rPr>
        <sz val="11"/>
        <color theme="1"/>
        <rFont val="Arial"/>
        <family val="2"/>
      </rPr>
      <t>Construction execution notice of project is provided to new comers.</t>
    </r>
  </si>
  <si>
    <r>
      <rPr>
        <sz val="11"/>
        <color theme="1"/>
        <rFont val="標楷體"/>
        <family val="4"/>
        <charset val="136"/>
      </rPr>
      <t xml:space="preserve">人員至工地報到皆已取得專案建造執行重點說明。
</t>
    </r>
    <r>
      <rPr>
        <sz val="11"/>
        <color theme="1"/>
        <rFont val="Arial"/>
        <family val="2"/>
      </rPr>
      <t>Site members are received the construction execution notice when reported to site.</t>
    </r>
  </si>
  <si>
    <r>
      <t>Part 3 Question (</t>
    </r>
    <r>
      <rPr>
        <sz val="11"/>
        <color rgb="FF0000CC"/>
        <rFont val="標楷體"/>
        <family val="4"/>
        <charset val="136"/>
      </rPr>
      <t>已新增</t>
    </r>
    <r>
      <rPr>
        <sz val="11"/>
        <color rgb="FF0000CC"/>
        <rFont val="Arial"/>
        <family val="2"/>
      </rPr>
      <t xml:space="preserve">)
</t>
    </r>
    <r>
      <rPr>
        <sz val="11"/>
        <color rgb="FF0000CC"/>
        <rFont val="標楷體"/>
        <family val="4"/>
        <charset val="136"/>
      </rPr>
      <t>監工是否有依專案建造施工品質標準執行</t>
    </r>
    <r>
      <rPr>
        <sz val="11"/>
        <color rgb="FF0000CC"/>
        <rFont val="Arial"/>
        <family val="2"/>
      </rPr>
      <t xml:space="preserve">?
</t>
    </r>
    <r>
      <rPr>
        <sz val="11"/>
        <color rgb="FF0000CC"/>
        <rFont val="標楷體"/>
        <family val="4"/>
        <charset val="136"/>
      </rPr>
      <t>監工是否對其施工品質標準完全了解
施工查核品質執行是否徹底</t>
    </r>
    <r>
      <rPr>
        <sz val="11"/>
        <color rgb="FF0000CC"/>
        <rFont val="Arial"/>
        <family val="2"/>
      </rPr>
      <t>?</t>
    </r>
  </si>
  <si>
    <t>3.12</t>
    <phoneticPr fontId="10" type="noConversion"/>
  </si>
  <si>
    <r>
      <rPr>
        <sz val="11"/>
        <color theme="1"/>
        <rFont val="標楷體"/>
        <family val="4"/>
        <charset val="136"/>
      </rPr>
      <t>同仁程序認知</t>
    </r>
    <r>
      <rPr>
        <sz val="11"/>
        <color theme="1"/>
        <rFont val="Arial"/>
        <family val="2"/>
      </rPr>
      <t xml:space="preserve"> (</t>
    </r>
    <r>
      <rPr>
        <sz val="11"/>
        <color theme="1"/>
        <rFont val="標楷體"/>
        <family val="4"/>
        <charset val="136"/>
      </rPr>
      <t>含約聘及正式</t>
    </r>
    <r>
      <rPr>
        <sz val="11"/>
        <color theme="1"/>
        <rFont val="Arial"/>
        <family val="2"/>
      </rPr>
      <t>)</t>
    </r>
    <r>
      <rPr>
        <sz val="11"/>
        <color theme="1"/>
        <rFont val="標楷體"/>
        <family val="4"/>
        <charset val="136"/>
      </rPr>
      <t xml:space="preserve">
</t>
    </r>
    <r>
      <rPr>
        <sz val="11"/>
        <color theme="1"/>
        <rFont val="Arial"/>
        <family val="2"/>
      </rPr>
      <t>Employee (Both permanent and contract) has comprehension of plans, working procedures and other specialized document.</t>
    </r>
  </si>
  <si>
    <r>
      <rPr>
        <sz val="11"/>
        <color theme="1"/>
        <rFont val="標楷體"/>
        <family val="4"/>
        <charset val="136"/>
      </rPr>
      <t>抽查現場同仁對各專業計畫</t>
    </r>
    <r>
      <rPr>
        <sz val="11"/>
        <color theme="1"/>
        <rFont val="Arial"/>
        <family val="2"/>
      </rPr>
      <t xml:space="preserve">, </t>
    </r>
    <r>
      <rPr>
        <sz val="11"/>
        <color theme="1"/>
        <rFont val="標楷體"/>
        <family val="4"/>
        <charset val="136"/>
      </rPr>
      <t xml:space="preserve">程序及規定的認知。
</t>
    </r>
    <r>
      <rPr>
        <sz val="11"/>
        <color theme="1"/>
        <rFont val="Arial"/>
        <family val="2"/>
      </rPr>
      <t>To investigate the comprehension of specialized plans and procedures of site personnel.</t>
    </r>
  </si>
  <si>
    <t>3.12.1</t>
    <phoneticPr fontId="10" type="noConversion"/>
  </si>
  <si>
    <r>
      <rPr>
        <sz val="11"/>
        <color theme="1"/>
        <rFont val="標楷體"/>
        <family val="4"/>
        <charset val="136"/>
      </rPr>
      <t xml:space="preserve">同仁對安衛環程序認知
</t>
    </r>
    <r>
      <rPr>
        <sz val="11"/>
        <color theme="1"/>
        <rFont val="Arial"/>
        <family val="2"/>
      </rPr>
      <t>Employee has comprehension of HSE plans, working procedures and other specialized document.</t>
    </r>
  </si>
  <si>
    <r>
      <t>1.</t>
    </r>
    <r>
      <rPr>
        <sz val="11"/>
        <color theme="1"/>
        <rFont val="標楷體"/>
        <family val="4"/>
        <charset val="136"/>
      </rPr>
      <t>抽查現場同仁</t>
    </r>
    <r>
      <rPr>
        <sz val="11"/>
        <color theme="1"/>
        <rFont val="Arial"/>
        <family val="2"/>
      </rPr>
      <t>(</t>
    </r>
    <r>
      <rPr>
        <sz val="11"/>
        <color theme="1"/>
        <rFont val="標楷體"/>
        <family val="4"/>
        <charset val="136"/>
      </rPr>
      <t>監工</t>
    </r>
    <r>
      <rPr>
        <sz val="11"/>
        <color theme="1"/>
        <rFont val="Arial"/>
        <family val="2"/>
      </rPr>
      <t>)</t>
    </r>
    <r>
      <rPr>
        <sz val="11"/>
        <color theme="1"/>
        <rFont val="標楷體"/>
        <family val="4"/>
        <charset val="136"/>
      </rPr>
      <t>對安衛環計畫</t>
    </r>
    <r>
      <rPr>
        <sz val="11"/>
        <color theme="1"/>
        <rFont val="Arial"/>
        <family val="2"/>
      </rPr>
      <t xml:space="preserve">, </t>
    </r>
    <r>
      <rPr>
        <sz val="11"/>
        <color theme="1"/>
        <rFont val="標楷體"/>
        <family val="4"/>
        <charset val="136"/>
      </rPr>
      <t>程序</t>
    </r>
    <r>
      <rPr>
        <sz val="11"/>
        <color theme="1"/>
        <rFont val="Arial"/>
        <family val="2"/>
      </rPr>
      <t xml:space="preserve">, </t>
    </r>
    <r>
      <rPr>
        <sz val="11"/>
        <color theme="1"/>
        <rFont val="標楷體"/>
        <family val="4"/>
        <charset val="136"/>
      </rPr>
      <t xml:space="preserve">風險及區域負責人的責任認知。
</t>
    </r>
    <r>
      <rPr>
        <sz val="11"/>
        <color theme="1"/>
        <rFont val="Arial"/>
        <family val="2"/>
      </rPr>
      <t>To investigate the comprehension of HSE plans and procedures, HSE risks and area manager of site personnel(SR).
2.</t>
    </r>
    <r>
      <rPr>
        <sz val="11"/>
        <color theme="1"/>
        <rFont val="標楷體"/>
        <family val="4"/>
        <charset val="136"/>
      </rPr>
      <t>抽查現場監工對所屬作業區的</t>
    </r>
    <r>
      <rPr>
        <sz val="11"/>
        <color theme="1"/>
        <rFont val="Arial"/>
        <family val="2"/>
      </rPr>
      <t>HSE</t>
    </r>
    <r>
      <rPr>
        <sz val="11"/>
        <color theme="1"/>
        <rFont val="標楷體"/>
        <family val="4"/>
        <charset val="136"/>
      </rPr>
      <t xml:space="preserve">規定，如高架作業、動火作業等安全規定。
</t>
    </r>
    <r>
      <rPr>
        <sz val="11"/>
        <color theme="1"/>
        <rFont val="Arial"/>
        <family val="2"/>
      </rPr>
      <t>To investigate the comprehension of HSE rules on specific work area such as work at high, hot work etc., of site personnel(SR).,</t>
    </r>
  </si>
  <si>
    <r>
      <t>Part 2 Question (</t>
    </r>
    <r>
      <rPr>
        <sz val="11"/>
        <color rgb="FF0000CC"/>
        <rFont val="標楷體"/>
        <family val="4"/>
        <charset val="136"/>
      </rPr>
      <t>已新增</t>
    </r>
    <r>
      <rPr>
        <sz val="11"/>
        <color rgb="FF0000CC"/>
        <rFont val="Arial"/>
        <family val="2"/>
      </rPr>
      <t xml:space="preserve">)
</t>
    </r>
    <r>
      <rPr>
        <sz val="11"/>
        <color rgb="FF0000CC"/>
        <rFont val="標楷體"/>
        <family val="4"/>
        <charset val="136"/>
      </rPr>
      <t>監工亦需負責現場安衛環的職責</t>
    </r>
    <r>
      <rPr>
        <sz val="11"/>
        <color rgb="FF0000CC"/>
        <rFont val="Arial"/>
        <family val="2"/>
      </rPr>
      <t xml:space="preserve">, </t>
    </r>
    <r>
      <rPr>
        <sz val="11"/>
        <color rgb="FF0000CC"/>
        <rFont val="標楷體"/>
        <family val="4"/>
        <charset val="136"/>
      </rPr>
      <t>是否每一位監工均清楚</t>
    </r>
    <r>
      <rPr>
        <sz val="11"/>
        <color rgb="FF0000CC"/>
        <rFont val="Arial"/>
        <family val="2"/>
      </rPr>
      <t>?</t>
    </r>
  </si>
  <si>
    <t>3.12.2</t>
    <phoneticPr fontId="10" type="noConversion"/>
  </si>
  <si>
    <r>
      <rPr>
        <sz val="11"/>
        <color theme="1"/>
        <rFont val="標楷體"/>
        <family val="4"/>
        <charset val="136"/>
      </rPr>
      <t xml:space="preserve">同仁對品質程序認知
</t>
    </r>
    <r>
      <rPr>
        <sz val="11"/>
        <color theme="1"/>
        <rFont val="Arial"/>
        <family val="2"/>
      </rPr>
      <t>Employee has comprehension of quality plans, working procedures and other specialized document.</t>
    </r>
  </si>
  <si>
    <r>
      <rPr>
        <sz val="11"/>
        <color theme="1"/>
        <rFont val="標楷體"/>
        <family val="4"/>
        <charset val="136"/>
      </rPr>
      <t>抽查現場同仁</t>
    </r>
    <r>
      <rPr>
        <sz val="11"/>
        <color theme="1"/>
        <rFont val="Arial"/>
        <family val="2"/>
      </rPr>
      <t>(</t>
    </r>
    <r>
      <rPr>
        <sz val="11"/>
        <color theme="1"/>
        <rFont val="標楷體"/>
        <family val="4"/>
        <charset val="136"/>
      </rPr>
      <t>監工</t>
    </r>
    <r>
      <rPr>
        <sz val="11"/>
        <color theme="1"/>
        <rFont val="Arial"/>
        <family val="2"/>
      </rPr>
      <t>)</t>
    </r>
    <r>
      <rPr>
        <sz val="11"/>
        <color theme="1"/>
        <rFont val="標楷體"/>
        <family val="4"/>
        <charset val="136"/>
      </rPr>
      <t>對品質計畫</t>
    </r>
    <r>
      <rPr>
        <sz val="11"/>
        <color theme="1"/>
        <rFont val="Arial"/>
        <family val="2"/>
      </rPr>
      <t xml:space="preserve">, </t>
    </r>
    <r>
      <rPr>
        <sz val="11"/>
        <color theme="1"/>
        <rFont val="標楷體"/>
        <family val="4"/>
        <charset val="136"/>
      </rPr>
      <t>程序</t>
    </r>
    <r>
      <rPr>
        <sz val="11"/>
        <color theme="1"/>
        <rFont val="Arial"/>
        <family val="2"/>
      </rPr>
      <t>, ITP</t>
    </r>
    <r>
      <rPr>
        <sz val="11"/>
        <color theme="1"/>
        <rFont val="標楷體"/>
        <family val="4"/>
        <charset val="136"/>
      </rPr>
      <t xml:space="preserve">及允收標準的認知。
</t>
    </r>
    <r>
      <rPr>
        <sz val="11"/>
        <color theme="1"/>
        <rFont val="Arial"/>
        <family val="2"/>
      </rPr>
      <t>To investigate the comprehension of quality plans, procedures, ITP and installation tolerance of site personnel(SR).</t>
    </r>
  </si>
  <si>
    <t>3.12.3</t>
    <phoneticPr fontId="10" type="noConversion"/>
  </si>
  <si>
    <r>
      <rPr>
        <sz val="11"/>
        <color theme="1"/>
        <rFont val="標楷體"/>
        <family val="4"/>
        <charset val="136"/>
      </rPr>
      <t xml:space="preserve">同仁對專業程序認知
</t>
    </r>
    <r>
      <rPr>
        <sz val="11"/>
        <color theme="1"/>
        <rFont val="Arial"/>
        <family val="2"/>
      </rPr>
      <t>Employee has comprehension of discipline plans, working procedures and other specialized document.</t>
    </r>
  </si>
  <si>
    <r>
      <rPr>
        <sz val="11"/>
        <color theme="1"/>
        <rFont val="標楷體"/>
        <family val="4"/>
        <charset val="136"/>
      </rPr>
      <t>抽查現場同仁</t>
    </r>
    <r>
      <rPr>
        <sz val="11"/>
        <color theme="1"/>
        <rFont val="Arial"/>
        <family val="2"/>
      </rPr>
      <t>(</t>
    </r>
    <r>
      <rPr>
        <sz val="11"/>
        <color theme="1"/>
        <rFont val="標楷體"/>
        <family val="4"/>
        <charset val="136"/>
      </rPr>
      <t>監工</t>
    </r>
    <r>
      <rPr>
        <sz val="11"/>
        <color theme="1"/>
        <rFont val="Arial"/>
        <family val="2"/>
      </rPr>
      <t>)</t>
    </r>
    <r>
      <rPr>
        <sz val="11"/>
        <color theme="1"/>
        <rFont val="標楷體"/>
        <family val="4"/>
        <charset val="136"/>
      </rPr>
      <t>對各專業計畫</t>
    </r>
    <r>
      <rPr>
        <sz val="11"/>
        <color theme="1"/>
        <rFont val="Arial"/>
        <family val="2"/>
      </rPr>
      <t>(</t>
    </r>
    <r>
      <rPr>
        <sz val="11"/>
        <color theme="1"/>
        <rFont val="標楷體"/>
        <family val="4"/>
        <charset val="136"/>
      </rPr>
      <t>土建、鋼構、配管、電機、儀控、保溫、油漆等</t>
    </r>
    <r>
      <rPr>
        <sz val="11"/>
        <color theme="1"/>
        <rFont val="Arial"/>
        <family val="2"/>
      </rPr>
      <t xml:space="preserve">), </t>
    </r>
    <r>
      <rPr>
        <sz val="11"/>
        <color theme="1"/>
        <rFont val="標楷體"/>
        <family val="4"/>
        <charset val="136"/>
      </rPr>
      <t xml:space="preserve">程序及分項施工計畫的認知。
</t>
    </r>
    <r>
      <rPr>
        <sz val="11"/>
        <color theme="1"/>
        <rFont val="Arial"/>
        <family val="2"/>
      </rPr>
      <t>To investigate the comprehension of discipline plans(civil, steel structure, piping, electrical, instrument, insulation and painting), procedures and Method Statement of site personnel(SR).</t>
    </r>
  </si>
  <si>
    <t>4.0</t>
    <phoneticPr fontId="10" type="noConversion"/>
  </si>
  <si>
    <r>
      <rPr>
        <b/>
        <sz val="11"/>
        <color theme="1"/>
        <rFont val="標楷體"/>
        <family val="4"/>
        <charset val="136"/>
      </rPr>
      <t>工地成本管理</t>
    </r>
    <r>
      <rPr>
        <b/>
        <sz val="11"/>
        <color theme="1"/>
        <rFont val="Arial"/>
        <family val="2"/>
      </rPr>
      <t xml:space="preserve"> Site Cost Management</t>
    </r>
  </si>
  <si>
    <r>
      <t xml:space="preserve">SCM Signature </t>
    </r>
    <r>
      <rPr>
        <b/>
        <sz val="11"/>
        <color theme="1"/>
        <rFont val="標楷體"/>
        <family val="4"/>
        <charset val="136"/>
      </rPr>
      <t>簽名</t>
    </r>
  </si>
  <si>
    <r>
      <rPr>
        <sz val="11"/>
        <color theme="1"/>
        <rFont val="標楷體"/>
        <family val="4"/>
        <charset val="136"/>
      </rPr>
      <t xml:space="preserve">間接人力管控是否依據原始核准的人力動員計劃。工程師級正式約聘人員比例。
</t>
    </r>
    <r>
      <rPr>
        <sz val="11"/>
        <color theme="1"/>
        <rFont val="Arial"/>
        <family val="2"/>
      </rPr>
      <t>Indirect manpower is controlled as the  approved initial manpower mobilization plan with the ratio of permanent and contracted engineers.</t>
    </r>
  </si>
  <si>
    <r>
      <t>"</t>
    </r>
    <r>
      <rPr>
        <sz val="11"/>
        <color theme="1"/>
        <rFont val="標楷體"/>
        <family val="4"/>
        <charset val="136"/>
      </rPr>
      <t xml:space="preserve">是否定期檢討更新人力排程計畫，並傳回部門作人力調動的安排
</t>
    </r>
    <r>
      <rPr>
        <sz val="11"/>
        <color theme="1"/>
        <rFont val="Arial"/>
        <family val="2"/>
      </rPr>
      <t xml:space="preserve">Regularly review latest manpower plan, and feedback to division for manpower arrangement.
</t>
    </r>
    <r>
      <rPr>
        <sz val="11"/>
        <color theme="1"/>
        <rFont val="標楷體"/>
        <family val="4"/>
        <charset val="136"/>
      </rPr>
      <t>實際需求人力是否與原定預算人力之差距</t>
    </r>
    <r>
      <rPr>
        <sz val="11"/>
        <color theme="1"/>
        <rFont val="Arial"/>
        <family val="2"/>
      </rPr>
      <t xml:space="preserve"> </t>
    </r>
    <r>
      <rPr>
        <sz val="11"/>
        <color theme="1"/>
        <rFont val="標楷體"/>
        <family val="4"/>
        <charset val="136"/>
      </rPr>
      <t>差</t>
    </r>
    <r>
      <rPr>
        <sz val="11"/>
        <color theme="1"/>
        <rFont val="Arial"/>
        <family val="2"/>
      </rPr>
      <t>10%"
The actual manpower shall not exceed 10 percent of the planned manpower.</t>
    </r>
  </si>
  <si>
    <r>
      <rPr>
        <sz val="11"/>
        <color theme="1"/>
        <rFont val="標楷體"/>
        <family val="4"/>
        <charset val="136"/>
      </rPr>
      <t xml:space="preserve">施工架發包是否依程序書規定，工作量及單價是否符合成本預算。
</t>
    </r>
    <r>
      <rPr>
        <sz val="11"/>
        <color theme="1"/>
        <rFont val="Arial"/>
        <family val="2"/>
      </rPr>
      <t>Scaffold is subcontracted as the procedures, the work volume and unit price meet the cost budget.</t>
    </r>
  </si>
  <si>
    <r>
      <rPr>
        <sz val="11"/>
        <color theme="1"/>
        <rFont val="標楷體"/>
        <family val="4"/>
        <charset val="136"/>
      </rPr>
      <t>所有施工架均含在發包計畫的項目內</t>
    </r>
    <r>
      <rPr>
        <sz val="11"/>
        <color theme="1"/>
        <rFont val="Arial"/>
        <family val="2"/>
      </rPr>
      <t xml:space="preserve">
All scaffold is included in the items of subcontracting plan.</t>
    </r>
  </si>
  <si>
    <r>
      <t xml:space="preserve">DMGMS-003-B </t>
    </r>
    <r>
      <rPr>
        <sz val="11"/>
        <color theme="1"/>
        <rFont val="標楷體"/>
        <family val="4"/>
        <charset val="136"/>
      </rPr>
      <t>施工架施工方法說明書</t>
    </r>
    <r>
      <rPr>
        <sz val="11"/>
        <color theme="1"/>
        <rFont val="Arial"/>
        <family val="2"/>
      </rPr>
      <t xml:space="preserve"> Scaffolding General Method Statement</t>
    </r>
  </si>
  <si>
    <r>
      <rPr>
        <sz val="11"/>
        <color theme="1"/>
        <rFont val="標楷體"/>
        <family val="4"/>
        <charset val="136"/>
      </rPr>
      <t>對於工地採購之施工機具</t>
    </r>
    <r>
      <rPr>
        <sz val="11"/>
        <color theme="1"/>
        <rFont val="Arial"/>
        <family val="2"/>
      </rPr>
      <t>(</t>
    </r>
    <r>
      <rPr>
        <sz val="11"/>
        <color theme="1"/>
        <rFont val="標楷體"/>
        <family val="4"/>
        <charset val="136"/>
      </rPr>
      <t>吊車</t>
    </r>
    <r>
      <rPr>
        <sz val="11"/>
        <color theme="1"/>
        <rFont val="Arial"/>
        <family val="2"/>
      </rPr>
      <t>)</t>
    </r>
    <r>
      <rPr>
        <sz val="11"/>
        <color theme="1"/>
        <rFont val="標楷體"/>
        <family val="4"/>
        <charset val="136"/>
      </rPr>
      <t xml:space="preserve">是否有管控機制。
</t>
    </r>
    <r>
      <rPr>
        <sz val="11"/>
        <color theme="1"/>
        <rFont val="Arial"/>
        <family val="2"/>
      </rPr>
      <t>Site has control mechanism for site procurement of construction equipment (crane).</t>
    </r>
  </si>
  <si>
    <r>
      <rPr>
        <sz val="11"/>
        <color theme="1"/>
        <rFont val="標楷體"/>
        <family val="4"/>
        <charset val="136"/>
      </rPr>
      <t xml:space="preserve">申請使用管控紀錄
</t>
    </r>
    <r>
      <rPr>
        <sz val="11"/>
        <color theme="1"/>
        <rFont val="Arial"/>
        <family val="2"/>
      </rPr>
      <t>Application record of usage.</t>
    </r>
  </si>
  <si>
    <r>
      <rPr>
        <sz val="11"/>
        <color theme="1"/>
        <rFont val="標楷體"/>
        <family val="4"/>
        <charset val="136"/>
      </rPr>
      <t>發包合約金額</t>
    </r>
    <r>
      <rPr>
        <sz val="11"/>
        <color theme="1"/>
        <rFont val="Arial"/>
        <family val="2"/>
      </rPr>
      <t>200</t>
    </r>
    <r>
      <rPr>
        <sz val="11"/>
        <color theme="1"/>
        <rFont val="標楷體"/>
        <family val="4"/>
        <charset val="136"/>
      </rPr>
      <t>萬台幣以下</t>
    </r>
    <r>
      <rPr>
        <sz val="11"/>
        <color theme="1"/>
        <rFont val="Arial"/>
        <family val="2"/>
      </rPr>
      <t>(</t>
    </r>
    <r>
      <rPr>
        <sz val="11"/>
        <color theme="1"/>
        <rFont val="標楷體"/>
        <family val="4"/>
        <charset val="136"/>
      </rPr>
      <t>海外</t>
    </r>
    <r>
      <rPr>
        <sz val="11"/>
        <color theme="1"/>
        <rFont val="Arial"/>
        <family val="2"/>
      </rPr>
      <t>300</t>
    </r>
    <r>
      <rPr>
        <sz val="11"/>
        <color theme="1"/>
        <rFont val="標楷體"/>
        <family val="4"/>
        <charset val="136"/>
      </rPr>
      <t>萬台幣以下</t>
    </r>
    <r>
      <rPr>
        <sz val="11"/>
        <color theme="1"/>
        <rFont val="Arial"/>
        <family val="2"/>
      </rPr>
      <t>)</t>
    </r>
    <r>
      <rPr>
        <sz val="11"/>
        <color theme="1"/>
        <rFont val="標楷體"/>
        <family val="4"/>
        <charset val="136"/>
      </rPr>
      <t xml:space="preserve">，工地零星發包合約是否依程序執行。
</t>
    </r>
    <r>
      <rPr>
        <sz val="11"/>
        <color theme="1"/>
        <rFont val="Arial"/>
        <family val="2"/>
      </rPr>
      <t>Simplified site procurement contract is proceeded in accordance with procedures for the contract with the amount  of NT $2 millions or less (NT $3 millions or less for overseas project).</t>
    </r>
  </si>
  <si>
    <r>
      <rPr>
        <sz val="11"/>
        <color theme="1"/>
        <rFont val="標楷體"/>
        <family val="4"/>
        <charset val="136"/>
      </rPr>
      <t>請購單、比價、合約依</t>
    </r>
    <r>
      <rPr>
        <sz val="11"/>
        <color theme="1"/>
        <rFont val="Arial"/>
        <family val="2"/>
      </rPr>
      <t>PMS</t>
    </r>
    <r>
      <rPr>
        <sz val="11"/>
        <color theme="1"/>
        <rFont val="標楷體"/>
        <family val="4"/>
        <charset val="136"/>
      </rPr>
      <t>完成，請購單內容與附件要一致。</t>
    </r>
    <r>
      <rPr>
        <sz val="11"/>
        <color theme="1"/>
        <rFont val="Arial"/>
        <family val="2"/>
      </rPr>
      <t>TBE</t>
    </r>
    <r>
      <rPr>
        <sz val="11"/>
        <color theme="1"/>
        <rFont val="標楷體"/>
        <family val="4"/>
        <charset val="136"/>
      </rPr>
      <t xml:space="preserve">需回傳部門簽核。
</t>
    </r>
    <r>
      <rPr>
        <sz val="11"/>
        <color theme="1"/>
        <rFont val="Arial"/>
        <family val="2"/>
      </rPr>
      <t>Requisitions, bids, and contract are completed according to the PMS, the contents and attachments are consistent in requisition. TBE shall be sent back to construction department.</t>
    </r>
  </si>
  <si>
    <r>
      <t xml:space="preserve">PJ-404 </t>
    </r>
    <r>
      <rPr>
        <sz val="11"/>
        <color theme="1"/>
        <rFont val="標楷體"/>
        <family val="4"/>
        <charset val="136"/>
      </rPr>
      <t>專案採購與發包程序</t>
    </r>
    <r>
      <rPr>
        <sz val="11"/>
        <color theme="1"/>
        <rFont val="Arial"/>
        <family val="2"/>
      </rPr>
      <t xml:space="preserve"> Project procurement and subcontracting procedure</t>
    </r>
    <r>
      <rPr>
        <sz val="11"/>
        <color theme="1"/>
        <rFont val="標楷體"/>
        <family val="4"/>
        <charset val="136"/>
      </rPr>
      <t>、</t>
    </r>
    <r>
      <rPr>
        <sz val="11"/>
        <color theme="1"/>
        <rFont val="Arial"/>
        <family val="2"/>
      </rPr>
      <t xml:space="preserve">CP-002 </t>
    </r>
    <r>
      <rPr>
        <sz val="11"/>
        <color theme="1"/>
        <rFont val="標楷體"/>
        <family val="4"/>
        <charset val="136"/>
      </rPr>
      <t>公司授權準則</t>
    </r>
    <r>
      <rPr>
        <sz val="11"/>
        <color theme="1"/>
        <rFont val="Arial"/>
        <family val="2"/>
      </rPr>
      <t xml:space="preserve"> Authorization procedure</t>
    </r>
  </si>
  <si>
    <t>4.5</t>
    <phoneticPr fontId="10" type="noConversion"/>
  </si>
  <si>
    <r>
      <rPr>
        <sz val="11"/>
        <color theme="1"/>
        <rFont val="標楷體"/>
        <family val="4"/>
        <charset val="136"/>
      </rPr>
      <t xml:space="preserve">是否有追加減資料及其追蹤處理紀錄。
</t>
    </r>
    <r>
      <rPr>
        <sz val="11"/>
        <color theme="1"/>
        <rFont val="Arial"/>
        <family val="2"/>
      </rPr>
      <t>Scope change information and tracking processing records are preserved.</t>
    </r>
  </si>
  <si>
    <r>
      <rPr>
        <sz val="11"/>
        <color theme="1"/>
        <rFont val="標楷體"/>
        <family val="4"/>
        <charset val="136"/>
      </rPr>
      <t>對業主及承包商均應有相關資料</t>
    </r>
    <r>
      <rPr>
        <sz val="11"/>
        <color theme="1"/>
        <rFont val="Arial"/>
        <family val="2"/>
      </rPr>
      <t xml:space="preserve"> (change order management) 
Including the relevant information to the client and the subcontractors.</t>
    </r>
  </si>
  <si>
    <r>
      <t xml:space="preserve">PJ-205 </t>
    </r>
    <r>
      <rPr>
        <sz val="11"/>
        <color theme="1"/>
        <rFont val="標楷體"/>
        <family val="4"/>
        <charset val="136"/>
      </rPr>
      <t>專案發包結算作業準則</t>
    </r>
    <r>
      <rPr>
        <sz val="11"/>
        <color theme="1"/>
        <rFont val="Arial"/>
        <family val="2"/>
      </rPr>
      <t xml:space="preserve"> Procedure of final account settlement</t>
    </r>
  </si>
  <si>
    <t>4.6</t>
  </si>
  <si>
    <r>
      <rPr>
        <sz val="11"/>
        <color theme="1"/>
        <rFont val="標楷體"/>
        <family val="4"/>
        <charset val="136"/>
      </rPr>
      <t>是否有做合約請款管理</t>
    </r>
    <r>
      <rPr>
        <sz val="11"/>
        <color theme="1"/>
        <rFont val="Arial"/>
        <family val="2"/>
      </rPr>
      <t xml:space="preserve"> a. </t>
    </r>
    <r>
      <rPr>
        <sz val="11"/>
        <color theme="1"/>
        <rFont val="標楷體"/>
        <family val="4"/>
        <charset val="136"/>
      </rPr>
      <t>流程追蹤</t>
    </r>
    <r>
      <rPr>
        <sz val="11"/>
        <color theme="1"/>
        <rFont val="Arial"/>
        <family val="2"/>
      </rPr>
      <t xml:space="preserve"> b. </t>
    </r>
    <r>
      <rPr>
        <sz val="11"/>
        <color theme="1"/>
        <rFont val="標楷體"/>
        <family val="4"/>
        <charset val="136"/>
      </rPr>
      <t>是否與</t>
    </r>
    <r>
      <rPr>
        <sz val="11"/>
        <color theme="1"/>
        <rFont val="Arial"/>
        <family val="2"/>
      </rPr>
      <t>CMS</t>
    </r>
    <r>
      <rPr>
        <sz val="11"/>
        <color theme="1"/>
        <rFont val="標楷體"/>
        <family val="4"/>
        <charset val="136"/>
      </rPr>
      <t xml:space="preserve">數量相符
</t>
    </r>
    <r>
      <rPr>
        <sz val="11"/>
        <color theme="1"/>
        <rFont val="Arial"/>
        <family val="2"/>
      </rPr>
      <t>To check the management of contract payment application. 
A. Tracking system  B. CMS quantity confirmation</t>
    </r>
  </si>
  <si>
    <r>
      <rPr>
        <sz val="11"/>
        <color theme="1"/>
        <rFont val="標楷體"/>
        <family val="4"/>
        <charset val="136"/>
      </rPr>
      <t>計價請款單管理</t>
    </r>
    <r>
      <rPr>
        <sz val="11"/>
        <color theme="1"/>
        <rFont val="Arial"/>
        <family val="2"/>
      </rPr>
      <t xml:space="preserve"> </t>
    </r>
    <r>
      <rPr>
        <sz val="11"/>
        <color theme="1"/>
        <rFont val="標楷體"/>
        <family val="4"/>
        <charset val="136"/>
      </rPr>
      <t>、工作完成量計算及審核、單據黏貼單請款流程、預期付款日期追蹤、廠商評鑑等。</t>
    </r>
    <r>
      <rPr>
        <sz val="11"/>
        <color theme="1"/>
        <rFont val="Arial"/>
        <family val="2"/>
      </rPr>
      <t xml:space="preserve">  Managing subcontractor payment, verifying working quantity calculation, invoice, forecast payment date, and subcontractor evaluation.</t>
    </r>
  </si>
  <si>
    <t>4.7</t>
  </si>
  <si>
    <r>
      <rPr>
        <sz val="11"/>
        <color theme="1"/>
        <rFont val="標楷體"/>
        <family val="4"/>
        <charset val="136"/>
      </rPr>
      <t xml:space="preserve">工程變更管理
</t>
    </r>
    <r>
      <rPr>
        <sz val="11"/>
        <color theme="1"/>
        <rFont val="Arial"/>
        <family val="2"/>
      </rPr>
      <t>Management of scope change.</t>
    </r>
  </si>
  <si>
    <r>
      <rPr>
        <sz val="11"/>
        <color theme="1"/>
        <rFont val="標楷體"/>
        <family val="4"/>
        <charset val="136"/>
      </rPr>
      <t>根據變更程序與規定，檢附必要文件進行採購</t>
    </r>
    <r>
      <rPr>
        <sz val="11"/>
        <color theme="1"/>
        <rFont val="Arial"/>
        <family val="2"/>
      </rPr>
      <t>/</t>
    </r>
    <r>
      <rPr>
        <sz val="11"/>
        <color theme="1"/>
        <rFont val="標楷體"/>
        <family val="4"/>
        <charset val="136"/>
      </rPr>
      <t>發包合約變更作業及工程追加</t>
    </r>
    <r>
      <rPr>
        <sz val="11"/>
        <color theme="1"/>
        <rFont val="Arial"/>
        <family val="2"/>
      </rPr>
      <t>(</t>
    </r>
    <r>
      <rPr>
        <sz val="11"/>
        <color theme="1"/>
        <rFont val="標楷體"/>
        <family val="4"/>
        <charset val="136"/>
      </rPr>
      <t>減</t>
    </r>
    <r>
      <rPr>
        <sz val="11"/>
        <color theme="1"/>
        <rFont val="Arial"/>
        <family val="2"/>
      </rPr>
      <t xml:space="preserve">) </t>
    </r>
    <r>
      <rPr>
        <sz val="11"/>
        <color theme="1"/>
        <rFont val="標楷體"/>
        <family val="4"/>
        <charset val="136"/>
      </rPr>
      <t xml:space="preserve">、預算調整作業。
</t>
    </r>
    <r>
      <rPr>
        <sz val="11"/>
        <color theme="1"/>
        <rFont val="Arial"/>
        <family val="2"/>
      </rPr>
      <t>Based on the Scope Change procedure to proceed the procurement/subcontracting scope change with budget adjustment operation.</t>
    </r>
  </si>
  <si>
    <r>
      <t>Part 7 Question (</t>
    </r>
    <r>
      <rPr>
        <sz val="11"/>
        <color rgb="FF0000CC"/>
        <rFont val="標楷體"/>
        <family val="4"/>
        <charset val="136"/>
      </rPr>
      <t>既有</t>
    </r>
    <r>
      <rPr>
        <sz val="11"/>
        <color rgb="FF0000CC"/>
        <rFont val="Arial"/>
        <family val="2"/>
      </rPr>
      <t xml:space="preserve">)
</t>
    </r>
    <r>
      <rPr>
        <sz val="11"/>
        <color rgb="FF0000CC"/>
        <rFont val="標楷體"/>
        <family val="4"/>
        <charset val="136"/>
      </rPr>
      <t>對業主與包商的變更是否有進行控管機制</t>
    </r>
    <r>
      <rPr>
        <sz val="11"/>
        <color rgb="FF0000CC"/>
        <rFont val="Arial"/>
        <family val="2"/>
      </rPr>
      <t>(Change management)</t>
    </r>
  </si>
  <si>
    <t>4.9</t>
  </si>
  <si>
    <r>
      <rPr>
        <sz val="11"/>
        <color theme="1"/>
        <rFont val="標楷體"/>
        <family val="4"/>
        <charset val="136"/>
      </rPr>
      <t xml:space="preserve">器材合約收料及認列
</t>
    </r>
    <r>
      <rPr>
        <sz val="11"/>
        <color theme="1"/>
        <rFont val="Arial"/>
        <family val="2"/>
      </rPr>
      <t>Payment management of receiving of equipment and materials.</t>
    </r>
  </si>
  <si>
    <r>
      <rPr>
        <sz val="11"/>
        <color theme="1"/>
        <rFont val="標楷體"/>
        <family val="4"/>
        <charset val="136"/>
      </rPr>
      <t xml:space="preserve">建立及管控器材合約金額、付款金額、收料進度、會計認列金額追蹤報表，使成本資訊能即時正確反應。
</t>
    </r>
    <r>
      <rPr>
        <sz val="11"/>
        <color theme="1"/>
        <rFont val="Arial"/>
        <family val="2"/>
      </rPr>
      <t xml:space="preserve">Establishing and controlling of equipment/material contract amount, payment, receiving progress, and audit payment list on reflecting cost information accuracy and effectiveness. </t>
    </r>
  </si>
  <si>
    <t>5.0</t>
    <phoneticPr fontId="10" type="noConversion"/>
  </si>
  <si>
    <r>
      <rPr>
        <b/>
        <sz val="11"/>
        <color theme="1"/>
        <rFont val="標楷體"/>
        <family val="4"/>
        <charset val="136"/>
      </rPr>
      <t>時程</t>
    </r>
    <r>
      <rPr>
        <b/>
        <sz val="11"/>
        <color theme="1"/>
        <rFont val="Arial"/>
        <family val="2"/>
      </rPr>
      <t>/</t>
    </r>
    <r>
      <rPr>
        <b/>
        <sz val="11"/>
        <color theme="1"/>
        <rFont val="標楷體"/>
        <family val="4"/>
        <charset val="136"/>
      </rPr>
      <t>進度管控</t>
    </r>
    <r>
      <rPr>
        <b/>
        <sz val="11"/>
        <color theme="1"/>
        <rFont val="Arial"/>
        <family val="2"/>
      </rPr>
      <t xml:space="preserve"> Schedule / progress control</t>
    </r>
  </si>
  <si>
    <r>
      <t>SCM Signature</t>
    </r>
    <r>
      <rPr>
        <b/>
        <sz val="11"/>
        <color theme="1"/>
        <rFont val="標楷體"/>
        <family val="4"/>
        <charset val="136"/>
      </rPr>
      <t>簽名</t>
    </r>
  </si>
  <si>
    <r>
      <rPr>
        <sz val="11"/>
        <color theme="1"/>
        <rFont val="標楷體"/>
        <family val="4"/>
        <charset val="136"/>
      </rPr>
      <t>是否落實圖表</t>
    </r>
    <r>
      <rPr>
        <sz val="11"/>
        <color theme="1"/>
        <rFont val="Arial"/>
        <family val="2"/>
      </rPr>
      <t>/</t>
    </r>
    <r>
      <rPr>
        <sz val="11"/>
        <color theme="1"/>
        <rFont val="標楷體"/>
        <family val="4"/>
        <charset val="136"/>
      </rPr>
      <t>文件的管控</t>
    </r>
    <r>
      <rPr>
        <sz val="11"/>
        <color theme="1"/>
        <rFont val="Arial"/>
        <family val="2"/>
      </rPr>
      <t>(</t>
    </r>
    <r>
      <rPr>
        <sz val="11"/>
        <color theme="1"/>
        <rFont val="標楷體"/>
        <family val="4"/>
        <charset val="136"/>
      </rPr>
      <t>登錄</t>
    </r>
    <r>
      <rPr>
        <sz val="11"/>
        <color theme="1"/>
        <rFont val="Arial"/>
        <family val="2"/>
      </rPr>
      <t>/</t>
    </r>
    <r>
      <rPr>
        <sz val="11"/>
        <color theme="1"/>
        <rFont val="標楷體"/>
        <family val="4"/>
        <charset val="136"/>
      </rPr>
      <t>收發</t>
    </r>
    <r>
      <rPr>
        <sz val="11"/>
        <color theme="1"/>
        <rFont val="Arial"/>
        <family val="2"/>
      </rPr>
      <t>/</t>
    </r>
    <r>
      <rPr>
        <sz val="11"/>
        <color theme="1"/>
        <rFont val="標楷體"/>
        <family val="4"/>
        <charset val="136"/>
      </rPr>
      <t>核定</t>
    </r>
    <r>
      <rPr>
        <sz val="11"/>
        <color theme="1"/>
        <rFont val="Arial"/>
        <family val="2"/>
      </rPr>
      <t>/</t>
    </r>
    <r>
      <rPr>
        <sz val="11"/>
        <color theme="1"/>
        <rFont val="標楷體"/>
        <family val="4"/>
        <charset val="136"/>
      </rPr>
      <t>保存</t>
    </r>
    <r>
      <rPr>
        <sz val="11"/>
        <color theme="1"/>
        <rFont val="Arial"/>
        <family val="2"/>
      </rPr>
      <t>/</t>
    </r>
    <r>
      <rPr>
        <sz val="11"/>
        <color theme="1"/>
        <rFont val="標楷體"/>
        <family val="4"/>
        <charset val="136"/>
      </rPr>
      <t>作廢</t>
    </r>
    <r>
      <rPr>
        <sz val="11"/>
        <color theme="1"/>
        <rFont val="Arial"/>
        <family val="2"/>
      </rPr>
      <t>)
Drawing / document control (register / receive / authorized / preserve / superseded) had been carried out.</t>
    </r>
  </si>
  <si>
    <r>
      <t>IFC</t>
    </r>
    <r>
      <rPr>
        <sz val="11"/>
        <color theme="1"/>
        <rFont val="標楷體"/>
        <family val="4"/>
        <charset val="136"/>
      </rPr>
      <t>圖須與專案</t>
    </r>
    <r>
      <rPr>
        <sz val="11"/>
        <color theme="1"/>
        <rFont val="Arial"/>
        <family val="2"/>
      </rPr>
      <t>Issue</t>
    </r>
    <r>
      <rPr>
        <sz val="11"/>
        <color theme="1"/>
        <rFont val="標楷體"/>
        <family val="4"/>
        <charset val="136"/>
      </rPr>
      <t>的最新版次相符</t>
    </r>
    <r>
      <rPr>
        <sz val="11"/>
        <color theme="1"/>
        <rFont val="Arial"/>
        <family val="2"/>
      </rPr>
      <t>(</t>
    </r>
    <r>
      <rPr>
        <sz val="11"/>
        <color theme="1"/>
        <rFont val="標楷體"/>
        <family val="4"/>
        <charset val="136"/>
      </rPr>
      <t>含</t>
    </r>
    <r>
      <rPr>
        <sz val="11"/>
        <color theme="1"/>
        <rFont val="Arial"/>
        <family val="2"/>
      </rPr>
      <t>Vendor</t>
    </r>
    <r>
      <rPr>
        <sz val="11"/>
        <color theme="1"/>
        <rFont val="標楷體"/>
        <family val="4"/>
        <charset val="136"/>
      </rPr>
      <t>提供與建造相關圖說及要求</t>
    </r>
    <r>
      <rPr>
        <sz val="11"/>
        <color theme="1"/>
        <rFont val="Arial"/>
        <family val="2"/>
      </rPr>
      <t xml:space="preserve">), </t>
    </r>
    <r>
      <rPr>
        <sz val="11"/>
        <color theme="1"/>
        <rFont val="標楷體"/>
        <family val="4"/>
        <charset val="136"/>
      </rPr>
      <t>且舊版要蓋上</t>
    </r>
    <r>
      <rPr>
        <sz val="11"/>
        <color theme="1"/>
        <rFont val="Arial"/>
        <family val="2"/>
      </rPr>
      <t>VOID</t>
    </r>
    <r>
      <rPr>
        <sz val="11"/>
        <color theme="1"/>
        <rFont val="標楷體"/>
        <family val="4"/>
        <charset val="136"/>
      </rPr>
      <t xml:space="preserve">戳印
</t>
    </r>
    <r>
      <rPr>
        <sz val="11"/>
        <color theme="1"/>
        <rFont val="Arial"/>
        <family val="2"/>
      </rPr>
      <t xml:space="preserve">The revision of IFC is consistent with the latest edition issued from project engineering (includes vendor issued drawings related to construction), and old drawing should be marked with "VOID" stamp. </t>
    </r>
  </si>
  <si>
    <r>
      <t>Part 5 Question (</t>
    </r>
    <r>
      <rPr>
        <sz val="11"/>
        <color rgb="FF0000CC"/>
        <rFont val="標楷體"/>
        <family val="4"/>
        <charset val="136"/>
      </rPr>
      <t>既有</t>
    </r>
    <r>
      <rPr>
        <sz val="11"/>
        <color rgb="FF0000CC"/>
        <rFont val="Arial"/>
        <family val="2"/>
      </rPr>
      <t xml:space="preserve">)
</t>
    </r>
    <r>
      <rPr>
        <sz val="11"/>
        <color rgb="FF0000CC"/>
        <rFont val="標楷體"/>
        <family val="4"/>
        <charset val="136"/>
      </rPr>
      <t>提交包商之圖說版次控管是否到位</t>
    </r>
    <r>
      <rPr>
        <sz val="11"/>
        <color rgb="FF0000CC"/>
        <rFont val="Arial"/>
        <family val="2"/>
      </rPr>
      <t xml:space="preserve">, </t>
    </r>
    <r>
      <rPr>
        <sz val="11"/>
        <color rgb="FF0000CC"/>
        <rFont val="標楷體"/>
        <family val="4"/>
        <charset val="136"/>
      </rPr>
      <t>是否有使用舊版圖說現象</t>
    </r>
    <r>
      <rPr>
        <sz val="11"/>
        <color rgb="FF0000CC"/>
        <rFont val="Arial"/>
        <family val="2"/>
      </rPr>
      <t>.</t>
    </r>
  </si>
  <si>
    <r>
      <rPr>
        <sz val="11"/>
        <color theme="1"/>
        <rFont val="標楷體"/>
        <family val="4"/>
        <charset val="136"/>
      </rPr>
      <t xml:space="preserve">是否依據施工時程，協助跟催相關圖件及材料到位。
</t>
    </r>
    <r>
      <rPr>
        <sz val="11"/>
        <color theme="1"/>
        <rFont val="Arial"/>
        <family val="2"/>
      </rPr>
      <t>Related Drawings and material had been followed up based on construction schedule.</t>
    </r>
  </si>
  <si>
    <r>
      <rPr>
        <sz val="11"/>
        <color theme="1"/>
        <rFont val="標楷體"/>
        <family val="4"/>
        <charset val="136"/>
      </rPr>
      <t>對於逾期未到場項目有無處理機制</t>
    </r>
    <r>
      <rPr>
        <sz val="11"/>
        <color theme="1"/>
        <rFont val="Arial"/>
        <family val="2"/>
      </rPr>
      <t xml:space="preserve"> (control log)
Follow-up mechanism (control log) had been established.</t>
    </r>
  </si>
  <si>
    <r>
      <rPr>
        <sz val="11"/>
        <color theme="1"/>
        <rFont val="標楷體"/>
        <family val="4"/>
        <charset val="136"/>
      </rPr>
      <t>施工單位是否皆了解</t>
    </r>
    <r>
      <rPr>
        <sz val="11"/>
        <color theme="1"/>
        <rFont val="Arial"/>
        <family val="2"/>
      </rPr>
      <t xml:space="preserve"> vendor document</t>
    </r>
    <r>
      <rPr>
        <sz val="11"/>
        <color theme="1"/>
        <rFont val="標楷體"/>
        <family val="4"/>
        <charset val="136"/>
      </rPr>
      <t>中關於施工及保養之規定及要求</t>
    </r>
    <r>
      <rPr>
        <sz val="11"/>
        <color theme="1"/>
        <rFont val="Arial"/>
        <family val="2"/>
      </rPr>
      <t xml:space="preserve"> (</t>
    </r>
    <r>
      <rPr>
        <sz val="11"/>
        <color theme="1"/>
        <rFont val="標楷體"/>
        <family val="4"/>
        <charset val="136"/>
      </rPr>
      <t>包括</t>
    </r>
    <r>
      <rPr>
        <sz val="11"/>
        <color theme="1"/>
        <rFont val="Arial"/>
        <family val="2"/>
      </rPr>
      <t>IOM)</t>
    </r>
    <r>
      <rPr>
        <sz val="11"/>
        <color theme="1"/>
        <rFont val="標楷體"/>
        <family val="4"/>
        <charset val="136"/>
      </rPr>
      <t>。</t>
    </r>
    <r>
      <rPr>
        <sz val="11"/>
        <color theme="1"/>
        <rFont val="Arial"/>
        <family val="2"/>
      </rPr>
      <t>Whether construction section understand the vendor documents upon the requirements of construction and equipment maintenance. (including IOM) or not?</t>
    </r>
  </si>
  <si>
    <r>
      <rPr>
        <sz val="11"/>
        <color theme="1"/>
        <rFont val="標楷體"/>
        <family val="4"/>
        <charset val="136"/>
      </rPr>
      <t>對於</t>
    </r>
    <r>
      <rPr>
        <sz val="11"/>
        <color theme="1"/>
        <rFont val="Arial"/>
        <family val="2"/>
      </rPr>
      <t xml:space="preserve">Vendor issue </t>
    </r>
    <r>
      <rPr>
        <sz val="11"/>
        <color theme="1"/>
        <rFont val="標楷體"/>
        <family val="4"/>
        <charset val="136"/>
      </rPr>
      <t>的文件，包括</t>
    </r>
    <r>
      <rPr>
        <sz val="11"/>
        <color theme="1"/>
        <rFont val="Arial"/>
        <family val="2"/>
      </rPr>
      <t>IOM</t>
    </r>
    <r>
      <rPr>
        <sz val="11"/>
        <color theme="1"/>
        <rFont val="標楷體"/>
        <family val="4"/>
        <charset val="136"/>
      </rPr>
      <t>，施工組都已看過。</t>
    </r>
    <r>
      <rPr>
        <sz val="11"/>
        <color theme="1"/>
        <rFont val="Arial"/>
        <family val="2"/>
      </rPr>
      <t>Construction section has reviewed the vendor documents (including IOM).</t>
    </r>
  </si>
  <si>
    <r>
      <t>Part 3 Question (</t>
    </r>
    <r>
      <rPr>
        <sz val="11"/>
        <color rgb="FF0000CC"/>
        <rFont val="標楷體"/>
        <family val="4"/>
        <charset val="136"/>
      </rPr>
      <t>既有</t>
    </r>
    <r>
      <rPr>
        <sz val="11"/>
        <color rgb="FF0000CC"/>
        <rFont val="Arial"/>
        <family val="2"/>
      </rPr>
      <t xml:space="preserve">)
</t>
    </r>
    <r>
      <rPr>
        <sz val="11"/>
        <color rgb="FF0000CC"/>
        <rFont val="標楷體"/>
        <family val="4"/>
        <charset val="136"/>
      </rPr>
      <t>監工是否有依專案建造施工品質標準執行</t>
    </r>
    <r>
      <rPr>
        <sz val="11"/>
        <color rgb="FF0000CC"/>
        <rFont val="Arial"/>
        <family val="2"/>
      </rPr>
      <t xml:space="preserve">?
</t>
    </r>
    <r>
      <rPr>
        <sz val="11"/>
        <color rgb="FF0000CC"/>
        <rFont val="標楷體"/>
        <family val="4"/>
        <charset val="136"/>
      </rPr>
      <t>監工是否對其施工品質標準完全了解
施工查核品質執行是否徹底</t>
    </r>
    <r>
      <rPr>
        <sz val="11"/>
        <color rgb="FF0000CC"/>
        <rFont val="Arial"/>
        <family val="2"/>
      </rPr>
      <t>?</t>
    </r>
  </si>
  <si>
    <r>
      <rPr>
        <sz val="11"/>
        <color theme="1"/>
        <rFont val="標楷體"/>
        <family val="4"/>
        <charset val="136"/>
      </rPr>
      <t>建造整體工程進度是否落後預定進度</t>
    </r>
    <r>
      <rPr>
        <sz val="11"/>
        <color theme="1"/>
        <rFont val="Arial"/>
        <family val="2"/>
      </rPr>
      <t xml:space="preserve">, </t>
    </r>
    <r>
      <rPr>
        <sz val="11"/>
        <color theme="1"/>
        <rFont val="標楷體"/>
        <family val="4"/>
        <charset val="136"/>
      </rPr>
      <t xml:space="preserve">對於落後工種是否有改善計畫及處理機制。
</t>
    </r>
    <r>
      <rPr>
        <sz val="11"/>
        <color theme="1"/>
        <rFont val="Arial"/>
        <family val="2"/>
      </rPr>
      <t>Is the actual progress is behind the planed schedule? Is there and catch and improvement plan for the delayed discipline?</t>
    </r>
  </si>
  <si>
    <r>
      <t xml:space="preserve">1. &gt;5%(0) ; </t>
    </r>
    <r>
      <rPr>
        <sz val="11"/>
        <color theme="1"/>
        <rFont val="標楷體"/>
        <family val="4"/>
        <charset val="136"/>
      </rPr>
      <t>≦</t>
    </r>
    <r>
      <rPr>
        <sz val="11"/>
        <color theme="1"/>
        <rFont val="Arial"/>
        <family val="2"/>
      </rPr>
      <t xml:space="preserve">0(100)
</t>
    </r>
    <r>
      <rPr>
        <sz val="11"/>
        <color rgb="FF0000CC"/>
        <rFont val="Arial"/>
        <family val="2"/>
      </rPr>
      <t xml:space="preserve">2. </t>
    </r>
    <r>
      <rPr>
        <sz val="11"/>
        <color rgb="FF0000CC"/>
        <rFont val="標楷體"/>
        <family val="4"/>
        <charset val="136"/>
      </rPr>
      <t>各</t>
    </r>
    <r>
      <rPr>
        <sz val="11"/>
        <color rgb="FF0000CC"/>
        <rFont val="Arial"/>
        <family val="2"/>
      </rPr>
      <t>Discipline</t>
    </r>
    <r>
      <rPr>
        <sz val="11"/>
        <color rgb="FF0000CC"/>
        <rFont val="標楷體"/>
        <family val="4"/>
        <charset val="136"/>
      </rPr>
      <t>需完全掌控施工進度並對人力</t>
    </r>
    <r>
      <rPr>
        <sz val="11"/>
        <color rgb="FF0000CC"/>
        <rFont val="Arial"/>
        <family val="2"/>
      </rPr>
      <t>/</t>
    </r>
    <r>
      <rPr>
        <sz val="11"/>
        <color rgb="FF0000CC"/>
        <rFont val="標楷體"/>
        <family val="4"/>
        <charset val="136"/>
      </rPr>
      <t>機具</t>
    </r>
    <r>
      <rPr>
        <sz val="11"/>
        <color rgb="FF0000CC"/>
        <rFont val="Arial"/>
        <family val="2"/>
      </rPr>
      <t>/</t>
    </r>
    <r>
      <rPr>
        <sz val="11"/>
        <color rgb="FF0000CC"/>
        <rFont val="標楷體"/>
        <family val="4"/>
        <charset val="136"/>
      </rPr>
      <t>材料短缺狀況提出反應。</t>
    </r>
    <r>
      <rPr>
        <sz val="11"/>
        <color rgb="FF0000CC"/>
        <rFont val="Arial"/>
        <family val="2"/>
      </rPr>
      <t>Discipline should fully control its progress and raise the subject as shortage of manpower/construction equipment/materials.</t>
    </r>
  </si>
  <si>
    <r>
      <t>Part 4 Question (</t>
    </r>
    <r>
      <rPr>
        <sz val="11"/>
        <color rgb="FF0000CC"/>
        <rFont val="標楷體"/>
        <family val="4"/>
        <charset val="136"/>
      </rPr>
      <t>已新增</t>
    </r>
    <r>
      <rPr>
        <sz val="11"/>
        <color rgb="FF0000CC"/>
        <rFont val="Arial"/>
        <family val="2"/>
      </rPr>
      <t xml:space="preserve">)
</t>
    </r>
    <r>
      <rPr>
        <sz val="11"/>
        <color rgb="FF0000CC"/>
        <rFont val="標楷體"/>
        <family val="4"/>
        <charset val="136"/>
      </rPr>
      <t>各</t>
    </r>
    <r>
      <rPr>
        <sz val="11"/>
        <color rgb="FF0000CC"/>
        <rFont val="Arial"/>
        <family val="2"/>
      </rPr>
      <t>Discipline</t>
    </r>
    <r>
      <rPr>
        <sz val="11"/>
        <color rgb="FF0000CC"/>
        <rFont val="標楷體"/>
        <family val="4"/>
        <charset val="136"/>
      </rPr>
      <t>是否完全掌控施工進度並對人力</t>
    </r>
    <r>
      <rPr>
        <sz val="11"/>
        <color rgb="FF0000CC"/>
        <rFont val="Arial"/>
        <family val="2"/>
      </rPr>
      <t>/</t>
    </r>
    <r>
      <rPr>
        <sz val="11"/>
        <color rgb="FF0000CC"/>
        <rFont val="標楷體"/>
        <family val="4"/>
        <charset val="136"/>
      </rPr>
      <t>機具</t>
    </r>
    <r>
      <rPr>
        <sz val="11"/>
        <color rgb="FF0000CC"/>
        <rFont val="Arial"/>
        <family val="2"/>
      </rPr>
      <t>/</t>
    </r>
    <r>
      <rPr>
        <sz val="11"/>
        <color rgb="FF0000CC"/>
        <rFont val="標楷體"/>
        <family val="4"/>
        <charset val="136"/>
      </rPr>
      <t>材料短缺狀況完全了解</t>
    </r>
    <r>
      <rPr>
        <sz val="11"/>
        <color rgb="FF0000CC"/>
        <rFont val="Arial"/>
        <family val="2"/>
      </rPr>
      <t>.</t>
    </r>
  </si>
  <si>
    <r>
      <rPr>
        <sz val="11"/>
        <color theme="1"/>
        <rFont val="標楷體"/>
        <family val="4"/>
        <charset val="136"/>
      </rPr>
      <t>材控系統與報表資料須與收發庫存數量相符</t>
    </r>
    <r>
      <rPr>
        <sz val="11"/>
        <color theme="1"/>
        <rFont val="Arial"/>
        <family val="2"/>
      </rPr>
      <t>(</t>
    </r>
    <r>
      <rPr>
        <sz val="11"/>
        <color theme="1"/>
        <rFont val="標楷體"/>
        <family val="4"/>
        <charset val="136"/>
      </rPr>
      <t>查核重點為盤點紀錄與實務一致</t>
    </r>
    <r>
      <rPr>
        <sz val="11"/>
        <color theme="1"/>
        <rFont val="Arial"/>
        <family val="2"/>
      </rPr>
      <t>)</t>
    </r>
    <r>
      <rPr>
        <sz val="11"/>
        <color theme="1"/>
        <rFont val="標楷體"/>
        <family val="4"/>
        <charset val="136"/>
      </rPr>
      <t xml:space="preserve">。
</t>
    </r>
    <r>
      <rPr>
        <sz val="11"/>
        <color theme="1"/>
        <rFont val="Arial"/>
        <family val="2"/>
      </rPr>
      <t>The physical account quantity of all items at warehouse is conformed to the control sheet and data in SPM Marian System.</t>
    </r>
  </si>
  <si>
    <r>
      <rPr>
        <sz val="11"/>
        <color theme="1"/>
        <rFont val="標楷體"/>
        <family val="4"/>
        <charset val="136"/>
      </rPr>
      <t xml:space="preserve">報表資料須與庫存數量相符。
</t>
    </r>
    <r>
      <rPr>
        <sz val="11"/>
        <color theme="1"/>
        <rFont val="Arial"/>
        <family val="2"/>
      </rPr>
      <t>The quantity of items at warehouse shall be conformed to the control sheet.</t>
    </r>
  </si>
  <si>
    <r>
      <rPr>
        <sz val="11"/>
        <color theme="1"/>
        <rFont val="標楷體"/>
        <family val="4"/>
        <charset val="136"/>
      </rPr>
      <t>依據工地器材管制作業程序書</t>
    </r>
    <r>
      <rPr>
        <sz val="11"/>
        <color theme="1"/>
        <rFont val="Arial"/>
        <family val="2"/>
      </rPr>
      <t xml:space="preserve"> DMDCP-006-B
Site Material Control Working Procedure DMDCP-006-B.</t>
    </r>
  </si>
  <si>
    <t>5.5.1</t>
    <phoneticPr fontId="10" type="noConversion"/>
  </si>
  <si>
    <r>
      <rPr>
        <sz val="11"/>
        <color theme="1"/>
        <rFont val="標楷體"/>
        <family val="4"/>
        <charset val="136"/>
      </rPr>
      <t>報表資料須與實際工地器材維護作業相符</t>
    </r>
    <r>
      <rPr>
        <sz val="11"/>
        <color theme="1"/>
        <rFont val="Arial"/>
        <family val="2"/>
      </rPr>
      <t>(</t>
    </r>
    <r>
      <rPr>
        <sz val="11"/>
        <color theme="1"/>
        <rFont val="標楷體"/>
        <family val="4"/>
        <charset val="136"/>
      </rPr>
      <t>查核重點為轉機，鼓風機，汽輪機，電機馬達和壓縮設備。</t>
    </r>
    <r>
      <rPr>
        <sz val="11"/>
        <color theme="1"/>
        <rFont val="Arial"/>
        <family val="2"/>
      </rPr>
      <t>)</t>
    </r>
    <r>
      <rPr>
        <sz val="11"/>
        <color theme="1"/>
        <rFont val="標楷體"/>
        <family val="4"/>
        <charset val="136"/>
      </rPr>
      <t xml:space="preserve">。
</t>
    </r>
    <r>
      <rPr>
        <sz val="11"/>
        <color theme="1"/>
        <rFont val="Arial"/>
        <family val="2"/>
      </rPr>
      <t>Construction site materials and equipment preservation work activities at warehouse are conformed to the control sheet, especially for pump, blower, steam turbine, electric motor, and compressor.</t>
    </r>
  </si>
  <si>
    <r>
      <rPr>
        <sz val="11"/>
        <color theme="1"/>
        <rFont val="標楷體"/>
        <family val="4"/>
        <charset val="136"/>
      </rPr>
      <t xml:space="preserve">是否落實工地器材維護作業
</t>
    </r>
    <r>
      <rPr>
        <sz val="11"/>
        <color theme="1"/>
        <rFont val="Arial"/>
        <family val="2"/>
      </rPr>
      <t xml:space="preserve">Material/equipment preservation work is confirmed with working instruction or procedure.
</t>
    </r>
  </si>
  <si>
    <r>
      <rPr>
        <sz val="11"/>
        <color theme="1"/>
        <rFont val="標楷體"/>
        <family val="4"/>
        <charset val="136"/>
      </rPr>
      <t>工地器材維護作業程序書</t>
    </r>
    <r>
      <rPr>
        <sz val="11"/>
        <color theme="1"/>
        <rFont val="Arial"/>
        <family val="2"/>
      </rPr>
      <t xml:space="preserve"> DMDQ-004-B
Site Materials and Equipment Preservation Working Procedure DMDQ-004-B.</t>
    </r>
  </si>
  <si>
    <r>
      <t>Part 6 Question (</t>
    </r>
    <r>
      <rPr>
        <sz val="11"/>
        <color rgb="FF0000CC"/>
        <rFont val="標楷體"/>
        <family val="4"/>
        <charset val="136"/>
      </rPr>
      <t>既有</t>
    </r>
    <r>
      <rPr>
        <sz val="11"/>
        <color rgb="FF0000CC"/>
        <rFont val="Arial"/>
        <family val="2"/>
      </rPr>
      <t xml:space="preserve">)
</t>
    </r>
    <r>
      <rPr>
        <sz val="11"/>
        <color rgb="FF0000CC"/>
        <rFont val="標楷體"/>
        <family val="4"/>
        <charset val="136"/>
      </rPr>
      <t>器材</t>
    </r>
    <r>
      <rPr>
        <sz val="11"/>
        <color rgb="FF0000CC"/>
        <rFont val="Arial"/>
        <family val="2"/>
      </rPr>
      <t>/</t>
    </r>
    <r>
      <rPr>
        <sz val="11"/>
        <color rgb="FF0000CC"/>
        <rFont val="標楷體"/>
        <family val="4"/>
        <charset val="136"/>
      </rPr>
      <t>設備保養是否徹底</t>
    </r>
    <r>
      <rPr>
        <sz val="11"/>
        <color rgb="FF0000CC"/>
        <rFont val="Arial"/>
        <family val="2"/>
      </rPr>
      <t xml:space="preserve">? </t>
    </r>
    <r>
      <rPr>
        <sz val="11"/>
        <color rgb="FF0000CC"/>
        <rFont val="標楷體"/>
        <family val="4"/>
        <charset val="136"/>
      </rPr>
      <t>所需防锈</t>
    </r>
    <r>
      <rPr>
        <sz val="11"/>
        <color rgb="FF0000CC"/>
        <rFont val="Arial"/>
        <family val="2"/>
      </rPr>
      <t>/</t>
    </r>
    <r>
      <rPr>
        <sz val="11"/>
        <color rgb="FF0000CC"/>
        <rFont val="標楷體"/>
        <family val="4"/>
        <charset val="136"/>
      </rPr>
      <t>乾燥劑是否備妥</t>
    </r>
    <r>
      <rPr>
        <sz val="11"/>
        <color rgb="FF0000CC"/>
        <rFont val="Arial"/>
        <family val="2"/>
      </rPr>
      <t>?</t>
    </r>
  </si>
  <si>
    <t>5.5.2</t>
    <phoneticPr fontId="10" type="noConversion"/>
  </si>
  <si>
    <r>
      <rPr>
        <sz val="11"/>
        <color theme="1"/>
        <rFont val="標楷體"/>
        <family val="4"/>
        <charset val="136"/>
      </rPr>
      <t>工地現場材控實務器材儲存工作須與指導書相符</t>
    </r>
    <r>
      <rPr>
        <sz val="11"/>
        <color theme="1"/>
        <rFont val="Arial"/>
        <family val="2"/>
      </rPr>
      <t>(</t>
    </r>
    <r>
      <rPr>
        <sz val="11"/>
        <color theme="1"/>
        <rFont val="標楷體"/>
        <family val="4"/>
        <charset val="136"/>
      </rPr>
      <t>查核重點為實務根據器材種類</t>
    </r>
    <r>
      <rPr>
        <sz val="11"/>
        <color theme="1"/>
        <rFont val="Arial"/>
        <family val="2"/>
      </rPr>
      <t xml:space="preserve">, </t>
    </r>
    <r>
      <rPr>
        <sz val="11"/>
        <color theme="1"/>
        <rFont val="標楷體"/>
        <family val="4"/>
        <charset val="136"/>
      </rPr>
      <t>材質</t>
    </r>
    <r>
      <rPr>
        <sz val="11"/>
        <color theme="1"/>
        <rFont val="Arial"/>
        <family val="2"/>
      </rPr>
      <t xml:space="preserve">, </t>
    </r>
    <r>
      <rPr>
        <sz val="11"/>
        <color theme="1"/>
        <rFont val="標楷體"/>
        <family val="4"/>
        <charset val="136"/>
      </rPr>
      <t>尺寸</t>
    </r>
    <r>
      <rPr>
        <sz val="11"/>
        <color theme="1"/>
        <rFont val="Arial"/>
        <family val="2"/>
      </rPr>
      <t xml:space="preserve">, </t>
    </r>
    <r>
      <rPr>
        <sz val="11"/>
        <color theme="1"/>
        <rFont val="標楷體"/>
        <family val="4"/>
        <charset val="136"/>
      </rPr>
      <t>特殊規範要求儲存</t>
    </r>
    <r>
      <rPr>
        <sz val="11"/>
        <color theme="1"/>
        <rFont val="Arial"/>
        <family val="2"/>
      </rPr>
      <t>)</t>
    </r>
    <r>
      <rPr>
        <sz val="11"/>
        <color theme="1"/>
        <rFont val="標楷體"/>
        <family val="4"/>
        <charset val="136"/>
      </rPr>
      <t xml:space="preserve">。
</t>
    </r>
    <r>
      <rPr>
        <sz val="11"/>
        <color theme="1"/>
        <rFont val="Arial"/>
        <family val="2"/>
      </rPr>
      <t>The actual site equipment / material storage handling activities at warehouse are conformed to the working instruction based on material class, size and special requirement as per specification.</t>
    </r>
  </si>
  <si>
    <r>
      <rPr>
        <sz val="11"/>
        <color theme="1"/>
        <rFont val="標楷體"/>
        <family val="4"/>
        <charset val="136"/>
      </rPr>
      <t xml:space="preserve">是否落實材料儲存作業。
</t>
    </r>
    <r>
      <rPr>
        <sz val="11"/>
        <color theme="1"/>
        <rFont val="Arial"/>
        <family val="2"/>
      </rPr>
      <t>Material storage activities are confirmed with the working instruction or procedure.</t>
    </r>
  </si>
  <si>
    <r>
      <rPr>
        <sz val="11"/>
        <color theme="1"/>
        <rFont val="標楷體"/>
        <family val="4"/>
        <charset val="136"/>
      </rPr>
      <t>依據工地器材儲存工作指導書</t>
    </r>
    <r>
      <rPr>
        <sz val="11"/>
        <color theme="1"/>
        <rFont val="Arial"/>
        <family val="2"/>
      </rPr>
      <t xml:space="preserve"> DMWIP-003-B
Site Equipment / Material Storage Working Instruction DMWIP-003-B.</t>
    </r>
  </si>
  <si>
    <t>5.5.3</t>
    <phoneticPr fontId="10" type="noConversion"/>
  </si>
  <si>
    <r>
      <rPr>
        <sz val="11"/>
        <color theme="1"/>
        <rFont val="標楷體"/>
        <family val="4"/>
        <charset val="136"/>
      </rPr>
      <t>報表資料須與實際收料檢驗及測試工作相符</t>
    </r>
    <r>
      <rPr>
        <sz val="11"/>
        <color theme="1"/>
        <rFont val="Arial"/>
        <family val="2"/>
      </rPr>
      <t>(</t>
    </r>
    <r>
      <rPr>
        <sz val="11"/>
        <color theme="1"/>
        <rFont val="標楷體"/>
        <family val="4"/>
        <charset val="136"/>
      </rPr>
      <t>查核重點為不合格品的追蹤紀錄與實務解決</t>
    </r>
    <r>
      <rPr>
        <sz val="11"/>
        <color theme="1"/>
        <rFont val="Arial"/>
        <family val="2"/>
      </rPr>
      <t>)</t>
    </r>
    <r>
      <rPr>
        <sz val="11"/>
        <color theme="1"/>
        <rFont val="標楷體"/>
        <family val="4"/>
        <charset val="136"/>
      </rPr>
      <t xml:space="preserve">。
</t>
    </r>
    <r>
      <rPr>
        <sz val="11"/>
        <color theme="1"/>
        <rFont val="Arial"/>
        <family val="2"/>
      </rPr>
      <t>Construction site material receiving inspection and test activities at warehouse are conformed to the procedure or program, especially for OSD material tracing record and countermeasure activities.</t>
    </r>
  </si>
  <si>
    <r>
      <rPr>
        <sz val="11"/>
        <color theme="1"/>
        <rFont val="標楷體"/>
        <family val="4"/>
        <charset val="136"/>
      </rPr>
      <t>是否落實工地器材收料檢查作業及</t>
    </r>
    <r>
      <rPr>
        <sz val="11"/>
        <color theme="1"/>
        <rFont val="Arial"/>
        <family val="2"/>
      </rPr>
      <t>OSD</t>
    </r>
    <r>
      <rPr>
        <sz val="11"/>
        <color theme="1"/>
        <rFont val="標楷體"/>
        <family val="4"/>
        <charset val="136"/>
      </rPr>
      <t xml:space="preserve">追蹤管控。
</t>
    </r>
    <r>
      <rPr>
        <sz val="11"/>
        <color theme="1"/>
        <rFont val="Arial"/>
        <family val="2"/>
      </rPr>
      <t>The inspection activities during site material/equipment receiving are confirmed with the working instruction and procedure, the OSD is traceable and controlled.</t>
    </r>
  </si>
  <si>
    <r>
      <rPr>
        <sz val="11"/>
        <color theme="1"/>
        <rFont val="標楷體"/>
        <family val="4"/>
        <charset val="136"/>
      </rPr>
      <t>收料檢驗及測試工作指導書</t>
    </r>
    <r>
      <rPr>
        <sz val="11"/>
        <color theme="1"/>
        <rFont val="Arial"/>
        <family val="2"/>
      </rPr>
      <t xml:space="preserve"> DMWIP-004-B
Material Receiving Inspection and Test Working Instruction DMWIP-004-B.</t>
    </r>
  </si>
  <si>
    <t>5.5.4</t>
  </si>
  <si>
    <r>
      <rPr>
        <sz val="11"/>
        <color theme="1"/>
        <rFont val="標楷體"/>
        <family val="4"/>
        <charset val="136"/>
      </rPr>
      <t>工地是否有對包商領料後的材料管理做稽核或管理機制</t>
    </r>
    <r>
      <rPr>
        <sz val="11"/>
        <color theme="1"/>
        <rFont val="Arial"/>
        <family val="2"/>
      </rPr>
      <t>?
Whether site has the mechanism of audit and management after materials issued to subcontractors or not?</t>
    </r>
  </si>
  <si>
    <r>
      <t xml:space="preserve">1. </t>
    </r>
    <r>
      <rPr>
        <sz val="11"/>
        <color theme="1"/>
        <rFont val="標楷體"/>
        <family val="4"/>
        <charset val="136"/>
      </rPr>
      <t>稽核紀錄。</t>
    </r>
    <r>
      <rPr>
        <sz val="11"/>
        <color theme="1"/>
        <rFont val="Arial"/>
        <family val="2"/>
      </rPr>
      <t xml:space="preserve">Audit report.
2. </t>
    </r>
    <r>
      <rPr>
        <sz val="11"/>
        <color theme="1"/>
        <rFont val="標楷體"/>
        <family val="4"/>
        <charset val="136"/>
      </rPr>
      <t>管理辦法。</t>
    </r>
    <r>
      <rPr>
        <sz val="11"/>
        <color theme="1"/>
        <rFont val="Arial"/>
        <family val="2"/>
      </rPr>
      <t>Management method.</t>
    </r>
  </si>
  <si>
    <t>5.5.5</t>
    <phoneticPr fontId="10" type="noConversion"/>
  </si>
  <si>
    <r>
      <rPr>
        <sz val="11"/>
        <color theme="1"/>
        <rFont val="標楷體"/>
        <family val="4"/>
        <charset val="136"/>
      </rPr>
      <t xml:space="preserve">同仁對器材管理程序認知
</t>
    </r>
    <r>
      <rPr>
        <sz val="11"/>
        <color theme="1"/>
        <rFont val="Arial"/>
        <family val="2"/>
      </rPr>
      <t>Employee has comprehension of equipment/material management plans, working procedures and other specialized document.</t>
    </r>
  </si>
  <si>
    <r>
      <rPr>
        <sz val="11"/>
        <color theme="1"/>
        <rFont val="標楷體"/>
        <family val="4"/>
        <charset val="136"/>
      </rPr>
      <t xml:space="preserve">抽查倉庫同仁對器材相關計畫、程序及收料標準的認知。
</t>
    </r>
    <r>
      <rPr>
        <sz val="11"/>
        <color theme="1"/>
        <rFont val="Arial"/>
        <family val="2"/>
      </rPr>
      <t>To investigate the comprehension of equipment/material plans, procedures and material receiving standard of warehouse personnel.</t>
    </r>
  </si>
  <si>
    <r>
      <t>Part 3 Question (</t>
    </r>
    <r>
      <rPr>
        <sz val="11"/>
        <color rgb="FF0000CC"/>
        <rFont val="標楷體"/>
        <family val="4"/>
        <charset val="136"/>
      </rPr>
      <t>新增</t>
    </r>
    <r>
      <rPr>
        <sz val="11"/>
        <color rgb="FF0000CC"/>
        <rFont val="Arial"/>
        <family val="2"/>
      </rPr>
      <t xml:space="preserve">)
</t>
    </r>
    <r>
      <rPr>
        <sz val="11"/>
        <color rgb="FF0000CC"/>
        <rFont val="標楷體"/>
        <family val="4"/>
        <charset val="136"/>
      </rPr>
      <t>監工是否有依專案建造施工品質標準執行</t>
    </r>
    <r>
      <rPr>
        <sz val="11"/>
        <color rgb="FF0000CC"/>
        <rFont val="Arial"/>
        <family val="2"/>
      </rPr>
      <t xml:space="preserve">?
</t>
    </r>
    <r>
      <rPr>
        <sz val="11"/>
        <color rgb="FF0000CC"/>
        <rFont val="標楷體"/>
        <family val="4"/>
        <charset val="136"/>
      </rPr>
      <t>監工是否對其施工品質標準完全了解
施工查核品質執行是否徹底</t>
    </r>
    <r>
      <rPr>
        <sz val="11"/>
        <color rgb="FF0000CC"/>
        <rFont val="Arial"/>
        <family val="2"/>
      </rPr>
      <t>?</t>
    </r>
  </si>
  <si>
    <r>
      <rPr>
        <sz val="11"/>
        <color theme="1"/>
        <rFont val="標楷體"/>
        <family val="4"/>
        <charset val="136"/>
      </rPr>
      <t>是否落實</t>
    </r>
    <r>
      <rPr>
        <sz val="11"/>
        <color theme="1"/>
        <rFont val="Arial"/>
        <family val="2"/>
      </rPr>
      <t>CMS</t>
    </r>
    <r>
      <rPr>
        <sz val="11"/>
        <color theme="1"/>
        <rFont val="標楷體"/>
        <family val="4"/>
        <charset val="136"/>
      </rPr>
      <t xml:space="preserve">之利用。
</t>
    </r>
    <r>
      <rPr>
        <sz val="11"/>
        <color theme="1"/>
        <rFont val="Arial"/>
        <family val="2"/>
      </rPr>
      <t>Whether CMS is used for construction management?</t>
    </r>
  </si>
  <si>
    <r>
      <rPr>
        <sz val="11"/>
        <color theme="1"/>
        <rFont val="標楷體"/>
        <family val="4"/>
        <charset val="136"/>
      </rPr>
      <t xml:space="preserve">進度及計價管控。
</t>
    </r>
    <r>
      <rPr>
        <sz val="11"/>
        <color theme="1"/>
        <rFont val="Arial"/>
        <family val="2"/>
      </rPr>
      <t xml:space="preserve">Progress and payment control. </t>
    </r>
  </si>
  <si>
    <t>5.7</t>
    <phoneticPr fontId="10" type="noConversion"/>
  </si>
  <si>
    <r>
      <rPr>
        <sz val="11"/>
        <color theme="1"/>
        <rFont val="標楷體"/>
        <family val="4"/>
        <charset val="136"/>
      </rPr>
      <t>每週週報按時提送</t>
    </r>
    <r>
      <rPr>
        <sz val="11"/>
        <color theme="1"/>
        <rFont val="Arial"/>
        <family val="2"/>
      </rPr>
      <t xml:space="preserve"> (CDM)</t>
    </r>
    <r>
      <rPr>
        <sz val="11"/>
        <color theme="1"/>
        <rFont val="標楷體"/>
        <family val="4"/>
        <charset val="136"/>
      </rPr>
      <t xml:space="preserve">。
</t>
    </r>
    <r>
      <rPr>
        <sz val="11"/>
        <color theme="1"/>
        <rFont val="Arial"/>
        <family val="2"/>
      </rPr>
      <t>Weekly report on the CDM is submitted on time.</t>
    </r>
  </si>
  <si>
    <r>
      <rPr>
        <sz val="11"/>
        <color theme="1"/>
        <rFont val="標楷體"/>
        <family val="4"/>
        <charset val="136"/>
      </rPr>
      <t xml:space="preserve">每週週報定時提送且經專案工地經理審核。
</t>
    </r>
    <r>
      <rPr>
        <sz val="11"/>
        <color theme="1"/>
        <rFont val="Arial"/>
        <family val="2"/>
      </rPr>
      <t>Weekly report on the CDM is submitted on time and approved by PSM.</t>
    </r>
  </si>
  <si>
    <t>5.8</t>
    <phoneticPr fontId="10" type="noConversion"/>
  </si>
  <si>
    <r>
      <rPr>
        <sz val="11"/>
        <color theme="1"/>
        <rFont val="標楷體"/>
        <family val="4"/>
        <charset val="136"/>
      </rPr>
      <t xml:space="preserve">建造人力是否有確實記錄與管控
</t>
    </r>
    <r>
      <rPr>
        <sz val="11"/>
        <color theme="1"/>
        <rFont val="Arial"/>
        <family val="2"/>
      </rPr>
      <t>Whether the construction manpower is well recorded and controlled</t>
    </r>
    <r>
      <rPr>
        <sz val="11"/>
        <color theme="1"/>
        <rFont val="標楷體"/>
        <family val="4"/>
        <charset val="136"/>
      </rPr>
      <t>？</t>
    </r>
  </si>
  <si>
    <r>
      <rPr>
        <sz val="11"/>
        <color theme="1"/>
        <rFont val="標楷體"/>
        <family val="4"/>
        <charset val="136"/>
      </rPr>
      <t>不同包商</t>
    </r>
    <r>
      <rPr>
        <sz val="11"/>
        <color theme="1"/>
        <rFont val="Arial"/>
        <family val="2"/>
      </rPr>
      <t>/</t>
    </r>
    <r>
      <rPr>
        <sz val="11"/>
        <color theme="1"/>
        <rFont val="標楷體"/>
        <family val="4"/>
        <charset val="136"/>
      </rPr>
      <t xml:space="preserve">部門的人力須各別紀錄分析。
</t>
    </r>
    <r>
      <rPr>
        <sz val="11"/>
        <color theme="1"/>
        <rFont val="Arial"/>
        <family val="2"/>
      </rPr>
      <t>Each sub-contractor/ discipline manpower should be record and analyzed.</t>
    </r>
  </si>
  <si>
    <t>5.9</t>
    <phoneticPr fontId="10" type="noConversion"/>
  </si>
  <si>
    <r>
      <rPr>
        <sz val="11"/>
        <color theme="1"/>
        <rFont val="標楷體"/>
        <family val="4"/>
        <charset val="136"/>
      </rPr>
      <t>建造時程管控是否有預測功能</t>
    </r>
    <r>
      <rPr>
        <sz val="11"/>
        <color theme="1"/>
        <rFont val="Arial"/>
        <family val="2"/>
      </rPr>
      <t xml:space="preserve">? </t>
    </r>
    <r>
      <rPr>
        <sz val="11"/>
        <color theme="1"/>
        <rFont val="標楷體"/>
        <family val="4"/>
        <charset val="136"/>
      </rPr>
      <t xml:space="preserve">以推估未來完成時程與進度
</t>
    </r>
    <r>
      <rPr>
        <sz val="11"/>
        <color theme="1"/>
        <rFont val="Arial"/>
        <family val="2"/>
      </rPr>
      <t>Whether  future date and progress can be forecasted in the construction schedule control.</t>
    </r>
  </si>
  <si>
    <r>
      <rPr>
        <sz val="11"/>
        <color theme="1"/>
        <rFont val="標楷體"/>
        <family val="4"/>
        <charset val="136"/>
      </rPr>
      <t>三週</t>
    </r>
    <r>
      <rPr>
        <sz val="11"/>
        <color theme="1"/>
        <rFont val="Arial"/>
        <family val="2"/>
      </rPr>
      <t>/</t>
    </r>
    <r>
      <rPr>
        <sz val="11"/>
        <color theme="1"/>
        <rFont val="標楷體"/>
        <family val="4"/>
        <charset val="136"/>
      </rPr>
      <t xml:space="preserve">三月預估進度表，建造預期時程更新
</t>
    </r>
    <r>
      <rPr>
        <sz val="11"/>
        <color theme="1"/>
        <rFont val="Arial"/>
        <family val="2"/>
      </rPr>
      <t>3 Week/ 3 Month look ahead schedule, Construction forecast schedule are updated with actual condition.</t>
    </r>
  </si>
  <si>
    <t>5.10</t>
    <phoneticPr fontId="10" type="noConversion"/>
  </si>
  <si>
    <r>
      <rPr>
        <sz val="11"/>
        <color theme="1"/>
        <rFont val="標楷體"/>
        <family val="4"/>
        <charset val="136"/>
      </rPr>
      <t xml:space="preserve">各施工單位工作量是否確實管控，及對應的效率分析評估。
</t>
    </r>
    <r>
      <rPr>
        <sz val="11"/>
        <color theme="1"/>
        <rFont val="Arial"/>
        <family val="2"/>
      </rPr>
      <t>Work quantity in each discipline are well controlled, and productivity are analyzed and assessed respectively.</t>
    </r>
  </si>
  <si>
    <r>
      <rPr>
        <sz val="11"/>
        <color theme="1"/>
        <rFont val="標楷體"/>
        <family val="4"/>
        <charset val="136"/>
      </rPr>
      <t xml:space="preserve">量化進度時程控制表及效率產能評估
</t>
    </r>
    <r>
      <rPr>
        <sz val="11"/>
        <color theme="1"/>
        <rFont val="Arial"/>
        <family val="2"/>
      </rPr>
      <t>Quantifying the data of schedule and progress in control log and evaluating efficiency &amp; productivity.</t>
    </r>
  </si>
  <si>
    <t>5.11</t>
    <phoneticPr fontId="10" type="noConversion"/>
  </si>
  <si>
    <r>
      <rPr>
        <sz val="11"/>
        <color theme="1"/>
        <rFont val="標楷體"/>
        <family val="4"/>
        <charset val="136"/>
      </rPr>
      <t xml:space="preserve">定期進行進度審查和內部協調會議
</t>
    </r>
    <r>
      <rPr>
        <sz val="11"/>
        <color theme="1"/>
        <rFont val="Arial"/>
        <family val="2"/>
      </rPr>
      <t>To audit progress verification and the internal coordinate meeting regularly</t>
    </r>
  </si>
  <si>
    <r>
      <rPr>
        <sz val="11"/>
        <color theme="1"/>
        <rFont val="標楷體"/>
        <family val="4"/>
        <charset val="136"/>
      </rPr>
      <t xml:space="preserve">定期進度審查及協調會議，針對進度落後項目肇因分析及矯正措施
</t>
    </r>
    <r>
      <rPr>
        <sz val="11"/>
        <color theme="1"/>
        <rFont val="Arial"/>
        <family val="2"/>
      </rPr>
      <t>To audit progress verification and the coordinate meeting regularly. Find the root cause &amp; the correction activities to the delayed items.</t>
    </r>
  </si>
  <si>
    <t>6.0</t>
    <phoneticPr fontId="10" type="noConversion"/>
  </si>
  <si>
    <r>
      <rPr>
        <b/>
        <sz val="11"/>
        <color theme="1"/>
        <rFont val="標楷體"/>
        <family val="4"/>
        <charset val="136"/>
      </rPr>
      <t>工地總務</t>
    </r>
    <r>
      <rPr>
        <b/>
        <sz val="11"/>
        <color theme="1"/>
        <rFont val="Arial"/>
        <family val="2"/>
      </rPr>
      <t xml:space="preserve"> Site General Affairs</t>
    </r>
  </si>
  <si>
    <r>
      <t>SOM Signature</t>
    </r>
    <r>
      <rPr>
        <b/>
        <sz val="11"/>
        <color theme="1"/>
        <rFont val="標楷體"/>
        <family val="4"/>
        <charset val="136"/>
      </rPr>
      <t>簽名</t>
    </r>
  </si>
  <si>
    <r>
      <rPr>
        <sz val="11"/>
        <color theme="1"/>
        <rFont val="標楷體"/>
        <family val="4"/>
        <charset val="136"/>
      </rPr>
      <t>辦公室管理</t>
    </r>
    <r>
      <rPr>
        <sz val="11"/>
        <color theme="1"/>
        <rFont val="Arial"/>
        <family val="2"/>
      </rPr>
      <t>(</t>
    </r>
    <r>
      <rPr>
        <sz val="11"/>
        <color theme="1"/>
        <rFont val="標楷體"/>
        <family val="4"/>
        <charset val="136"/>
      </rPr>
      <t>人員出勤管理</t>
    </r>
    <r>
      <rPr>
        <sz val="11"/>
        <color theme="1"/>
        <rFont val="Arial"/>
        <family val="2"/>
      </rPr>
      <t>/</t>
    </r>
    <r>
      <rPr>
        <sz val="11"/>
        <color theme="1"/>
        <rFont val="標楷體"/>
        <family val="4"/>
        <charset val="136"/>
      </rPr>
      <t>辦公室環境整潔</t>
    </r>
    <r>
      <rPr>
        <sz val="11"/>
        <color theme="1"/>
        <rFont val="Arial"/>
        <family val="2"/>
      </rPr>
      <t>)</t>
    </r>
    <r>
      <rPr>
        <sz val="11"/>
        <color theme="1"/>
        <rFont val="標楷體"/>
        <family val="4"/>
        <charset val="136"/>
      </rPr>
      <t xml:space="preserve">。
</t>
    </r>
    <r>
      <rPr>
        <sz val="11"/>
        <color theme="1"/>
        <rFont val="Arial"/>
        <family val="2"/>
      </rPr>
      <t>Site office management ( staff attendance / office 5S).</t>
    </r>
  </si>
  <si>
    <t xml:space="preserve"> </t>
    <phoneticPr fontId="10" type="noConversion"/>
  </si>
  <si>
    <t>6.2</t>
    <phoneticPr fontId="10" type="noConversion"/>
  </si>
  <si>
    <r>
      <rPr>
        <sz val="11"/>
        <color theme="1"/>
        <rFont val="標楷體"/>
        <family val="4"/>
        <charset val="136"/>
      </rPr>
      <t xml:space="preserve">零星採購
</t>
    </r>
    <r>
      <rPr>
        <sz val="11"/>
        <color theme="1"/>
        <rFont val="Arial"/>
        <family val="2"/>
      </rPr>
      <t>Simplified site procurement</t>
    </r>
  </si>
  <si>
    <r>
      <rPr>
        <sz val="11"/>
        <color theme="1"/>
        <rFont val="標楷體"/>
        <family val="4"/>
        <charset val="136"/>
      </rPr>
      <t>器材：≦</t>
    </r>
    <r>
      <rPr>
        <sz val="11"/>
        <color theme="1"/>
        <rFont val="Arial"/>
        <family val="2"/>
      </rPr>
      <t>3</t>
    </r>
    <r>
      <rPr>
        <sz val="11"/>
        <color theme="1"/>
        <rFont val="標楷體"/>
        <family val="4"/>
        <charset val="136"/>
      </rPr>
      <t>萬</t>
    </r>
    <r>
      <rPr>
        <sz val="11"/>
        <color theme="1"/>
        <rFont val="Arial"/>
        <family val="2"/>
      </rPr>
      <t xml:space="preserve"> / </t>
    </r>
    <r>
      <rPr>
        <sz val="11"/>
        <color theme="1"/>
        <rFont val="標楷體"/>
        <family val="4"/>
        <charset val="136"/>
      </rPr>
      <t>簡便請購單、</t>
    </r>
    <r>
      <rPr>
        <sz val="11"/>
        <color theme="1"/>
        <rFont val="Arial"/>
        <family val="2"/>
      </rPr>
      <t>3</t>
    </r>
    <r>
      <rPr>
        <sz val="11"/>
        <color theme="1"/>
        <rFont val="標楷體"/>
        <family val="4"/>
        <charset val="136"/>
      </rPr>
      <t>萬</t>
    </r>
    <r>
      <rPr>
        <sz val="11"/>
        <color theme="1"/>
        <rFont val="Arial"/>
        <family val="2"/>
      </rPr>
      <t>~50</t>
    </r>
    <r>
      <rPr>
        <sz val="11"/>
        <color theme="1"/>
        <rFont val="標楷體"/>
        <family val="4"/>
        <charset val="136"/>
      </rPr>
      <t>萬</t>
    </r>
    <r>
      <rPr>
        <sz val="11"/>
        <color theme="1"/>
        <rFont val="Arial"/>
        <family val="2"/>
      </rPr>
      <t xml:space="preserve"> / </t>
    </r>
    <r>
      <rPr>
        <sz val="11"/>
        <color theme="1"/>
        <rFont val="標楷體"/>
        <family val="4"/>
        <charset val="136"/>
      </rPr>
      <t xml:space="preserve">請購單
</t>
    </r>
    <r>
      <rPr>
        <sz val="11"/>
        <color theme="1"/>
        <rFont val="Arial"/>
        <family val="2"/>
      </rPr>
      <t xml:space="preserve">Material/Equipment </t>
    </r>
    <r>
      <rPr>
        <sz val="11"/>
        <color theme="1"/>
        <rFont val="標楷體"/>
        <family val="4"/>
        <charset val="136"/>
      </rPr>
      <t>≦</t>
    </r>
    <r>
      <rPr>
        <sz val="11"/>
        <color theme="1"/>
        <rFont val="Arial"/>
        <family val="2"/>
      </rPr>
      <t xml:space="preserve">TWD30,000 / simplified requisition
                                   TWD30,000 ~500,000  / requisition 
</t>
    </r>
    <r>
      <rPr>
        <sz val="11"/>
        <color theme="1"/>
        <rFont val="標楷體"/>
        <family val="4"/>
        <charset val="136"/>
      </rPr>
      <t>發包：≦</t>
    </r>
    <r>
      <rPr>
        <sz val="11"/>
        <color theme="1"/>
        <rFont val="Arial"/>
        <family val="2"/>
      </rPr>
      <t>50</t>
    </r>
    <r>
      <rPr>
        <sz val="11"/>
        <color theme="1"/>
        <rFont val="標楷體"/>
        <family val="4"/>
        <charset val="136"/>
      </rPr>
      <t>萬</t>
    </r>
    <r>
      <rPr>
        <sz val="11"/>
        <color theme="1"/>
        <rFont val="Arial"/>
        <family val="2"/>
      </rPr>
      <t xml:space="preserve"> / </t>
    </r>
    <r>
      <rPr>
        <sz val="11"/>
        <color theme="1"/>
        <rFont val="標楷體"/>
        <family val="4"/>
        <charset val="136"/>
      </rPr>
      <t>簡便請購單、</t>
    </r>
    <r>
      <rPr>
        <sz val="11"/>
        <color theme="1"/>
        <rFont val="Arial"/>
        <family val="2"/>
      </rPr>
      <t>50</t>
    </r>
    <r>
      <rPr>
        <sz val="11"/>
        <color theme="1"/>
        <rFont val="標楷體"/>
        <family val="4"/>
        <charset val="136"/>
      </rPr>
      <t>萬</t>
    </r>
    <r>
      <rPr>
        <sz val="11"/>
        <color theme="1"/>
        <rFont val="Arial"/>
        <family val="2"/>
      </rPr>
      <t>~200</t>
    </r>
    <r>
      <rPr>
        <sz val="11"/>
        <color theme="1"/>
        <rFont val="標楷體"/>
        <family val="4"/>
        <charset val="136"/>
      </rPr>
      <t>萬</t>
    </r>
    <r>
      <rPr>
        <sz val="11"/>
        <color theme="1"/>
        <rFont val="Arial"/>
        <family val="2"/>
      </rPr>
      <t xml:space="preserve"> / </t>
    </r>
    <r>
      <rPr>
        <sz val="11"/>
        <color theme="1"/>
        <rFont val="標楷體"/>
        <family val="4"/>
        <charset val="136"/>
      </rPr>
      <t xml:space="preserve">請購單
</t>
    </r>
    <r>
      <rPr>
        <sz val="11"/>
        <color theme="1"/>
        <rFont val="Arial"/>
        <family val="2"/>
      </rPr>
      <t>Subcontracting</t>
    </r>
    <r>
      <rPr>
        <sz val="11"/>
        <color theme="1"/>
        <rFont val="標楷體"/>
        <family val="4"/>
        <charset val="136"/>
      </rPr>
      <t>：≦</t>
    </r>
    <r>
      <rPr>
        <sz val="11"/>
        <color theme="1"/>
        <rFont val="Arial"/>
        <family val="2"/>
      </rPr>
      <t>TWD500,000 / simplified requisition
                              TWD500,000~2,000,000/ requisition
(</t>
    </r>
    <r>
      <rPr>
        <sz val="11"/>
        <color theme="1"/>
        <rFont val="標楷體"/>
        <family val="4"/>
        <charset val="136"/>
      </rPr>
      <t>有無經過</t>
    </r>
    <r>
      <rPr>
        <sz val="11"/>
        <color theme="1"/>
        <rFont val="Arial"/>
        <family val="2"/>
      </rPr>
      <t>marian</t>
    </r>
    <r>
      <rPr>
        <sz val="11"/>
        <color theme="1"/>
        <rFont val="標楷體"/>
        <family val="4"/>
        <charset val="136"/>
      </rPr>
      <t>比價</t>
    </r>
    <r>
      <rPr>
        <sz val="11"/>
        <color theme="1"/>
        <rFont val="Arial"/>
        <family val="2"/>
      </rPr>
      <t>) Has been bid through marian.</t>
    </r>
  </si>
  <si>
    <r>
      <t xml:space="preserve">PJ-403 </t>
    </r>
    <r>
      <rPr>
        <sz val="11"/>
        <color theme="1"/>
        <rFont val="標楷體"/>
        <family val="4"/>
        <charset val="136"/>
      </rPr>
      <t>專案請購程序書</t>
    </r>
    <r>
      <rPr>
        <sz val="11"/>
        <color theme="1"/>
        <rFont val="Arial"/>
        <family val="2"/>
      </rPr>
      <t xml:space="preserve"> Project requisition procedure
CP-002 </t>
    </r>
    <r>
      <rPr>
        <sz val="11"/>
        <color theme="1"/>
        <rFont val="標楷體"/>
        <family val="4"/>
        <charset val="136"/>
      </rPr>
      <t>公司授權準則</t>
    </r>
    <r>
      <rPr>
        <sz val="11"/>
        <color theme="1"/>
        <rFont val="Arial"/>
        <family val="2"/>
      </rPr>
      <t xml:space="preserve"> Authorization procedure</t>
    </r>
  </si>
  <si>
    <t>6.3</t>
    <phoneticPr fontId="10" type="noConversion"/>
  </si>
  <si>
    <r>
      <rPr>
        <sz val="11"/>
        <color theme="1"/>
        <rFont val="標楷體"/>
        <family val="4"/>
        <charset val="136"/>
      </rPr>
      <t xml:space="preserve">工地費用管理
</t>
    </r>
    <r>
      <rPr>
        <sz val="11"/>
        <color theme="1"/>
        <rFont val="Arial"/>
        <family val="2"/>
      </rPr>
      <t xml:space="preserve">Site Expense Management
</t>
    </r>
  </si>
  <si>
    <r>
      <t>a.</t>
    </r>
    <r>
      <rPr>
        <sz val="11"/>
        <color theme="1"/>
        <rFont val="標楷體"/>
        <family val="4"/>
        <charset val="136"/>
      </rPr>
      <t xml:space="preserve">禁止代墊廠商工程款及材料款，如特殊需代墊要有總經理簽呈。
</t>
    </r>
    <r>
      <rPr>
        <sz val="11"/>
        <color theme="1"/>
        <rFont val="Arial"/>
        <family val="2"/>
      </rPr>
      <t>a. Advanced payment of material or construction to vendors is prohibited. In special case, advance payment is required, it should be approved by the President.
b.</t>
    </r>
    <r>
      <rPr>
        <sz val="11"/>
        <color theme="1"/>
        <rFont val="標楷體"/>
        <family val="4"/>
        <charset val="136"/>
      </rPr>
      <t xml:space="preserve">零用金報銷及時性與帳目平衡。
</t>
    </r>
    <r>
      <rPr>
        <sz val="11"/>
        <color theme="1"/>
        <rFont val="Arial"/>
        <family val="2"/>
      </rPr>
      <t>b. Reimburse the petty cash in time, keep the account in balance.
c.</t>
    </r>
    <r>
      <rPr>
        <sz val="11"/>
        <color theme="1"/>
        <rFont val="標楷體"/>
        <family val="4"/>
        <charset val="136"/>
      </rPr>
      <t xml:space="preserve">工地費用各項會計科目支出比例合理性。
</t>
    </r>
    <r>
      <rPr>
        <sz val="11"/>
        <color theme="1"/>
        <rFont val="Arial"/>
        <family val="2"/>
      </rPr>
      <t>c. Site expense ratio is reasonable of the cost accounting expense. 
d.</t>
    </r>
    <r>
      <rPr>
        <sz val="11"/>
        <color theme="1"/>
        <rFont val="標楷體"/>
        <family val="4"/>
        <charset val="136"/>
      </rPr>
      <t xml:space="preserve">下腳料處理按程序執行。
</t>
    </r>
    <r>
      <rPr>
        <sz val="11"/>
        <color theme="1"/>
        <rFont val="Arial"/>
        <family val="2"/>
      </rPr>
      <t>d. Surplus materials handling process is implemented by procedure.</t>
    </r>
  </si>
  <si>
    <r>
      <t xml:space="preserve">PJ-204 </t>
    </r>
    <r>
      <rPr>
        <sz val="11"/>
        <color theme="1"/>
        <rFont val="標楷體"/>
        <family val="4"/>
        <charset val="136"/>
      </rPr>
      <t>專案器材管理準則</t>
    </r>
    <r>
      <rPr>
        <sz val="11"/>
        <color theme="1"/>
        <rFont val="Arial"/>
        <family val="2"/>
      </rPr>
      <t xml:space="preserve"> Project materials management procedure</t>
    </r>
    <r>
      <rPr>
        <sz val="11"/>
        <color theme="1"/>
        <rFont val="標楷體"/>
        <family val="4"/>
        <charset val="136"/>
      </rPr>
      <t>、</t>
    </r>
    <r>
      <rPr>
        <sz val="11"/>
        <color theme="1"/>
        <rFont val="Arial"/>
        <family val="2"/>
      </rPr>
      <t xml:space="preserve">CP-404-C </t>
    </r>
    <r>
      <rPr>
        <sz val="11"/>
        <color theme="1"/>
        <rFont val="標楷體"/>
        <family val="4"/>
        <charset val="136"/>
      </rPr>
      <t>週轉金管理辦法</t>
    </r>
    <r>
      <rPr>
        <sz val="11"/>
        <color theme="1"/>
        <rFont val="Arial"/>
        <family val="2"/>
      </rPr>
      <t xml:space="preserve"> Clause 4.2</t>
    </r>
  </si>
  <si>
    <t>6.4</t>
    <phoneticPr fontId="10" type="noConversion"/>
  </si>
  <si>
    <r>
      <rPr>
        <sz val="11"/>
        <color theme="1"/>
        <rFont val="標楷體"/>
        <family val="4"/>
        <charset val="136"/>
      </rPr>
      <t xml:space="preserve">工地生活滿意度
</t>
    </r>
    <r>
      <rPr>
        <sz val="11"/>
        <color theme="1"/>
        <rFont val="Arial"/>
        <family val="2"/>
      </rPr>
      <t>General affair service satisfaction</t>
    </r>
  </si>
  <si>
    <r>
      <rPr>
        <sz val="11"/>
        <color theme="1"/>
        <rFont val="標楷體"/>
        <family val="4"/>
        <charset val="136"/>
      </rPr>
      <t xml:space="preserve">同仁多數滿意宿舍、交通、飲食及其他需總務組協助事項。
</t>
    </r>
    <r>
      <rPr>
        <sz val="11"/>
        <color theme="1"/>
        <rFont val="Arial"/>
        <family val="2"/>
      </rPr>
      <t>Most of colleagues satisfied accommodation, transportation, meals and other items needed to assist from general affair.</t>
    </r>
  </si>
  <si>
    <t>6.5</t>
    <phoneticPr fontId="10" type="noConversion"/>
  </si>
  <si>
    <r>
      <rPr>
        <sz val="11"/>
        <color theme="1"/>
        <rFont val="標楷體"/>
        <family val="4"/>
        <charset val="136"/>
      </rPr>
      <t xml:space="preserve">工地財務管理
</t>
    </r>
    <r>
      <rPr>
        <sz val="11"/>
        <color theme="1"/>
        <rFont val="Arial"/>
        <family val="2"/>
      </rPr>
      <t>Site financial management</t>
    </r>
  </si>
  <si>
    <r>
      <rPr>
        <sz val="11"/>
        <color theme="1"/>
        <rFont val="標楷體"/>
        <family val="4"/>
        <charset val="136"/>
      </rPr>
      <t xml:space="preserve">固定及非消耗品帳目及借出借入控制表。
</t>
    </r>
    <r>
      <rPr>
        <sz val="11"/>
        <color theme="1"/>
        <rFont val="Arial"/>
        <family val="2"/>
      </rPr>
      <t>Fixed and non-consumable accounts and lending borrowing control table.</t>
    </r>
  </si>
  <si>
    <t>6.6</t>
  </si>
  <si>
    <r>
      <rPr>
        <sz val="11"/>
        <color theme="1"/>
        <rFont val="標楷體"/>
        <family val="4"/>
        <charset val="136"/>
      </rPr>
      <t xml:space="preserve">外勞管理
</t>
    </r>
    <r>
      <rPr>
        <sz val="11"/>
        <color theme="1"/>
        <rFont val="Arial"/>
        <family val="2"/>
      </rPr>
      <t>Management of imported labor.</t>
    </r>
  </si>
  <si>
    <r>
      <rPr>
        <sz val="11"/>
        <color theme="1"/>
        <rFont val="標楷體"/>
        <family val="4"/>
        <charset val="136"/>
      </rPr>
      <t xml:space="preserve">建立門禁制度，有生活守則可遵循。
</t>
    </r>
    <r>
      <rPr>
        <sz val="11"/>
        <color theme="1"/>
        <rFont val="Arial"/>
        <family val="2"/>
      </rPr>
      <t>Establishing security system. Daily activities manual for imported labors is developed.</t>
    </r>
  </si>
  <si>
    <r>
      <rPr>
        <b/>
        <sz val="11"/>
        <color theme="1"/>
        <rFont val="標楷體"/>
        <family val="4"/>
        <charset val="136"/>
      </rPr>
      <t>總積分</t>
    </r>
    <r>
      <rPr>
        <b/>
        <sz val="11"/>
        <color theme="1"/>
        <rFont val="Arial"/>
        <family val="2"/>
      </rPr>
      <t xml:space="preserve"> Total Credit:</t>
    </r>
  </si>
  <si>
    <t>HL-EXC-LSC-QAC-NCR-00030</t>
  </si>
  <si>
    <t xml:space="preserve">On 24th October, after insulation process for lot #9-2-1, the silicone check was conducted on the 5m sample of the beginning part of production length as a part of internal quality check. In the test, a protrusion was found on the conductor screen layer. LSC decided to stop the insulation process because the protrusion is able to adversely affect insulation quality.
1. Data of occurrence: 24th Oct 2024
2. Cable information: 220kV Al 1000SQ #9-2-1 (1,454m, insulation process completed)
3. Specific issue: Protrusion on conductor screen layer
</t>
  </si>
  <si>
    <t>HL3.2.1 section 2 #9-2-1 (1000SQ)</t>
  </si>
  <si>
    <t>LSC-NCR-000031</t>
  </si>
  <si>
    <t>HL-EXC-LSC-QAC-NCR-00031</t>
  </si>
  <si>
    <t>1. Incident Date and Time:
• Monday, October 28, 2024, 04:54 AM
2. Affected Equipment:
• 250CCV
3. Incident Description:
• During the production (#9-2-3) on 250CCV insulation process, at the time of production 12,331m, PET tape (Approx. 1.5m, for conductor protection) was got into insulation X-head.</t>
  </si>
  <si>
    <t>HL3.2.1 section 2 #9-2-3 (1000SQ)</t>
  </si>
  <si>
    <t>%</t>
  </si>
  <si>
    <t>PQP_Submission</t>
  </si>
  <si>
    <t>PQP_Approved</t>
  </si>
  <si>
    <t>ITP_Submission</t>
  </si>
  <si>
    <t>ITP_Approved</t>
  </si>
  <si>
    <t>NCR_Opening</t>
  </si>
  <si>
    <t>NCR_Closed</t>
  </si>
  <si>
    <t>OBS_Opening</t>
  </si>
  <si>
    <t>OBS_Closed</t>
  </si>
  <si>
    <t>Sum of ITP_Submission</t>
  </si>
  <si>
    <t>Sum of ITP_Approved</t>
  </si>
  <si>
    <t>Sum of NCR_Opening</t>
  </si>
  <si>
    <t>Sum of NCR_Closed</t>
  </si>
  <si>
    <t>Sum of OBS_Opening</t>
  </si>
  <si>
    <t>Sum of OBS_Closed</t>
  </si>
  <si>
    <t>Sum of PQP_Submission</t>
  </si>
  <si>
    <t>Sum of PQP_Approved</t>
  </si>
  <si>
    <t>Raise Date</t>
  </si>
  <si>
    <t xml:space="preserve">
From
Mr Paul Antypas - Hellenic Cables</t>
  </si>
  <si>
    <t>JDN</t>
  </si>
  <si>
    <t>Dec-2023</t>
  </si>
  <si>
    <t>Dec-2024</t>
  </si>
  <si>
    <t>Jan-2024</t>
  </si>
  <si>
    <t>Feb-2024</t>
  </si>
  <si>
    <t>Jul-2024</t>
  </si>
  <si>
    <t>Jan-2022</t>
  </si>
  <si>
    <t>Sep-2024</t>
  </si>
  <si>
    <t>Oct-2024</t>
  </si>
  <si>
    <t>Nov-2024</t>
  </si>
  <si>
    <t>Aug-2024</t>
  </si>
  <si>
    <t>Jun-2024</t>
  </si>
  <si>
    <t>Apr-2024</t>
  </si>
  <si>
    <t>Mar-2024</t>
  </si>
  <si>
    <t>Jan-2023</t>
  </si>
  <si>
    <t>Feb-2023</t>
  </si>
  <si>
    <t>Mar-2023</t>
  </si>
  <si>
    <t>Apr-2023</t>
  </si>
  <si>
    <t>May-2023</t>
  </si>
  <si>
    <t>Jun-2023</t>
  </si>
  <si>
    <t>Jul-2023</t>
  </si>
  <si>
    <t>Aug-2023</t>
  </si>
  <si>
    <t>Sep-2023</t>
  </si>
  <si>
    <t>Oct-2023</t>
  </si>
  <si>
    <t>Nov-2023</t>
  </si>
  <si>
    <t>Feb-2022</t>
  </si>
  <si>
    <t>Mar-2022</t>
  </si>
  <si>
    <t>Apr-2022</t>
  </si>
  <si>
    <t>May-2022</t>
  </si>
  <si>
    <t>Jun-2022</t>
  </si>
  <si>
    <t>Jul-2022</t>
  </si>
  <si>
    <t>Aug-200</t>
  </si>
  <si>
    <t>Sep-2022</t>
  </si>
  <si>
    <t>Oct-2022</t>
  </si>
  <si>
    <t>Nov-2022</t>
  </si>
  <si>
    <t>Dec-2022</t>
  </si>
  <si>
    <t xml:space="preserve">Using for Statistic </t>
  </si>
  <si>
    <t>NCR</t>
  </si>
  <si>
    <t>Hellenic Cable</t>
  </si>
  <si>
    <t>Seaway 7</t>
  </si>
  <si>
    <t>Scope</t>
  </si>
  <si>
    <t>Email</t>
  </si>
  <si>
    <t>Request HHL to provide an official report to HL</t>
  </si>
  <si>
    <t>KCT Status Key</t>
  </si>
  <si>
    <t>May-2024</t>
  </si>
  <si>
    <t>Scope
[Formula]</t>
  </si>
  <si>
    <t>HL-CTI-SW7-QMT-ITP-00017</t>
  </si>
  <si>
    <t>OCS - Inspection and Test Plan</t>
  </si>
  <si>
    <t>Rev. 2</t>
  </si>
  <si>
    <t>HL-CTI-SW7-QMT-ITP-00018</t>
  </si>
  <si>
    <t>Seatrench - Dive ladder inspection and test plan</t>
  </si>
  <si>
    <t>Rev. 1</t>
  </si>
  <si>
    <t>HL-CTI-SW7-QMT-ITP-00019</t>
  </si>
  <si>
    <t>HL-CTI-SW7-QMT-ITP-00020</t>
  </si>
  <si>
    <t>HL-CTI-SW7-QMT-ITP-00024</t>
  </si>
  <si>
    <t>Tai Shing - Swale Roller - ITP</t>
  </si>
  <si>
    <t>Tai Shing - New Chute - ITP</t>
  </si>
  <si>
    <t>Tai Shing - Boatlanding - ITP</t>
  </si>
  <si>
    <t>Issued for review Oct 2024</t>
  </si>
  <si>
    <t>IFI in Nov, 2024</t>
  </si>
  <si>
    <t>CDWE-NCR-000019</t>
  </si>
  <si>
    <t>Aconex
[Input]</t>
  </si>
  <si>
    <t xml:space="preserve">J04 Unsatisfactory 28-day compressive strength Results </t>
  </si>
  <si>
    <t>HL-TNI-CDWE-ENG-MST-00013 (7.0)</t>
  </si>
  <si>
    <t>J04</t>
  </si>
  <si>
    <t>Ruben Wesemael</t>
  </si>
  <si>
    <t xml:space="preserve">To comply with the Sika Grout 9800 TAC, during grouting of a leg cubes need to be sampled. The cubes need to achieve a certain compressive strength after 28 days of curing in a controlled environment . Sampling of these cubes happen at 3 stages or ‘sets’ namely at the beginning (10% of grouting progress completed) called set 1, middle (50% of grouting progress completed) called set 2 and at the end (90% of grouting progress completed) called set 3. 
For each set 5 cubes are sampled to undergo the 28-day compressive strength test. Out of these, minimally 3 need to achieve the threshold value of compressive strength as defined in the Sika Grout 9800 TAC (mean cub strength ≥113 MPa and individual cube strength ≥105 MPa). As contingency, 2 spare cubes for 28-day compression test and 1 spare cube for 90 days compressive strength are additionally sampled and cured. Note that this sampling progress is pre-agreed and is defined in the Method statement Grouting operations.
The 28-day cube tests performed on the 8th of October at MPA Hannover showed that for leg C of location J04 of the 3 sets of 5 No. cubes cast, 9 out of the 15 cubes crushed in an unsatisfactory manner, with front loaded/partial cracks. 
For Sample Sets 1 and 3, the 2No. spare cubes underwent an additional surface preparation and were afterwards tested with satisfactory results. This provided the minimum number of cubes (3) to meet the Sika Grout 9800 TAC threshold for both the individual and mean characteristic strengths.
 Sample Set 1 (grouting progress at 10%): Unsatisfactory cubes pictured before and after crush tests. HL-21-J04 C-8 and J04-C9.
 Sample Set 3 (grouting progress at 90%): Unsatisfactory cubes pictured before and after crush tests. HL-21-J04 C-31 and J04-C32.
For Sample Set 2, the 5No. samples taken to test at 28-days were all deemed unsatisfactory. After an additional surface preparation the two spare cubes were also tested and had a satisfactory result to meet the individual and mean characteristic strength criteria. 
However, as there are only 2 satisfactory cubes, the minimum TAC requirement of 3 No. cubes per sample set has not been met yet. 
For this third cube, the 90-day cube sample shall be tested on 9th of December at MPA Hannover. When this has satisfactory results, the requirement of 3 satisfactory cubes is met for certification of this sample set.
 Sample Set 2 (50%): Unsatisfactory cubes pictured before and after crush tests. HL-21-J04 C-17 to J04-C21.
</t>
  </si>
  <si>
    <t>Cloas-out Date</t>
  </si>
  <si>
    <t>Obs</t>
  </si>
  <si>
    <t>#
[Formula]</t>
  </si>
  <si>
    <t>the saddack is move and the re Jun 2025. schedule wl be update</t>
  </si>
  <si>
    <t xml:space="preserve">Thisis a technical issue, Daniel M is responsibble to discuss this matter with Bill during the meeting. This issue relaeted to the product, but Daniel M is confirmed the cable is fine at this monent. </t>
  </si>
  <si>
    <t>EMPL-RFNCR-000043</t>
  </si>
  <si>
    <t>Closed by S7 without issue</t>
  </si>
  <si>
    <t xml:space="preserve">this NCR can be closed </t>
  </si>
  <si>
    <t>Verification and Validation of HL2A Export Cable Pull-in Operations and CPS Integrity</t>
  </si>
  <si>
    <t>Daniel Mitchell</t>
  </si>
  <si>
    <t>HL2A-EXC</t>
  </si>
  <si>
    <t xml:space="preserve">- HL-CTI-SW7-ENG-PRC-00006 Cable Installation Procedure
- HL-CTI-SW7-ENG-RPT-00002 Export Cable Installation Analysis Report
- TW0001-MCN-MOC-0023 CPS Pre-installation Analysis
- TW0001-MCN-MOC-0019 Update on Messenger Wire Retrieval Task Plan 
</t>
  </si>
  <si>
    <t xml:space="preserve">Hi Seaway7 team
We have identified a concern regarding the HL2A Export Cable pull-in operation. These concerns are from observations during the operation that indicate a deviation from the original design.
The installation of the HL2A cable was not to the intended design, particularly concerning stand-off distances and ranges. The absence of clear installable parameters compromised the precision needed to ensure the integrity of the cable during the installation process. The design's boundary conditions must be communicated clearly to the offshore team to prevent such operation deviations.
Additionally, the integrity of the CPS is a concern following the installation of the HL2A cable. Video evidence (“1910 CPS bending”) indicates that the CPS Touchdown Point (TDP) lifted off the rock bag berm during the operation. The video further shows that the cable could not move smoothly over the rollers on the CDG, resulting in tension buildup, particularly on the vessel's Port side, which caused the CPS to bend under stress. The tension, as recorded in the DPR, was 9.5 tons at 20:23. There is a clear need to assess the loading that the CPS endured during the operation and whether any damage occurred as a result.
This is a comprehensive issue that involves both design implementation deficiencies and insufficient operational quality control.
To address these concerns, we formally request Seaway7 to verify and validate the HL2A pull-in operations, focusing on identifying and rectifying any deviations from the design that could affect the integrity of the cable and CPS. In addition, we ask for a detailed investigation into the potential damage to the HL2A Export Cable and CPS.
Regards,
Daniel Huang
</t>
  </si>
  <si>
    <t>2024/10/02
 - Justin help to draft the NCR to close out..
This NCR was closed as project progress and walkdown inspection afetr the installation.</t>
  </si>
  <si>
    <t>EMPL-RFNCR-000034</t>
  </si>
  <si>
    <t>EMPL-RFNCR-000008 ↓
SW7-NCR-000004
SW7-NCR-000002</t>
  </si>
  <si>
    <t>SW7-NCR-000004</t>
  </si>
  <si>
    <t>EMPL-NCR-000006</t>
  </si>
  <si>
    <t>SW7-NCR-000003</t>
  </si>
  <si>
    <r>
      <rPr>
        <sz val="11"/>
        <rFont val="Calibri"/>
        <family val="2"/>
      </rPr>
      <t xml:space="preserve">2024/07/01
Daniel H - comment the NCR can't be closed due to Metadata is not clear and some TBC entries need to be clarified.
2024/07/30
Daniel Park supplyment the request documents to close the NCR.
2024/8/1
Daniel huang closed the NCR to qualuty view.
======================================
EMPL-RFNCR-000007 ↓
SW7-NCR-000003
SW7-NCR-000001
</t>
    </r>
    <r>
      <rPr>
        <b/>
        <sz val="11"/>
        <rFont val="Calibri"/>
        <family val="2"/>
      </rPr>
      <t xml:space="preserve">
2024/11/15
 - Daniel closed SW7-NCR-000003 due to this NCR is duplicated with SW7-NCR-000001 and to+J76 prevent the information and communication confusion. </t>
    </r>
  </si>
  <si>
    <t xml:space="preserve">HL-CTI-SW7-ENG-DIA-00011 (3.0) DFO - HDD Plan and Profile Crossing 4 HL3-A
HL-CTI-SW7-ENG-DIA-00006 (1.0) DFO - HDD Operations and Pipe Installation Storyboard 
DFO-TIPL-HL-TW0001-FM—0005_01 
Conduit Installation As Built Report HL-3B [DFO-TIPL-HL-ASB-0004] </t>
  </si>
  <si>
    <t xml:space="preserve">Ref Synergi Case 24895445 - DFO-TIPL NCR
HDPE pipe #4 (HL-3A) was observed arching above sea surface after completion of pull back operation.
Timeline of incident:
• 26th July at 21:18 - Commence HDPE pipe for HDD #4 (HL-3A) pull back
• 27th July at 10:24 – Complete HDPE pipe pull back
• Incident - 27th July around noon time – HDPE pipe found to have emerged from the water, see attached picture (HL-3A 1st Reported Arch )
• 27th July 13:30 – Meeting held with DFO/TIPL and they proposed to pull the HDPE pipe back to shore for 1 joint to get rid of the arc. [Ref. MOC-03]
• 27th July 23:30 - Pipe was pulled back to shore by 12m and the arc was not seen above water
• 29th July around noon time – Pipe is seen arching out above water, see attached picture [HL3A - Arch after 1st Pull Back MOC-03] .
• 1st Aug 10:00 – Meeting with HL and DFO/TIPL held at 10am; HL give instruction [ref. EMPL-GNC-005942] to pull the pipe back by 8m with max. pulling force of 40mT. Ref. MOC-04.
• 1st Aug 16:30 - TIPL pulled the pipe back to shore with starting pulling force of 20mT for 10mins, then increase the pulling force to 30mT for 10mins, 35mT (10mins) and up to 40mT (10mins). Soon after the tension is released, the pipe cripped back into the conduit. At the end the pipe was only pulled by 3.2m. Pipe arch still visible above water at 0.2m (low) tide. Picture attached [HL-3A-Arch after 2nd Pull Back [MOC-04]
Jack Up Barge to remain at HL-3A final location as guard vessel. 
Note:The details/description of the nonconformity are the same as those in SW7-NCR-000001 because these two cases are duplicated. 
</t>
  </si>
  <si>
    <t xml:space="preserve">Initial Measures：
Pullback of the pipe to remove the arched section as recorded in MOC-3 and MOC-4 as attached.
Perform MBES survey to confirm the as-installed position of the HDPE pipes, whether they fully rest on the seabed or not. Based on the results, determine further actions including whether additional stabilization on the HDPE pipe is required.
Releasing any air entrapment and adding additional weight to the tail string assembly. Conduct a multi-beam sonar survey to confirm the elevation of the pipe with respect to the seabed.
Remedial Actions：
Multi-beam sonar survey to confirm the elevation of the pipe with respect to the seabed.
Adding an additional drill pipe and barrel reamer to the tail string assembly to increase weight and lower the assembly to the seabed. 
Note:Please refer to SW7-NCR-000001 for the additional information, because these two cases are duplicated. </t>
  </si>
  <si>
    <t xml:space="preserve">
• HIRA for the HDD remedial work (diving intervention) was performed on 11-Oct. Code 2 of documents required to perform the remedial work received after HIRA and prior to the commencement of the remedial work.
• The remedial work started on 23-Nov and completed on 26-Nov. Since there was a change on the seabed condition, the remedial work only counted for adding extra big bags at drill string end and saddles as stabilization (Ref. MOC-007).
• The completion and as-left status of these works is recorded within DFO-Seatrench - Technical Notes - Stabilisation of HDD HL 3A. Ref. [HL-CTI-SW7-GEO-TNO-00005] which has been issued to Employer.
• 4th MBES Survey (post HDD HL-3A remedial work) has been completed on 3-Nov.
• DFO-TIPL-HL-RPT-0060_Technical Note MBES Survey was submitted to demonstrate that HL-3A tail string as left configuration, after diving intervention is in a safe condition. 
Note:Please refer to SW7-NCR-000001 for the additional information, because these two cases are duplicated. 
</t>
  </si>
  <si>
    <t xml:space="preserve">• Planned Route of Drilled Hole - Minor Deviation from Actual (All Strings):
Position of HL-3A: exit point approx. 17m downstream from pilot drilling exit point with 22m of pipe exposed above the seabed and the visible section of pipe at approx. 4m above the seabed
• Insufficient Drill Pipes:
CPAR Analysis does not account for or assess potential causal impact from there being only 4 Drill Pipes versus the 5 Drill Pipes on the other three lines. Irrespective of the reason for there being 4 Drill Pipes on HL-3A, the bearing that this could have on the stabilisation of the HDPE pipe must be assessed as a variable​
• Soil Conditions:
CPAR Analysis conclusions point to a very soft formation at the exit point with insufficient overburden to hold the pipe in the designed profile, causing the pipe to exit early with additional length of exposure and with the natural buoyancy of the pipe causing it to arc​​. 
Note:Please refer to SW7-NCR-000001 for the additional information, because these two cases are duplicated. </t>
  </si>
  <si>
    <t xml:space="preserve">• Remedial Action：
Final analysis results confirm no further remedial action is required on any of the HDPE lines prior to tie-in works in 2024 and 2025. Remedial works to lower HDD line HL-3A are necessary from a safety perspective.
• Temporary Action：
Remedial work started on 23-Nov and completed on 26-Nov, including adding extra big bags at drill string end and saddles for stabilization. Final MBES survey on 3-Nov confirmed HL-3A tail string is in a safe condition​. 
Note:Please refer to SW7-NCR-000001 for the additional information, because these two cases are duplicated. </t>
  </si>
  <si>
    <t xml:space="preserve">• Remedial actions were completed from November 23 to 26, including adding extra big bags at the drill string end and saddles for stabilization.
• The fourth MBES survey was completed on November 3, confirming the HL-3A tail string is in a safe condition after the diving intervention.
• The case was closed following the final analysis and remedial works​. 
Note:Please refer to SW7-NCR-000001 for the additional information, because these two cases are duplicated. </t>
  </si>
  <si>
    <t xml:space="preserve">The final MBES survey demonstrated that the HL-3A tail string, after diving intervention, is in a safe condition.
The case was closed following remedial works and analysis performed in respect of the as-left condition of all HDD Lines 
Note:Please refer to SW7-NCR-000001 for the additional information, because these two cases are duplicated. </t>
  </si>
  <si>
    <t>SW7-NCR-000008</t>
  </si>
  <si>
    <t>Inspection and Test Plan for Marine Survey Activity</t>
  </si>
  <si>
    <t xml:space="preserve"> </t>
  </si>
  <si>
    <t xml:space="preserve">Synergi Case: 24896869
Multi Bean Survey performed on 8th August 2023 as part of the investigation into the
nonconformance - arched HPDE Pipe HL-3A [Synergi Case 24895545].
The survey shows that the pipe end in HL-3A is not located in the design corridor [Ref. Photo attached - HL-3B MBES Survey]
The extent of the deviation is not known at this stage but the survey data as per attached extract would indicate that it is out with the required tolerance : Length within 2% of planned total length, horizontal accuracy within 0.5% of HDD length [Ref. HDD Scope of Work TW00001-SOW-00004 Section 4.2] 
</t>
  </si>
  <si>
    <t xml:space="preserve">HL-3B HDD Pipe End </t>
  </si>
  <si>
    <t xml:space="preserve">Product is reworkable </t>
  </si>
  <si>
    <t xml:space="preserve">In order to straighten the HOPE pipe and tailstring assembly the JUB will be relocated to HOD No. 3, the drill string lifted to the stinger, the JUB then moved to the drilling alignment and the tailstring assembly then lowered to the sea bed. Ref. DFO-TIPL-HL_x0002_MOC-0006.
Following this operation, a further multi bean survey will be undertaken to confirm the alignment of the pipe and tail string assembly. </t>
  </si>
  <si>
    <t xml:space="preserve">
A MBES survey was carried out at HL3B location on 23-08-23 which confirmed that the tailstring was once again straightened and in alignment with the drilling alignment - refer 20230823_HL-3A_HL-3B_Preview (attached to this case.) </t>
  </si>
  <si>
    <t xml:space="preserve">
Fenny Wiyono </t>
  </si>
  <si>
    <t xml:space="preserve">Inattention to task and / or supervision needs improvement.
DFO-TIPL to investigate.
CAPA Analysis reviews timeline and execution of works in accordance with project procedures. CAPA Analysis draws the speculative conclusion that 3rd Party intervention was probable cause of pipe movement. There is no evidence of this. </t>
  </si>
  <si>
    <t xml:space="preserve">
DFO-TIPL to activate their own QA protocol, submit incident report as well as root cause analysis and CAPA (Corrective and Preventive Action)</t>
  </si>
  <si>
    <t xml:space="preserve">DFO/TIPL has submitted their CAPA investigation via email on 6-Sep 2023. Report is attached to the S7 Synergi Case for reference. DFO/TIPL concluded that the tailstring was most likely moved by third party intervention but there was no supporting evidence provided to support such a conclusion. </t>
  </si>
  <si>
    <t xml:space="preserve">Case closed on the basis that HL-3B was brought back into a compliant position. Therefore, Product Integrity Maintained / not compromised </t>
  </si>
  <si>
    <t xml:space="preserve">Following installation of the bottom layer mats, the client has now requested an NCR on the 3 x mats installed for our crossing:
EMPL-RFNCR-000034 Crossing Bottom Layer Mattress NCR [HL2B]
The Crossing Design Report does not show gaps between mattresses. It also highlights that ref [2] does not list installation tolerances. </t>
  </si>
  <si>
    <t xml:space="preserve">HL2B crossing </t>
  </si>
  <si>
    <t xml:space="preserve">HL2B </t>
  </si>
  <si>
    <t xml:space="preserve">Partial Scrap Defect (6m) - Repair with Factory Joint </t>
  </si>
  <si>
    <t xml:space="preserve">The 6m insulation length including the 1.5m PET tape will be removed, and the remaining two lengths of 12.3km and 2.5km will be joined by unplanned factory joint. To perform the unplanned factory joint process, LSC will proceed as follows:
1. After the jacketing process, LSC will cut a total of 6 meters, including the 1.5m of PET tape, from 12,327m to 12,333m mark.
2. Conduct an examination of the cut 6-meter section to confirm that the PET tape has been completely removed.
3. Proceed the unplanned factory joint process to join the 12.3 km and 2.5 km lengths.
4. Verify the integrity of the factory joint according to the submitted Inspection and Test Plan (ITP) and test procedure. Furthermore, the manufacturing process can proceed without impacting the existing completion date of the HL3.2 submarine cable.
Furthermore, the manufacturing process can proceed without impacting the existing completion date of the HL3.2 submarine cable. </t>
  </si>
  <si>
    <t xml:space="preserve">LSC insulation team has changed the cleaning schedule for the yellow box containing the cut PET tape.
1. There was no cleaning schedule for the yellow box containing the cut PET tape. Therefore, after discussion with the operators, LSC insulation team set a cleaning schedule to clear the cut PET tape every two hours.
2. LSC insulation team will create a cleaning log for the cut PET tape to enable regular management and conduct on-site training for all line workers
[Preventive actions]
LSC insulation team is planning to install a sensor and buzzer for detecting PET tape.
1. The installation location will be between the P/O caterpillar machine and the accumulator machine.
2. When the sensor detects the PET tape, the alarm will activate and remain until the worker manually removes the PET tape. </t>
  </si>
  <si>
    <t xml:space="preserve">1. The cleaning schedule for the cut PET tape was changed to every two hours and is currently recorded in the cleaning log.
2. A PET tape detecting sensor has been installed to prevent the inclusion of PET tape in the insulation X-head. </t>
  </si>
  <si>
    <t>HL2-OSS Jacket</t>
  </si>
  <si>
    <t>Assessed to have no integrity impacts</t>
  </si>
  <si>
    <t>ROV on board of MIV Green Jade to be sent to the area of concern with two objectives:
1. Attempt to cut ropes and webslings to remove or get them out of the way as much as possible
2. Simulate ROV operations required for pull in activities and confirm whether ropes imply a risk for the equipment or not.
Conclusion was that cutting was not possible without potentially impacting / endangering the ROV and / or the surrounding structures, but that ROV operations were definitively not endangered in the area due to those ropes being in that location as they were generally found to be under the structure and not considered as loose.</t>
  </si>
  <si>
    <t>ROV operations carried out with two purposes.
1. Proved ROV operations in area of concern were safe for ROV equipment and did not pose any danger for cable pull in operations.
2. Removed slings to the maximum extent possible
Footage included as attachment to this NCR in package Mudmat Sling ROV footage HL2 OSS JKT installation. Material certificates for Slings and Ropes also included as attachments to show no impact on future integrity factors.</t>
  </si>
  <si>
    <t>ROV on board of MIV Green Jade to be sent to the area of concern with two objectives:
1. Attempt to cut ropes and webslings or get them out of the way as much as possible
2. Simulate ROV operations required for pull in activities and confirm whether ropes imply a risk for the equipment or not.
Conclusion was that cutting was not possible, but that ROV operations were definitively not endangered in the area due to those ropes being in that location.
Preventive Actions not possible as both OSS FOU's are installed in the same condition, therefore no lessons can learned for future installations on Hai Long as No Longer Applicable.  However, lessons can be learnt by CDWE for future projects.</t>
  </si>
  <si>
    <t>The webbing slings are fabricated out of Polyester (See Material Test Certificate (MTC 2.2, [HL-OSS-S23-Q09-00005 (1.0) Material Certificate AMD 1_ Code 1])) and, unlike HMPE slings, do not float. See footage. Polyester is a non-biodegradable fiber. Researchers estimate that polyester takes up to 300 years to degrade completely. This means that, for example, clothing and other products (webbing slings) made from these fibers will sit in landfills for hundreds of years without breaking down. Which in this specific situation is comparable to being buried under a layer of sand. As such, the polyester webbing slings have no environmental impact on the foundation within the 25-year life cycle.
ROV operations proved safe in the area of concern. See footage. No impact for cable pull-in operations.</t>
  </si>
  <si>
    <t>This issue is related to the eniormental impact.</t>
  </si>
  <si>
    <t>Not yet</t>
  </si>
  <si>
    <t xml:space="preserve">Final Product Integrity focus on the environment impact.
According to CDWE's statement and the Employer's assessment, it is concluded the environmental risks are low to negligible with Installation and operation phase within the product life cycle 25-years.
The final assessment factor are as follows,
Marine Environment (Ocean): Estimates suggest that polyester may take 20-200 years to degrade significantly, depending on exposure to UV radiation and the presence of microorganisms capable of degrading synthetic polymers.
1. UV Exposure Effect: Sunlight can photodegrade polyester over time, breaking down its polymer chains. However, this process is slower underwater or in deeper marine environments with limited sunlight. The materials are all over 40 metres deep in the ocean environment and items that are left in situ are under the Jacket with high likelihood to be permanently covered by sand and therefore not considered to be exposed to UV radiation.
2. Mechanical Abrasion: Waves and sand can physically wear down polyester items, fragmenting them into smaller pieces. The materials are under the Jacket with high likelihood to be permanently covered by sand and therefore not considered to be exposed to excessive Mechanical Abrasion (If any).
3. Microbial Activity: Although some marine microorganisms have shown the ability to degrade synthetic polymers, this process is slow and not well-developed for polyester. The materials are under the Jacket with high likelihood to be permanently covered by sand and therefore not considered to be exposed to Microbial Activity.
4. Temperature: Warmer waters may accelerate degradation processes, but this is still minimal compared to natural fibers like cotton. The Taiwan Strait is considered as warmer waters (Subtropical to Tropical Marine Life being present in the waters of the Taiwan Strait) Warmer waters are considered anything from 20 degrees C and above.
The Taiwan Strait at Sea Level temperatures ranges from 16 to 29 degrees C and at Seabed Level the temperature ranges from 10 to 22 degrees C with an average of approximately 60 metres of sea depth. Therefore, the materials do have the potential to be affected by the water temperatures of the ocean environment, however, it is considered to be a very minimal impact as an effect on it's own.
Therefore it is considered that there is a very low to negligible risk of product breakdown over the life of the HL project (Approx 25 years)
The Decommissioning Plan HL-OPS-EMPL-PMT-PLN-00001 at Rev 1.0 shows at Section 4.4 - Offshore Substation, that the Decommissioning of a Jacket structure will be the reverse of the installation process. Following the separation of the jacket from the piles, the jacket will be lifted off the piles by a heavy lift vessel and recovered and taken ashore for re-use or scrap recycling.
For clarification, the decommissioning of the OSS Foundation (jacket &amp; piles) will essentially follow the same principles as laid out in Section 4.2 for the WTG Foundations; The Jacket will be removed entirely, while the piles remain in situ after having been cut below the mudline.
Therefore these polyester slings will be completely removed for the marine environment along with the foundations at the end of the decommissioning of the project and there is very low probability of breakdown during the project lifecycle as evidenced above ensuring that a 'Use As Is' condition can be considered as acceptable. </t>
  </si>
  <si>
    <t>HL-CTI-SW7-QMT-ITP-00025</t>
  </si>
  <si>
    <t>HL-CTI-SW7-QMT-ITP-00026</t>
  </si>
  <si>
    <t>HL-CTI-SW7-QMT-ITP-00027</t>
  </si>
  <si>
    <t>HL-CTI-SW7-QMT-ITP-00021</t>
  </si>
  <si>
    <t>HL-CTI-SW7-QMT-ITP-00022</t>
  </si>
  <si>
    <t>HL-CTI-SW7-QMT-ITP-00023</t>
  </si>
  <si>
    <t>Tai Shing - Highway Cantilever Platform - ITP</t>
  </si>
  <si>
    <t>Tai Shing - Pipework Section - ITP</t>
  </si>
  <si>
    <t>Tai Shing - Spreader Bar - ITP</t>
  </si>
  <si>
    <t>Tai Shing - Seafastening Phase 1 - ITP</t>
  </si>
  <si>
    <t>Tai Shing - Seafasteing Phase 2 - ITP</t>
  </si>
  <si>
    <t>Tai Shing - New 50t Pad Eye Fabrication - ITP</t>
  </si>
  <si>
    <t>LSC-NCR-000032</t>
  </si>
  <si>
    <t>HL-EXC-LSC-QAC-NCR-00032</t>
  </si>
  <si>
    <t>On 16-Dec-2024, during the transition joint work of phase Y of 2A the component of transition joint called Bi-metal ferrule broken away at the joint of two metals, ie. Copper – aluminium in the process of cable conductor connection by welding. Refer to Figure 1 below, and also Figure 2 showing original. Joint sleeve then slipped over cable insulation temporarily prior to final installation was removed out of cable to avoid jamming.</t>
  </si>
  <si>
    <t>HL-EXC-LSC-HSS-RSA-00006 (4.0) RAMS for Transition Joint and jointing instruction
HL-EXC-LSC-TNI-MAN-00002 (3.0) Manual - Transition Joint and Jointing Instruction</t>
  </si>
  <si>
    <t xml:space="preserve">HL2-A TJ (phase Y) </t>
  </si>
  <si>
    <t>Eunil Kim</t>
  </si>
  <si>
    <t>Burial Procedures and Cable Guide
= The cable tenshion will be raised for another NCR</t>
  </si>
  <si>
    <t>Incorrect Installation of Temporary Hang-Off (HL2A)
S7 will have a LL to the further operation</t>
  </si>
  <si>
    <t>CDWE-NCR-000020</t>
  </si>
  <si>
    <t>Grouting with Jacket pile gripper failure</t>
  </si>
  <si>
    <t xml:space="preserve">Engineering study to be completed by FOU Design Contractor to confirm installation was in compliance with the design of the Foundations. </t>
  </si>
  <si>
    <t>Hai Long</t>
  </si>
  <si>
    <t xml:space="preserve">The Contractor awaits feedback from the Other Contractor (i.e. the FOU Design Contractor) with regards to the adequate reduced seastate to perform the grouting and grout curing in case of failure of the JPGs. </t>
  </si>
  <si>
    <t xml:space="preserve">TBD </t>
  </si>
  <si>
    <t>Jan-2025</t>
  </si>
  <si>
    <t>Feb-2025</t>
  </si>
  <si>
    <t>Mar-2025</t>
  </si>
  <si>
    <t>Apr-2025</t>
  </si>
  <si>
    <t>Jun-2025</t>
  </si>
  <si>
    <t>Jul-2025</t>
  </si>
  <si>
    <t>Aug-2025</t>
  </si>
  <si>
    <t>Sep-2025</t>
  </si>
  <si>
    <t>Oct-2025</t>
  </si>
  <si>
    <t>Nov-2025</t>
  </si>
  <si>
    <t>Dec-2025</t>
  </si>
  <si>
    <t>May-2025</t>
  </si>
  <si>
    <t>CDWE-NCR-000018</t>
  </si>
  <si>
    <t>Motion Compensated Scales</t>
  </si>
  <si>
    <t xml:space="preserve">HL-TNI-CDWE-ENG-MST-00013 (7.0)_Motion Compensated Scales
</t>
  </si>
  <si>
    <t xml:space="preserve">On the 20th of September 2024, Location HL22-C02 was scheduled for grouting
operation. As is done prior to any grouting operation the motion compensated scales
were checked with Calibrated Weights. The Scale in use read with a 2g offset (i.e. 2.0 kg =1.998 on the scale).
The Client instructed to batch-up. At the pre-sampling QC check the density measured on the Motion Compensated Scale was a 2.28, which corroborated with the readings on the mixer densitometer. The Client instructed ULO to pump, as per procedure “HL-TNI-CDWE-ENG-MST-00013 (7.0)”.
It was at the 10% sampling stage that the scales offset varied due to significant vessel
movement caused by adverse weather conditions. The Scale’s Dynamic Offset Reset
Function was called but, it was noted that due to significant vessel movement the Scale was not able to correctly execute the function. It was also noted that the offset was linear. The second motion compensated scale was also checked but the results were the same due to the vessel movements.
As a counter measure and, as agreed with the Client a manual mud balance was used to determine the grout density at the sampling intervals as well as corroborate the readings with the motion compensated scale. The Dynamic Offset Reset Function was repeatedly called during operations and, was successful only when weather and vessel conditions improved.
After multiple attempts of employing the Dynamic Offset Reset the scale read with a
linear offset of 18gms and the readings were verified at the 50% and the 90% sampling interval.
After completion of grouting, a call was arranged with the Motion Compensated Scale’s
OEM who verified that with the current load cell (6kgs) a 20-gram static offset is within
the permissible limits.
The Dynamic Offset Reset Function on both scales were employed on the 21st of
September 2024, when on land and under stable conditions and the static offset was
brought back to a 2-gram static offset which was witnessed by the Client. 
</t>
  </si>
  <si>
    <t xml:space="preserve">HL22-C02 </t>
  </si>
  <si>
    <t xml:space="preserve">Aaron Gabriel </t>
  </si>
  <si>
    <t xml:space="preserve">Motion Compensated Scales </t>
  </si>
  <si>
    <t xml:space="preserve">-The tolerance on the Motion Compensated Scale is based on the scale type, load cell capacity, internal filtering system and the environment in which the scale is used (vessel movement).
- The Scale’s OEM can adjust increase the motion compensated scale’s resistance to the forces of gravity by adjusting the scale’s internal filtering system. </t>
  </si>
  <si>
    <t xml:space="preserve">The scale has an accuracy of +/- 2gms under stable conditions and in adverse sea
conditions with excessive vessel movement the allowable tolerance as per the OEM’s
recommendation is +/- 20gms.
It was explained by the Motion Compensated Scale OEM that the scales are sensitive to constant changes in acceleration due to gravity (severe vessel movement).
-Should the motion compensated scale experience a linear offset due to adverse
vessel movement, the Dynamic Offset Reset Function will not be able to rectify the scale’s linear offset during adverse vessel motion. This is subject to the level of vessel movement at the time.
-The Function can be called upon during slightly calmer sea states. </t>
  </si>
  <si>
    <t xml:space="preserve">During adverse weather conditions the scale’s offset will periodically be monitored during grouting operations using the calibrated weights. The offset noted down will be added to the density being recorded at that time. Scales to be checked every day and prior to operations. If any offset seen, the Dynamic Offset Reset function can be employed provided conditions are not adverse.
Please refer to MOC Document No: HL-TNI-CDWE-ENG-COR-00034 for more details on the corrective actions proposed. </t>
  </si>
  <si>
    <t xml:space="preserve">This related to export cable -2A fall on the ground during the loadout in Korea
2025/01/19
</t>
  </si>
  <si>
    <t>2025/1/9
No response from S7 on Aconex to further action</t>
  </si>
  <si>
    <t>2024/10/24
 - The NCR-00003 is conformed to be closed because it duplicated with NCR-00001
2025/01/09
 - solved and closed.</t>
  </si>
  <si>
    <r>
      <t xml:space="preserve">2024/11/05
 - Daniel send the quality comments to package about the SGS report.
2024/11/06
 - Package has sent the feedback to the contractor and request an official report.
</t>
    </r>
    <r>
      <rPr>
        <sz val="10"/>
        <color rgb="FFFF0000"/>
        <rFont val="calbri"/>
        <family val="2"/>
      </rPr>
      <t xml:space="preserve">2024/11/14
 - QMT can't understand the x4 identical report attached in HH's report.
2025/01/09
 - The report has been revised. closed.
</t>
    </r>
  </si>
  <si>
    <t xml:space="preserve">CDWE </t>
  </si>
  <si>
    <t xml:space="preserve">90-day testing results meet design specifications; DNV reviewed and closed comments after report evaluation. The product integrity is not impacted. </t>
  </si>
  <si>
    <t>2024/12/03 = EMPL-TRN-007343
 - DNV is aligned with the way forward provided in the NCR. This comment is a placeholder pending receipt of 90day compressive strength results.
 = 2024-Dec-09 ( 90 days )
2025/01/21
  - DAU has updated the NCR and attached the supporting documents. Request CDWE to close the NCR on Aconex. accordingly.</t>
  </si>
  <si>
    <t xml:space="preserve">The main owner received incomplete reports with many verification items not witnessed by the owner's representative. Furthermore, according to the Factory Acceptance Test (FAT) report, numerous punch items requiring improvement were identified, but no progress on these items has been observed. The equipment has already been shipped from the factory. Immediate corrective action is necessary to address these deficiencies and ensure compliance with project requirements. </t>
  </si>
  <si>
    <t xml:space="preserve">Vibro-hammers for Pin Pile </t>
  </si>
  <si>
    <t xml:space="preserve">Shift the missing test items to SAT phase </t>
  </si>
  <si>
    <t xml:space="preserve">The equipment has been transported to Taiwan, the remaining tests will be performed dueing SAT again to ensure the operation function. </t>
  </si>
  <si>
    <t xml:space="preserve">The SAT has been performed, and refer to HL-TNI-CDWE-QAC-RPT-00539_Vibrohammer – FAT &amp; SAT (Rev2.0) for the result </t>
  </si>
  <si>
    <t xml:space="preserve">The poor communication and inadequate quality protocols from CDWE have resulted in the FAT not being completed before transportation to Taiwan. </t>
  </si>
  <si>
    <t xml:space="preserve">The vibrohammer early failures were resolved during offshore operations, and the related operation activities for HL2 were completed in 2024 campagin. </t>
  </si>
  <si>
    <t xml:space="preserve">The viberhammer has back to the specification and performed the work offshore without issues. </t>
  </si>
  <si>
    <t xml:space="preserve">The draft independent test result from SGS will come out on 20th, February 2025.
</t>
  </si>
  <si>
    <t xml:space="preserve">The PP yard damaged of the Inter Array Cable during the offload at Taichung port. To confirm if the warranty is still working for HL regarding to this incident.
</t>
  </si>
  <si>
    <t>Waiting for the draft report</t>
  </si>
  <si>
    <t>N</t>
  </si>
  <si>
    <t xml:space="preserve">Close out the NCR-030
</t>
  </si>
  <si>
    <t xml:space="preserve">Raise the NCR for "2.	Extended free span from J-tube bellmouth to CPS touchdown point for HL2A"
</t>
  </si>
  <si>
    <t>PIC</t>
  </si>
  <si>
    <t xml:space="preserve">2024/09/30
 - Email to Neil D to have meeting to look at the PQP's comment from JDN and clarify the JDN's scope.
2024/10/23
 - There is no response from Neil D till now. Justin request to have a meting with JDN to discuss the scope by quality team. QMT will have a meeting with JDN on 24th, October 2024.
2024/10/24
 - HaiLong's RTI and QMT have a meeting with JDN to clarify JDN's scope. That is including the vessel provided and Rock installation service.
2024/10/25
 - Daniel revise all comments from Major to Minor regarding the project progress.
2025/01/09
 - The report hs been approved and closed.
2024/02/04
 - RTI package feedback the plan without further comments.
</t>
  </si>
  <si>
    <t xml:space="preserve">Change the meeting schedule for February as CDWE's requests.
</t>
  </si>
  <si>
    <t xml:space="preserve">LSC will submit the new design to HL for reviewing.
</t>
  </si>
  <si>
    <r>
      <t xml:space="preserve">2024/09/02
Tekmar informed us that they couldn't find a defect on the bolt, and the RAC seems more like an operational error. Tekmar suggested HL to use grease during the bolting process.
2024/9/2
 - Aldrik emailed and request QMT to issue NCR request = "Incorrect installation of the temporary hang-off for HL2A (resulting in defective bolt/nut combinations and incomplete works)"
 - Cherry issue the official letter to LSC for asking the replacement from Tekmar [ </t>
    </r>
    <r>
      <rPr>
        <b/>
        <sz val="10"/>
        <rFont val="calbri"/>
      </rPr>
      <t>EMPL-RFTI-000461</t>
    </r>
    <r>
      <rPr>
        <sz val="10"/>
        <rFont val="calbri"/>
      </rPr>
      <t xml:space="preserve"> ]
- Seaway 7 will issue the MoC to solve this with other method and refuse to issue the NCR.
2024/09/03
- Now CAB team is preparing the temporary bolt and nut to S7 for the short term solution.
2024/0/09
 - The CAB team say the bolt/nut of HL3-HOC is not same with latest batch, but LSC is asking if LSC already provide the quotation to HL. for the operation, if the bolt/nut can't be delivered in time, they consider to use the original bolt/nut.
2024/09/23
 -The new batch bot and not delivered to offshore site and clompeted the bolting. no issue happened. This issue can be closed.
</t>
    </r>
  </si>
  <si>
    <t xml:space="preserve">Jacket installation survey report need included the tolerance and result
</t>
  </si>
  <si>
    <t xml:space="preserve">Request CDWE to input the tolerance and result in the report </t>
  </si>
  <si>
    <t xml:space="preserve">Ingress the pressure more than 100 bar to ensure the ATC pressure
</t>
  </si>
  <si>
    <t xml:space="preserve">Asking SGS if the rock sample test can be conducted at Anpeng port.
</t>
  </si>
  <si>
    <t>Consult SGS for the possibility</t>
  </si>
  <si>
    <t xml:space="preserve">2024/08/30
Daniel has emailed to SGS for the question.
2024/09/02
 - Have a call with SGS, HL is asking if any equipment need to be on site for the sampling.
 - Remove the Shape test due to the heavy equipment needed.
2024/09/03
 - Inform SGS to update the quotation.
2024/09/05
- Email to SGS for the quotation and SGS provide it in the afternoon.
- Forward the quotation to Justin for the further action.
</t>
  </si>
  <si>
    <t xml:space="preserve">Request CDWE to revise the NCR for HL3
</t>
  </si>
  <si>
    <t>Add the Technical Note and DNV review memo.</t>
  </si>
  <si>
    <t>2024/09/02
Updating the Metadata in the Aconex to clarify the "Final Product Integrality Statement"</t>
  </si>
  <si>
    <r>
      <rPr>
        <strike/>
        <sz val="10"/>
        <rFont val="calbri"/>
      </rPr>
      <t xml:space="preserve">Review the PQP comment with Neil D
</t>
    </r>
    <r>
      <rPr>
        <sz val="10"/>
        <rFont val="calbri"/>
      </rPr>
      <t xml:space="preserve"> - Clarify the scope with JDN
 - Discuss the PQP comment with JDN</t>
    </r>
  </si>
  <si>
    <t xml:space="preserve">CDWE audit schedule for the subcontractors during the execution phase. 
Status = on hold.
</t>
  </si>
  <si>
    <t>To discuss in Quality meeting</t>
  </si>
  <si>
    <r>
      <t xml:space="preserve">2024/10/11
 - Tom requested CDWE provide the audit schedule for the execution phase, but CDWE does not responded it.
2024/10/23
 - Daniel has reply to CDWE via Aconex and request CDWE to resume the periodic audit for execution phase.
</t>
    </r>
    <r>
      <rPr>
        <sz val="10"/>
        <color rgb="FFFF0000"/>
        <rFont val="calbri"/>
      </rPr>
      <t>2024/11/09
 - Daniel request CDWE to respond on Aconex.
2025/01/09
 - TNI team has no comment to this issue. CDWE keeps performing the audit.</t>
    </r>
    <r>
      <rPr>
        <sz val="10"/>
        <rFont val="calbri"/>
      </rPr>
      <t xml:space="preserve">
</t>
    </r>
  </si>
  <si>
    <t>Consult supplier and CAB's option</t>
  </si>
  <si>
    <t xml:space="preserve">The rock inspection report from SGS is not clear for the employer.
</t>
  </si>
  <si>
    <t>Agreed to Change for February.</t>
  </si>
  <si>
    <t xml:space="preserve">The TJB work environment need to be improved in 2025.
</t>
  </si>
  <si>
    <t xml:space="preserve">LS will revise it in the next monthly report.
</t>
  </si>
  <si>
    <t>2025/02/05
 - The meeting schedule on February has been changed.</t>
  </si>
  <si>
    <t xml:space="preserve">Cherry will share the Lessons Learnt to Daniel for reviewing.
</t>
  </si>
  <si>
    <t xml:space="preserve">2025/02/05
 - Cherry will share the Lessons Learnt that related to TJB work to Daniel for reviewing after the weekly meeting.
</t>
  </si>
  <si>
    <t xml:space="preserve">Cherry will share the installation manual to close the NCR-032
</t>
  </si>
  <si>
    <t xml:space="preserve">2025/02/04
 - Close out the NCR if CAB package has no issue.
2025/02/05
 - Romulus has a minor comment about the incorrect issue date. LS will revise the NCR on Aconex. 
2025/02/06
 - Officially Closed.
</t>
  </si>
  <si>
    <t xml:space="preserve">2024/08/31
CJ has requested CDWE to improve the report (EMPL-GNC-017659) in the Aconex.
2024/09/02
 [ CDWE-GNC-003807 ]
Feedback from Comment 5 (Flange measurements)
I think the tolerances are quite clear and speak for themselves. This template has been used before and we never got comments. We will not add the assessment, our task is to measure and provide the results, the assessment is for HL to make. The result (measurement) and tolerances are listed next to each other so any out of tolerance should be easy to spot.
2024/09/06
- Discuss this issue with Justin, the contractor shall include the tolerance and result in the survey report.
2024/09/10 
 - Daniel are reviewing the as-built report for HL-01 / 02 / 05, and feedback the comments about this issues.
2025/01/21
 - Justin raised this issue and follow up it.
2025/01/23
 - CDWE has inputed the tolerance in the as-built report. This issue can be closed.
</t>
  </si>
  <si>
    <t>LSC-GNC-000660</t>
  </si>
  <si>
    <t xml:space="preserve">2025/02/05
 - Cherry will share the revised installation manual to Daniel to be a supporting document to close the NCR.
2025/02/06
 - Cherry shared the Lessons Learnt by email.
2025/02/11
 - Daniel has got the document information from NCR-032.
</t>
  </si>
  <si>
    <r>
      <rPr>
        <strike/>
        <sz val="10"/>
        <rFont val="calbri"/>
        <family val="2"/>
      </rPr>
      <t>NA</t>
    </r>
    <r>
      <rPr>
        <sz val="10"/>
        <rFont val="calbri"/>
        <family val="2"/>
      </rPr>
      <t xml:space="preserve">
LSC-RNONC-000091</t>
    </r>
  </si>
  <si>
    <t>HL-EXC-LSC-DES-ITP-00001 (6.0) - Submarine Cables and in-house Accessories</t>
  </si>
  <si>
    <t xml:space="preserve">LSC needs to revise the ITP to corrent the information of the quanitiy of FJ and UFJ after the final FAT.
</t>
  </si>
  <si>
    <t>LSC to revise the ITP</t>
  </si>
  <si>
    <t>LSC-TRN-000083
HL-EXC-LSC-TNI-MAN-00002</t>
  </si>
  <si>
    <t>CDWE-NCR-000011
EMPL-GNC-021134</t>
  </si>
  <si>
    <t xml:space="preserve">The enviornment control (Temperture, humity, partical for the termination process.)
</t>
  </si>
  <si>
    <t>To clarify the concerns with Hellenic during the weekly meeting.</t>
  </si>
  <si>
    <t xml:space="preserve">2025/02/05
 - Jean stated CDWE has provided the updated information, but it does not on the Aconex.
2025/02/06
 - Daniel requested CDWE to update the NCR metadata accordingly.
2025/02/14
 - Package informed that the NCR can be closed.
</t>
  </si>
  <si>
    <t xml:space="preserve">The scale was recalibrated only, no necessary for Product. </t>
  </si>
  <si>
    <t xml:space="preserve">After completion of grouting, a call was arranged with the Motion Compensated Scale’s OEM who verified that with the current load cell (6kgs) a 20-gram static offset is within the permissible limits. Recalibration was performed on the 21st of September 2024, when on land and under stable conditions and the static offset was brought back to a 2-gram static offset which was witnessed by the Contractor. </t>
  </si>
  <si>
    <t>MOC document No: HL-TNI-CDWE-ENG-COR-00034</t>
  </si>
  <si>
    <t xml:space="preserve">Assessed to have no integrity impacts </t>
  </si>
  <si>
    <t xml:space="preserve">ROV on board of MIV Green Jade to be sent to the area of concern with two objectives:
1. Attempt to cut ropes and webslings or get them out of the way as much as possible
2. Simulate ROV operations required for pull in activities and confirm whether ropes imply a risk for the equipment or not.
Conclusion was Green Jade managed to assess the presence of webbing slings, their possibility to be removed and removed those that were able to be removed without endangering the ROV or surrounding structures.
Simulation of ROV operations for cable pull in activities showed that these were definitively not endangered in the area due to the ropes or slings remaining attached to the mudmat saddles.
Based on feedback from Green Jade after ROV operations on 2024.05.10, an additional effort was performed, by the ROV onboard CSV Boka Atlantic on 2024.05.24 where they successfully removed the slings at HL3-OSS Leg A04. Minimizing the potential impact near the cable pull in area. 
</t>
  </si>
  <si>
    <t xml:space="preserve">ROV operations carried out with two purposes.
1. Proved ROV operations in area of concern were safe for ROV equipment and did not pose any danger for cable pull in operations.
2. Removed slings to the maximum extent possible
Footage included as attachment to this NCR in package Mudmat Sling ROV footage HL2 OSS JKT installation. Material certificates for Slings and Ropes also included as attachments to show no impact on future integrity factors. </t>
  </si>
  <si>
    <t xml:space="preserve">ROV on board of MIV Green Jade to be sent to the area of concern with two objectives:
1. Attempt to cut ropes and webslings or get them out of the way as much as possible
2. Simulate ROV operations required for pull in activities and confirm whether ropes imply a risk for the equipment or not.
Conclusion was that cutting was not possible, but that ROV operations were definitively not endangered in the area due to those ropes being in that location.
Preventive Actions not possible as both OSS FOU's are installed in the same condition, therefore no lessons can learned for future installations on Hai Long as No Longer Applicable. However, lessons can be learnt by CDWE for future projects. </t>
  </si>
  <si>
    <t xml:space="preserve">The webbing slings are fabricated out of Polyester (See Material Test Certificate (MTC 2.2, [HL-OSS-S23-Q09-00005 (1.0) Material Certificate AMD 1_ Code 1])) and, unlike HMPE slings, do not float. See footage. Polyester is a non-biodegradable fiber. Researchers estimate that polyester takes up to 300 years to degrade completely. This means that, for example, clothing and other products (webbing slings) made from these fibers will sit in landfills for hundreds of years without breaking down. Which in this specific situation is comparable to being buried under a layer of sand. As such, the polyester webbing slings have no environmental impact on the foundation within the 25-year life cycle.
ROV operations proved safe in the area of concern. See footage. No impact for cable pull-in operations. </t>
  </si>
  <si>
    <t xml:space="preserve">Final Product Integrity focus on the environment impact.
According to CDWE's statement and the Employer's assessment, it is concluded the environmental risks are low to negligible with Installation and operation phase within the product life cycle 25-years.
The final assessment factor are as follows,
Marine Environment (Ocean): Estimates suggest that polyester may take 20-200 years to degrade significantly, depending on exposure to UV radiation and the presence of microorganisms capable of degrading synthetic polymers.
1. UV Exposure Effect: Sunlight can photodegrade polyester over time, breaking down its polymer chains. However, this process is slower underwater or in deeper marine environments with limited sunlight. The materials are all over 40 metres deep in the ocean environment and items that are left in situ are under the Jacket with high likelihood to be permanently covered by sand and therefore not considered to be exposed to UV radiation.
2. Mechanical Abrasion: Waves and sand can physically wear down polyester items, fragmenting them into smaller pieces. The materials are under the Jacket with high likelihood to be permanently covered by sand and therefore not considered to be exposed to excessive Mechanical Abrasion (If any).
3. Microbial Activity: Although some marine microorganisms have shown the ability to degrade synthetic polymers, this process is slow and not well-developed for polyester. The materials are under the Jacket with high likelihood to be permanently covered by sand and therefore not considered to be exposed to Microbial Activity.
4. Temperature: Warmer waters may accelerate degradation processes, but this is still minimal compared to natural fibers like cotton. The Taiwan Strait is considered as warmer waters (Subtropical to Tropical Marine Life being present in the waters of the Taiwan Strait) Warmer waters are considered anything from 20 degrees C and above.
The Taiwan Strait at Sea Level temperatures ranges from 16 to 29 degrees C and at Seabed Level the temperature ranges from 10 to 22 degrees C with an average of approximately 60 metres of sea depth. Therefore, the materials do have the potential to be affected by the water temperatures of the ocean environment, however, it is considered to be a very minimal impact as an effect on it's own.
Therefore it is considered that there is a very low to negligible risk of product breakdown over the life of the HL project (Approx 25 years)
The Decommissioning Plan HL-OPS-EMPL-PMT-PLN-00001 at Rev 1.0 shows at Section 4.4 - Offshore Substation, that the Decommissioning of a Jacket structure will be the reverse of the installation process. Following the separation of the jacket from the piles, the jacket will be lifted off the piles by a heavy lift vessel and recovered and taken ashore for re-use or scrap recycling.
For clarification, the decommissioning of the OSS Foundation (jacket &amp; piles) will essentially follow the same principles as laid out in Section 4.2 for the WTG Foundations; The Jacket will be removed entirely, while the piles remain in situ after having been cut below the mudline.
Therefore these polyester slings will be completely removed for the marine environment along with the foundations at the end of the decommissioning of the project and there is very low probability of breakdown during the project lifecycle as evidenced above ensuring that a 'Use As Is' condition can be considered as acceptable. </t>
  </si>
  <si>
    <t xml:space="preserve">The Quality Audit progress should be 100% due to there is no more audit activities.
</t>
  </si>
  <si>
    <t>Correct the report in the next month</t>
  </si>
  <si>
    <t>Contact SGS to perform the tests.</t>
  </si>
  <si>
    <r>
      <rPr>
        <strike/>
        <sz val="10"/>
        <rFont val="calbri"/>
        <family val="2"/>
      </rPr>
      <t xml:space="preserve">2024/09/16
 - HL TNI Director, Machiel feedback the sling issue for NCR (OSS-HL3) is not acceptable. The consent copied and pasted from OSS-HL2, this is not acceptable.
2024/09/19
 - Daniel replied the Aconex to CDWE and request they to revise the NCR.
2024/09/28
 - There is no footage submitted to HL for HL3-OSS.
2024/10/01
 - CDWE needs to provide the environment mitigation plan for HSE.
2025/01/09
 - The NCR for HL-OSS2 has been closed. but the OSS3 is pending on Aconex. HL has requested CDWE to update the information to close out this similar issue.
</t>
    </r>
    <r>
      <rPr>
        <sz val="10"/>
        <rFont val="calbri"/>
        <family val="2"/>
      </rPr>
      <t xml:space="preserve">2025/02/04
 - The NCR has been updated on 2024/01/24, but the content is not met Employer's expectation. Daniel responded to CDWE how to update the NCR.
2025/02/12
 - Daniel has informed CDWE_Andres to close the NCR 
2025/02/17
 - CDWE updated the Metadata on Aconex and Daniel informed tihs NCR can be closed.
</t>
    </r>
  </si>
  <si>
    <t xml:space="preserve">On 16/09 at HL21-B02 Leg B, CDWE gave the instruction (as per procedure) to stop grouting operations after a volume of 117% was pumped and when the density value reached a plateau of 2.22 kg/l.
At 100% of the theoretical volume:
➢ Visual confirmation that there was overflow observed.
➢ At this volume, the density reading of the probe started rising, indicating grout at the top of the pin pile.
Consequently, instruction was given to slow down the pump rate to allow the density to reach the value. At 117% the density value reached a plateau of 2.22 kg/l with a max value reached of 2.23 kg/l (reference to xlsx-file attachment).The value of 2.22 kg/l and 2.23 kg/l is not conform to the Grouting operations MST but in compliance of the DNV issued Type Approval Certificate of Masterflow 9800, that prescribes a density value between 2.22 kg/l and 2.28 kg/l as the absolute range of density, for which the results should not be treated as non-conformance. ULO was instructed during preparations phase to always aim for the upper part 2.25 kg/l – 2.28 kg/l of the density range, to guarantee the mechanical properties (compression strength) of Masterflow 9800, as per generic method statement of Masterflow 9800. The Density checks, as required per MST during mixing process where between SG 2.25 – 2.28.
To be noted that at first Contractor tried to use the 1st stopping criteria on this location to optimize the amount of grout pumped. However, after stopping criteria 2 was met, the grout density meter at the jacket leg (so not at the mixer) remained with a value of 2.22 for specific gravity. It is clearly defined in the method statement, one of the conditions need to be met to allow stopping of grouting. As the grouting operations were stopped after 17% overage was pumped after visual confirmation of overflow by the ROV. It can clearly be stated that the second stopping criteria was met and stop of grouting was justified.
The reason why the NCR is raised is to highlight that even with the second stopping criteria met, the grout density meter did not have a 2.25 specific gravity minimal value. This the only location with this issue and therefore it is expected that this is an error related to the grout density meter. 
</t>
  </si>
  <si>
    <t xml:space="preserve">Potential root causes:
➢ Effect of current on the values read by the density probe (unsubstantiated by evidence)
➢ Failure/malfunction of the densitometer </t>
  </si>
  <si>
    <t>Grout density probe was re-inspected and failures did not happen on consecutive locations.</t>
  </si>
  <si>
    <t xml:space="preserve">Grout density probe was re-inspected and failures did not happen on consecutive locations. </t>
  </si>
  <si>
    <t>Items</t>
  </si>
  <si>
    <t>January</t>
  </si>
  <si>
    <t xml:space="preserve">February </t>
  </si>
  <si>
    <t>March</t>
  </si>
  <si>
    <t>April</t>
  </si>
  <si>
    <t>May</t>
  </si>
  <si>
    <t>June</t>
  </si>
  <si>
    <t>July</t>
  </si>
  <si>
    <t>August</t>
  </si>
  <si>
    <t>September</t>
  </si>
  <si>
    <t>October</t>
  </si>
  <si>
    <t xml:space="preserve">November </t>
  </si>
  <si>
    <t>December</t>
  </si>
  <si>
    <t>401 稅額</t>
  </si>
  <si>
    <t>送發票給會計</t>
  </si>
  <si>
    <t>股東資訊申報</t>
  </si>
  <si>
    <t>事務所帳務費請款</t>
  </si>
  <si>
    <t>The NCR-032 is not registered in the monthly report and the installation menual need to be revised.</t>
  </si>
  <si>
    <r>
      <t xml:space="preserve">2025/01/22
 - SGS will provide the draft report for HL independent test.
</t>
    </r>
    <r>
      <rPr>
        <sz val="10"/>
        <color rgb="FFFF0000"/>
        <rFont val="calbri"/>
        <family val="2"/>
      </rPr>
      <t xml:space="preserve">2025/02/20
 - Email to SGS to ask for the draft report. Waiting for SGS's reply.
</t>
    </r>
  </si>
  <si>
    <t>HL-DEV-EMPL-QAC-RPT-00001</t>
  </si>
  <si>
    <t xml:space="preserve">1.The unplanned factory joint was completed on January 21st.
2.The X-ray inspection of the unplanned factory joint was completed on January 21st.
3.The visual inspection of the unplanned factory joint was completed on January 21st.
4.The partial discharge test of the unplanned factory was completed on January 22nd.
And no issues were found during the tests. </t>
  </si>
  <si>
    <t xml:space="preserve">1. An issue with the PET tape detection sensor occurred in the detaping machine. (When the sensor detects the PET tape, the blade rotates to cut the PET tape.)
2. The PET tape passed through without being cut for a length of 3 to 4 meters.
3. An alarm was triggered on the detaping machine.
4. Two minutes later, the assistant worker promptly resolved the issue by emptying the basket containing the cut PET tape. (It was confirmed that the detection sensor malfunctioned due to an overload of cut PET tape.)
5. A portion of the PET tape passed through the entrance of the P/O caterpillar, and the assistant worker removed only the remaining PET tape.
6. The assistant worker planned to first remove the cut PET tape in the detaping machine and then clear the remaining PET tape at the P/O caterpillar exit.
7. However, the assistant worker focused on removing the cut PET tape in the detaping machine and forgot to clear the PET tape at the P/O caterpillar exit.
Therefore, the uncut PET tape got into insulation X-head
8. The senior operator noticed an error signal in the extrusion room and discovered that the PET tape had entered the X-head, but was unable to remove it. </t>
  </si>
  <si>
    <t xml:space="preserve">Following the result of factory joint tests, integrity of the product was verified. </t>
  </si>
  <si>
    <t xml:space="preserve">Request CDWE to repair along with the procedure.
</t>
  </si>
  <si>
    <t xml:space="preserve">The PQP from BOS need to be revised.
</t>
  </si>
  <si>
    <t>using the PQP checklist to ensure contractor's plan.</t>
  </si>
  <si>
    <t>The ITP need to be revised and changed the document title.</t>
  </si>
  <si>
    <t>CDWE to revise doc.</t>
  </si>
  <si>
    <t>EMPL-RFTI-000533</t>
  </si>
  <si>
    <t xml:space="preserve">At circa 2049hrs during loadout of HL2A (daisy chain) the product dislodged from the port side roller table and was observed to be on the mezz deck. An all stop was called, no persons are injured, upon inspection the MBR does not appear to be exceeded and measurements taken to confirm, roving damage observed (no armour exposer observed during inspection) and shall be repaired once in safe position. TOFS held inclusive of Rep, MWS and LS. Product made safe back on table.
Product was later made safe back on the table, and after fully repair and tested, operation continued.
Investigation found that during initiation of HL2A daisy chain at tower tensioner the focus was on tower. When brining the daisy chain through the system tension was reduced in the tower tensioner to allow cable to enter the carousel, this allowed slack into the system between tower and deck, due to the weight of the cable the tension readings did not give any abnormalities until the cable was free from the highway. 
</t>
  </si>
  <si>
    <t>HL2A-Export Cable</t>
  </si>
  <si>
    <t xml:space="preserve">Remove a concerned 65m section of the cable </t>
  </si>
  <si>
    <t xml:space="preserve">Gerald Manley </t>
  </si>
  <si>
    <t xml:space="preserve">Remove a 65m section of the cable which includes the area where the cable had been measured to confirm no MBR breach. The questionable length is no longer a part of the deliverable product.
MBR Measurements were taken after equilibrium. EMPL-GNC-016707 explains that “The cable was situated into a position having undergone compression and bending” – all presented evidence does not demonstrate this behavior, i.e. prior to finding equilibrium.
The cable was tested also test however per EMPL-GNC-016707: “these tests cannot be fully relied on to demonstrate the integrated cable integrity, since there are other layers within the cables that are not assessed with these tests.”
As such there was no sure way of demonstrating that the cable was not damaged hence the decision to cut the 65m section. 
</t>
  </si>
  <si>
    <t>LSC-NCR-000033</t>
  </si>
  <si>
    <t>delamination occurred at the overlapping section of the outer semi-conductive layer</t>
  </si>
  <si>
    <t xml:space="preserve">IEC 62067 </t>
  </si>
  <si>
    <t xml:space="preserve">After molding during the Nondestructive testing (X-ray) for Hai Long Lot #9-3-1 + 9-4-1 submarine power cable, delamination occurred at the overlapping section of the outer semi-conductive layer
(Length: 19.0mm / Height: 0.7mm)
1. Date of occurrence: 16:00 27th Feb. 2025
2. Cable information: #9-3-1 + 9-4-1 220kV Al 1000SQ cable (YL) phase </t>
  </si>
  <si>
    <t xml:space="preserve"> #9-3-1 + 9-4-1 220kV Al 1000SQ cable (YL) phase</t>
  </si>
  <si>
    <t xml:space="preserve">LSC </t>
  </si>
  <si>
    <t xml:space="preserve">HL3.2 Section 3 (#9-3-1 + #9-4-1 , 1000SQ) </t>
  </si>
  <si>
    <t>技術主管</t>
  </si>
  <si>
    <t>海事主管</t>
  </si>
  <si>
    <t>品管經理</t>
  </si>
  <si>
    <t>風險負責人（Owner）</t>
  </si>
  <si>
    <t>預防與緩解措施（Mitigation Plan）</t>
  </si>
  <si>
    <t>風險描述</t>
  </si>
  <si>
    <t>Risk
#</t>
  </si>
  <si>
    <t>可能性
（Probability）</t>
  </si>
  <si>
    <t>影響程度
（Impact Severity）</t>
  </si>
  <si>
    <t>風險等級
（Risk Score）</t>
  </si>
  <si>
    <t>應對策略
（Response Strategy）</t>
  </si>
  <si>
    <t>監控指標
（Trigger/Indicator）</t>
  </si>
  <si>
    <t>原因
Cause</t>
  </si>
  <si>
    <t>事件
Event</t>
  </si>
  <si>
    <t>影響
Effect</t>
  </si>
  <si>
    <t xml:space="preserve">Inspection and Test Plan - WTG Installation </t>
  </si>
  <si>
    <t>Title will not be changed.(Package decision)</t>
  </si>
  <si>
    <t>SGS official report for HL indepentent inspection.</t>
  </si>
  <si>
    <t>SGS and GQS are handling the payment process.</t>
  </si>
  <si>
    <t>The OTDR failure at HL2A.</t>
  </si>
  <si>
    <t>LSC to issue the NCR.</t>
  </si>
  <si>
    <t xml:space="preserve">2025/02/19
 - The ITP has feedback to CDWE to revise the content.
202/03/15
 - Package level agreed that this document title does not need to be changed. (discuss by email)
 </t>
  </si>
  <si>
    <t xml:space="preserve">2025/02/14
 - Have a meeting with S7 to discuss the environment requirement for the termination process.
2025/03/05
 - Justin has issued the guideline to CAB contact manager to ensure all contractor need to follow up the instruction.
</t>
  </si>
  <si>
    <t>LSC-NCR-000034</t>
  </si>
  <si>
    <t xml:space="preserve">OTDR test for the HL-2A failure(3 of 72 fiber) </t>
  </si>
  <si>
    <t>HL-EXC-LSC-DES-PRC-00002 (9.0) SAT Procedure - Export Cable System</t>
  </si>
  <si>
    <t xml:space="preserve">On 12~13-Mar-2025, LS conducted the OTDR test for the HL-2A line Fiber Optic, which is one of the SAT items. A total of 72 fibers were tested, and 3 of them exceeded the standard of 0.15dB. </t>
  </si>
  <si>
    <t xml:space="preserve">HL2A Onss </t>
  </si>
  <si>
    <t xml:space="preserve">Bong Lae Jeong </t>
  </si>
  <si>
    <t xml:space="preserve">HL2A Fiber Optic Cable </t>
  </si>
  <si>
    <t xml:space="preserve">Re-Splice Fiber Optic Cable </t>
  </si>
  <si>
    <t xml:space="preserve">At that time, the OTDR test for all fibers was completed, and LS has planned to carry out the rework. </t>
  </si>
  <si>
    <t xml:space="preserve">By OTDR Test report after re-splice </t>
  </si>
  <si>
    <t xml:space="preserve">Root cause not found at the moment and should be given as soon as investigation is completed. </t>
  </si>
  <si>
    <t xml:space="preserve">FO will be re-spliced at TJB, and an OTDR test will be conducted again afterward. </t>
  </si>
  <si>
    <t xml:space="preserve">2025/03/19
 - LS informed that the failure of the OTDR at HL2A during weekly meeting.
2025/03/20
 - LS issued the NCR-034.
</t>
  </si>
  <si>
    <t>BMSO-NCR-000001</t>
  </si>
  <si>
    <t>BMS</t>
  </si>
  <si>
    <t>HL2 OSS Rock Bag Actual Position Deviation</t>
  </si>
  <si>
    <t>RBI</t>
  </si>
  <si>
    <t xml:space="preserve">1. HL-provided design rock bag positions (ref. outlook HL_RBI_DES : HL2 OSS SE-Face String-D01 Rock Bag Positions_20250303)
2. Rock bag installation horizontal tolerance 0.75m. </t>
  </si>
  <si>
    <t xml:space="preserve">As-left MBES data shows rock bag positions different to both the HL-provided design (for SE face WB090 OSS-D01 cable) and BMS-reported positions. Deviation of up to 1.8m has been observed. </t>
  </si>
  <si>
    <t xml:space="preserve">HL2 OSS </t>
  </si>
  <si>
    <t xml:space="preserve">Mingyi Hsu (HL) </t>
  </si>
  <si>
    <t xml:space="preserve">Thomas Wei (HL) </t>
  </si>
  <si>
    <t xml:space="preserve">Horizontal tolerance has no effect on final usability </t>
  </si>
  <si>
    <t xml:space="preserve">Martijn de Vries </t>
  </si>
  <si>
    <t xml:space="preserve">Waiting for BMS's rock test report inside rockbag
</t>
  </si>
  <si>
    <t>TO get the report</t>
  </si>
  <si>
    <t>Flange painting Damages on the Jacket_C03、J01、F01</t>
  </si>
  <si>
    <t>HL2A -OSS</t>
  </si>
  <si>
    <t>HL2A-OSS</t>
  </si>
  <si>
    <t xml:space="preserve">HL-CTI-SW7-ENG-PRC-00020_OSS EXC Cable Pull-in Procedure
HL-EXC-LSC-TNI-MAN-00011_Manual - Hang-off installation </t>
  </si>
  <si>
    <t>Rework with lubriant and back to speification</t>
  </si>
  <si>
    <t>Immediately stop the installation of the Hang-off Clamp without lubrication. Contact the client to ensure that the lubricant is supplied and available on-site.</t>
  </si>
  <si>
    <t xml:space="preserve">Conduct an on-site RCA (5 Why analysis) to complete the investigation. Immediately include lubricant inspection in all similar installation activities (update iAuditor). Ensure the lubricant is supplied and available on site. </t>
  </si>
  <si>
    <t xml:space="preserve"># People - The lubricant must not be used for the installation, as stated in the installation manual (HL-EXC-LSC-TNI-MAN-00011).
# Process -This surveillance point is not listed in iAuditor. </t>
  </si>
  <si>
    <t xml:space="preserve">1) IAuditor revised to include lubricant application verification
2) Lubricant sourced and made available for operational use.
3) TBT to include importance of stud/bolt lubrication and procedure compliance. </t>
  </si>
  <si>
    <t>- IAuditor checklist updated and confirmed operational.
- Lubricant supplies verified on-site.
- Toolbox Talk sessions conducted and attendance records archived.
- No recurrence observed during subsequent hang-off clamp installations</t>
  </si>
  <si>
    <t xml:space="preserve">Bill Martin </t>
  </si>
  <si>
    <t xml:space="preserve">2025/03/18 
 - GQS is handing the payment process.
2025/03/25
 - GQS has submitted the repor to HL.
</t>
  </si>
  <si>
    <t>EMPL-GNC-017828</t>
  </si>
  <si>
    <t>Waiting for S7's response</t>
  </si>
  <si>
    <t xml:space="preserve">2024/09/06
 - Issue the concern to S7 on Aconex.
</t>
  </si>
  <si>
    <t>SW7-GNC-001591</t>
  </si>
  <si>
    <t>request SW7 to provide the Incident report</t>
  </si>
  <si>
    <t>工會繳款</t>
  </si>
  <si>
    <t>SW7-NCR-000010</t>
  </si>
  <si>
    <t>CTI - Cable T&amp;I</t>
  </si>
  <si>
    <t xml:space="preserve">Using spare materials </t>
  </si>
  <si>
    <t xml:space="preserve">LS confirmed through the check sheet included in the joining report
(HL-EXC-LSC-TNI-RPT-00003 TJ Joint Report – Circuit HL2)
Additionally, the Manual - Transition Joint and Jointing Instruction has been updated and got approval from Hailong as prevous statement in the LSC-RNONC-000088. </t>
  </si>
  <si>
    <t xml:space="preserve">2025/01/06
 - Daniel raised the issue dueing the monthly meeting with LSC, and LSC will revise the register in the next report.
2025/02/11
 - LS stated that the revised installation manual has submitted to HL for reviewing.(HL-EXC-LSC-TNI-MAN-00002 Manual - Transition Joint and Jointing Instruction)
2025/02/25
 - The document is pending on Hailong side.
2025/03/21
 - The document status is approval with comment. The partical level issue.
2025/03/31
 - The menu has been approved by HL package PM.
</t>
  </si>
  <si>
    <t xml:space="preserve">2025/02/14
 - Revive the related information.
2025/03/31
 - The official reports have received form CDWE and witnessed by the inspector. This issue can be closed.
</t>
  </si>
  <si>
    <t xml:space="preserve">EMPL-GNC-021643
CDWE-GNC-004484
CDWE-GNC-005075 </t>
  </si>
  <si>
    <t xml:space="preserve">2025/02/14
 - BMS will carry out the test and submit the report.
</t>
  </si>
  <si>
    <t>EMPL-RESTECHQ-001697
EMPL-RFNCR-000048
CDWE-GNC-005037</t>
  </si>
  <si>
    <r>
      <rPr>
        <strike/>
        <sz val="10"/>
        <rFont val="calbri"/>
      </rPr>
      <t xml:space="preserve">2024/09/26
- CJ asked about the painting damage inside the flange and whether it is acceptable.
2024/09/27
- Daniel discussed this issue with Justin in the QMT meeting.
- Jean replied that CDWE need to repair it with procedure and inspection reports.
2024/10/09
 - HL package team will have a meeting to discuss this to ensure if the NCR is necessary.(bi-weekly meeting)
2024/10/16
 - As discussed with CJ, the NCR request has issued to CDWE about the repair procedure is not followed.
2024/11/04
 - The NCR request can not be closed until CDWE performed the painting repair work. additionally, the procedure is not approved by HL.
</t>
    </r>
    <r>
      <rPr>
        <sz val="10"/>
        <rFont val="calbri"/>
      </rPr>
      <t xml:space="preserve">2025/02/12
 - Discuss with CJ, CDWE has repaired the damaged area and submit the related inspection records. Additionally, the NACE II inspector will perform the final inspection and chup the stamp in the reort.
 - Inform inspector to ensure the painting material certificate is met with actual one.
2025/03/21
 - HL does not receive the official report from CDWE.
2025/03/31
 - The official report have been received and this case can be closed.
</t>
    </r>
  </si>
  <si>
    <t xml:space="preserve">Material of Rockbag need to be performed the fully test as EN 13889-2 requested for JDN.
</t>
  </si>
  <si>
    <t>IAC damaged during the load out activity in Greece</t>
  </si>
  <si>
    <t>未驗證 filter layer 粒徑是否滿足過濾與穩定要求</t>
  </si>
  <si>
    <t>發生海底電纜塌陷、基礎沉陷或過濾層流失，導致工程結構失效，增加維修成本與工期延誤風險</t>
  </si>
  <si>
    <t>防護層無法有效抵抗海流與波浪衝擊，導致護坡沖刷、電纜裸露或基礎破壞，進而造成結構風險與營運中斷</t>
  </si>
  <si>
    <t>未驗證armor layer是否符合設計粒徑與穩定性標準</t>
  </si>
  <si>
    <t>承包商未依照設計圖說明及工程慣例或DNV-ST-N001對 filter layer 材料進行 grading test</t>
  </si>
  <si>
    <t>承包商未根據EN 13383對 armor layer(Armourstone) 材料執行粒徑篩分析，忽略分級測試要求</t>
  </si>
  <si>
    <t>承包商未根據EN 13383對 Rockbag的石頭材料執行粒徑篩分析，忽略分級測試要求</t>
  </si>
  <si>
    <t>使用未經驗證粒徑分佈的石材製作 Rockbag，導致防護層材料性質不確定</t>
  </si>
  <si>
    <t>Rock bag</t>
  </si>
  <si>
    <t>Loosing Rock</t>
  </si>
  <si>
    <t>HL-TNI-CDWE-ENG-ITP-00012</t>
  </si>
  <si>
    <t xml:space="preserve">	Inspection and Test Plan - CTV Secondary Works</t>
  </si>
  <si>
    <t>New (21, Mar 2025)</t>
  </si>
  <si>
    <t>LSC shall prepare a punch list for the manufacture and installation.</t>
  </si>
  <si>
    <t xml:space="preserve">Waiting for LSC issue </t>
  </si>
  <si>
    <t>CDWE-NCR-000021</t>
  </si>
  <si>
    <t xml:space="preserve">On November 15th, the team at JKT HL22-C01 discovered a missing TP hatch while performing secondary works.
The Contractor replaced the hatch at this location with a spare cover as defined in INC_2024_02179.
During the months in between 15th of November and 2nd of March no activities were present in the field.
From the 2nd of March, the MMA Pinnacle performed secondary works and noticed on the first locations visited: HL22-C03, C04, D02, E02, U02 &amp; R01 that the ventilator was broken or missing.
This NCR is raised to capture this failure of these ventilators which is happening on all TP covers. 
</t>
  </si>
  <si>
    <t xml:space="preserve">HL22-C03, C04, D02, E02, U02 &amp; R01 </t>
  </si>
  <si>
    <t xml:space="preserve">JKT HL22-C01 - TP Cover Ventilator </t>
  </si>
  <si>
    <t xml:space="preserve">Repair - damaged ventilator will be replaced </t>
  </si>
  <si>
    <t xml:space="preserve">2025/03/26
 - Aldrik clarified that LSC need to submit the punch list.
 - LSC respond that LSC will submit the punchlist, if any.
</t>
  </si>
  <si>
    <t xml:space="preserve">Request CDWE to add the minor painting damages in to the NCR register.
</t>
  </si>
  <si>
    <t>add to NCR register</t>
  </si>
  <si>
    <t>Post-production</t>
  </si>
  <si>
    <t>螺帽鎖不緊（假鎖緊）</t>
  </si>
  <si>
    <t>實際預緊力不足，可能造成運轉時鬆動,法蘭密合不良、偏心、漏油或結構裂損</t>
  </si>
  <si>
    <t>建立扭力與材料紀錄表，含潤滑劑品牌、批號與施工人員簽名欄</t>
  </si>
  <si>
    <t>缺乏正確標準作業程序或作業人員訓練不足</t>
  </si>
  <si>
    <t>螺栓預緊力不足或不均，導致結構鬆動、滲漏或疲勞破壞</t>
  </si>
  <si>
    <t>品質工程師</t>
  </si>
  <si>
    <t>1. 制定並訓練四段式鎖固SOP
2. 使用扭力扳手記錄鎖固數據並稽核</t>
  </si>
  <si>
    <t>減輕（Mitigation）</t>
  </si>
  <si>
    <t>1. 現場稽核中發現未分段鎖固 
2. 扭力紀錄缺失
3. 結構鬆動或滲漏通報案件</t>
  </si>
  <si>
    <t>Mechnic</t>
  </si>
  <si>
    <t>Material</t>
  </si>
  <si>
    <t>類別
Type</t>
  </si>
  <si>
    <t>HL-NDW-BOS-QMT-PLN-00001</t>
  </si>
  <si>
    <t xml:space="preserve">The PQP from Boskalis need to be revised.
</t>
  </si>
  <si>
    <t>LSC-NCR-000035</t>
  </si>
  <si>
    <t>Pulling head fabrication error</t>
  </si>
  <si>
    <t xml:space="preserve">2025/04/14
 - Request LSC to provide the drawing number.
</t>
  </si>
  <si>
    <t>HL 3.2 Accessory - Pulling head (ZAB25-026)</t>
  </si>
  <si>
    <t>LSC-NCR-000036</t>
  </si>
  <si>
    <t>HL2A - DAC test failure</t>
  </si>
  <si>
    <t>HL2A ONSS GIS room</t>
  </si>
  <si>
    <t>WANG DAE JUNG</t>
  </si>
  <si>
    <t>HL2A R phase DAC test</t>
  </si>
  <si>
    <t xml:space="preserve">Product integrity is not jeopardized with this non-confirmity. The rock berm provides a seabed stabilization for the cable touchdown area. The vertical distance from the top of the rock bags on the cable RPL to the bellmouth should be 2.5-3.5m. As shown in the latest survey cross profile hereby attached, the vertical tolerances are being respected (between -47.8 and -48.8 LAT, with a bellmouth height at -45.3) despite the horizontal deviation (in X-Y plane). 
</t>
  </si>
  <si>
    <t>2024/11/25 = EMPL-GNC-019847
 - Daniel respond the Aconex = the NCR request will be closed when all verification to be completed during the exuction phase.
2025/2/16 
 - Once the final inspection completed, this NCR can be closed</t>
  </si>
  <si>
    <t>TW0001 D05 DC1 FO Cable Damage</t>
  </si>
  <si>
    <t xml:space="preserve">HL-TI-EMPL-CIN-ERS-III.B.03.02 </t>
  </si>
  <si>
    <t xml:space="preserve">D05 </t>
  </si>
  <si>
    <t xml:space="preserve">Michiel de Bruin </t>
  </si>
  <si>
    <t>Matt Yaw</t>
  </si>
  <si>
    <t xml:space="preserve">To finalize repair methods and get MOC approval from Employer </t>
  </si>
  <si>
    <t xml:space="preserve">To be verified upon repair completion. </t>
  </si>
  <si>
    <t xml:space="preserve">Root cause analysis will be submitted after the completion of 5 why's investigation. </t>
  </si>
  <si>
    <t>SW7-NCR-000012</t>
  </si>
  <si>
    <t>T&amp;I_Rockbag</t>
  </si>
  <si>
    <t>SUP_Inter Array Cable</t>
  </si>
  <si>
    <t>Cat C</t>
  </si>
  <si>
    <t>Cat A / B</t>
  </si>
  <si>
    <r>
      <t xml:space="preserve">Check the Content is made </t>
    </r>
    <r>
      <rPr>
        <b/>
        <sz val="11"/>
        <color theme="1"/>
        <rFont val="新細明體"/>
        <family val="2"/>
        <scheme val="minor"/>
      </rPr>
      <t>in English.</t>
    </r>
  </si>
  <si>
    <r>
      <t xml:space="preserve">Check the </t>
    </r>
    <r>
      <rPr>
        <b/>
        <sz val="11"/>
        <color theme="1"/>
        <rFont val="新細明體"/>
        <family val="2"/>
        <scheme val="minor"/>
      </rPr>
      <t>Definition of the scope of work and test instruction</t>
    </r>
  </si>
  <si>
    <r>
      <t xml:space="preserve">Check the </t>
    </r>
    <r>
      <rPr>
        <b/>
        <sz val="11"/>
        <color theme="1"/>
        <rFont val="新細明體"/>
        <family val="2"/>
        <scheme val="minor"/>
      </rPr>
      <t>Frequency of Test1.1</t>
    </r>
  </si>
  <si>
    <r>
      <t xml:space="preserve">Check the </t>
    </r>
    <r>
      <rPr>
        <b/>
        <sz val="11"/>
        <color theme="1"/>
        <rFont val="新細明體"/>
        <family val="2"/>
        <scheme val="minor"/>
      </rPr>
      <t>Revision</t>
    </r>
  </si>
  <si>
    <r>
      <t xml:space="preserve">Check the </t>
    </r>
    <r>
      <rPr>
        <b/>
        <sz val="11"/>
        <color theme="1"/>
        <rFont val="新細明體"/>
        <family val="2"/>
        <scheme val="minor"/>
      </rPr>
      <t>Sample size(frequency)</t>
    </r>
  </si>
  <si>
    <r>
      <t xml:space="preserve">Check the </t>
    </r>
    <r>
      <rPr>
        <b/>
        <sz val="11"/>
        <color theme="1"/>
        <rFont val="新細明體"/>
        <family val="2"/>
        <scheme val="minor"/>
      </rPr>
      <t>Tolerance</t>
    </r>
  </si>
  <si>
    <r>
      <t xml:space="preserve">Check the </t>
    </r>
    <r>
      <rPr>
        <b/>
        <sz val="11"/>
        <color theme="1"/>
        <rFont val="新細明體"/>
        <family val="2"/>
        <scheme val="minor"/>
      </rPr>
      <t>Inspection Type</t>
    </r>
  </si>
  <si>
    <t>Check the verify check point “R” “M” “W” “H”</t>
  </si>
  <si>
    <r>
      <t xml:space="preserve">Check the </t>
    </r>
    <r>
      <rPr>
        <b/>
        <sz val="11"/>
        <color theme="1"/>
        <rFont val="新細明體"/>
        <family val="2"/>
        <scheme val="minor"/>
      </rPr>
      <t>Method Statement Nr.</t>
    </r>
  </si>
  <si>
    <r>
      <t xml:space="preserve">Check the </t>
    </r>
    <r>
      <rPr>
        <b/>
        <sz val="11"/>
        <color theme="1"/>
        <rFont val="新細明體"/>
        <family val="2"/>
        <scheme val="minor"/>
      </rPr>
      <t>Acceptance Criteria, which need to be “Measurable” and “Quantitative”</t>
    </r>
  </si>
  <si>
    <r>
      <t xml:space="preserve">Check the </t>
    </r>
    <r>
      <rPr>
        <b/>
        <sz val="11"/>
        <color theme="1"/>
        <rFont val="新細明體"/>
        <family val="2"/>
        <scheme val="minor"/>
      </rPr>
      <t>Non-conformity treatment</t>
    </r>
  </si>
  <si>
    <r>
      <t xml:space="preserve">Check the </t>
    </r>
    <r>
      <rPr>
        <b/>
        <sz val="11"/>
        <color theme="1"/>
        <rFont val="新細明體"/>
        <family val="2"/>
        <scheme val="minor"/>
      </rPr>
      <t>Definition</t>
    </r>
    <r>
      <rPr>
        <sz val="11"/>
        <color theme="1"/>
        <rFont val="新細明體"/>
        <family val="2"/>
        <scheme val="minor"/>
      </rPr>
      <t xml:space="preserve"> of the </t>
    </r>
    <r>
      <rPr>
        <b/>
        <sz val="11"/>
        <color theme="1"/>
        <rFont val="新細明體"/>
        <family val="2"/>
        <scheme val="minor"/>
      </rPr>
      <t>Stage and sequence of manufacturing, fabrication, or assembly</t>
    </r>
  </si>
  <si>
    <r>
      <t xml:space="preserve">Check the </t>
    </r>
    <r>
      <rPr>
        <b/>
        <sz val="11"/>
        <color theme="1"/>
        <rFont val="新細明體"/>
        <family val="2"/>
        <scheme val="minor"/>
      </rPr>
      <t>ITP Nr.</t>
    </r>
    <r>
      <rPr>
        <sz val="11"/>
        <color theme="1"/>
        <rFont val="新細明體"/>
        <family val="2"/>
        <scheme val="minor"/>
      </rPr>
      <t xml:space="preserve"> matches </t>
    </r>
    <r>
      <rPr>
        <b/>
        <sz val="11"/>
        <color theme="1"/>
        <rFont val="新細明體"/>
        <family val="2"/>
        <scheme val="minor"/>
      </rPr>
      <t>Master Document Register</t>
    </r>
    <r>
      <rPr>
        <sz val="11"/>
        <color theme="1"/>
        <rFont val="新細明體"/>
        <family val="2"/>
        <scheme val="minor"/>
      </rPr>
      <t>.</t>
    </r>
  </si>
  <si>
    <r>
      <t xml:space="preserve">Check the </t>
    </r>
    <r>
      <rPr>
        <b/>
        <sz val="11"/>
        <color theme="1"/>
        <rFont val="新細明體"/>
        <family val="2"/>
        <scheme val="minor"/>
      </rPr>
      <t>ITP format</t>
    </r>
    <r>
      <rPr>
        <sz val="11"/>
        <color theme="1"/>
        <rFont val="新細明體"/>
        <family val="2"/>
        <scheme val="minor"/>
      </rPr>
      <t xml:space="preserve"> based on PQP.</t>
    </r>
  </si>
  <si>
    <r>
      <t xml:space="preserve">Check the </t>
    </r>
    <r>
      <rPr>
        <b/>
        <sz val="11"/>
        <color theme="1"/>
        <rFont val="新細明體"/>
        <family val="2"/>
        <scheme val="minor"/>
      </rPr>
      <t>NCRs have been solved</t>
    </r>
    <r>
      <rPr>
        <sz val="11"/>
        <color theme="1"/>
        <rFont val="新細明體"/>
        <family val="2"/>
        <scheme val="minor"/>
      </rPr>
      <t xml:space="preserve"> at the last inspection stage.</t>
    </r>
  </si>
  <si>
    <r>
      <t xml:space="preserve">Check the </t>
    </r>
    <r>
      <rPr>
        <b/>
        <sz val="11"/>
        <color theme="1"/>
        <rFont val="新細明體"/>
        <family val="2"/>
        <scheme val="minor"/>
      </rPr>
      <t>Method Statement</t>
    </r>
    <r>
      <rPr>
        <sz val="11"/>
        <color theme="1"/>
        <rFont val="新細明體"/>
        <family val="2"/>
        <scheme val="minor"/>
      </rPr>
      <t xml:space="preserve"> is ready and approved.</t>
    </r>
  </si>
  <si>
    <r>
      <t xml:space="preserve">Check the checklist is made </t>
    </r>
    <r>
      <rPr>
        <b/>
        <sz val="11"/>
        <color theme="1"/>
        <rFont val="新細明體"/>
        <family val="2"/>
        <scheme val="minor"/>
      </rPr>
      <t>in English</t>
    </r>
    <r>
      <rPr>
        <sz val="11"/>
        <color theme="1"/>
        <rFont val="新細明體"/>
        <family val="2"/>
        <scheme val="minor"/>
      </rPr>
      <t>.</t>
    </r>
  </si>
  <si>
    <t xml:space="preserve">SUP_Export Cable </t>
  </si>
  <si>
    <t>T&amp;I_Cable</t>
  </si>
  <si>
    <t>T&amp;I_FOU_OSS</t>
  </si>
  <si>
    <t>T&amp;I_Lossing Rock</t>
  </si>
  <si>
    <t>Remak</t>
  </si>
  <si>
    <t>HL-RSS-BMSO-QAC-TMP-00002</t>
  </si>
  <si>
    <t>ITP Offshore Works</t>
  </si>
  <si>
    <t xml:space="preserve">Skandi Connector </t>
  </si>
  <si>
    <t xml:space="preserve">Mohd Syafiq / MWS </t>
  </si>
  <si>
    <t xml:space="preserve">HEC-HL2-800C-05-C </t>
  </si>
  <si>
    <t xml:space="preserve">On 10th of March 2025, Seaway7 requested Wind to mark anomalies on the cables with yellow spray paint and tape on all 4 anomalies locations prior to transpooling operation. The mitigation completed on the same day. </t>
  </si>
  <si>
    <t>Cable</t>
  </si>
  <si>
    <t>Design</t>
  </si>
  <si>
    <t>使用過期圖面、作業人員未確認設計版本、變更流程未落實</t>
  </si>
  <si>
    <t>製造完成後產品與設計圖不一致</t>
  </si>
  <si>
    <t>返工、報廢、延誤交期，甚至影響產品安全與驗收失敗</t>
  </si>
  <si>
    <t>預防</t>
  </si>
  <si>
    <t>1. 落實設計變更管理程序（如ECN）
2. 製造前需核對圖面版本
3. 強化教育訓練
4. 首件檢查比對設計</t>
  </si>
  <si>
    <t>1. 不合格品統計
2. 設計變更確認紀錄
3. 客戶退貨/驗收異常事件</t>
  </si>
  <si>
    <t>Manuf.</t>
  </si>
  <si>
    <t>Type Test 僅針對樣品，無法代表批次產品品質；製造過程未嚴格控管原材料或工藝偏差</t>
  </si>
  <si>
    <t>雖通過型式試驗，但實際交貨產品性能與設計不符</t>
  </si>
  <si>
    <t>安裝後發生早期故障、性能下降、需更換設備、影響佈設時程與成本</t>
  </si>
  <si>
    <t>預防 / 緩解</t>
  </si>
  <si>
    <t>1. 除型式試驗外，對量產品進行抽樣測試
2. 於 FAT/SAT 加入關鍵設計參數驗證項目
3. 強化製程與材料一致性檢查（QC Plan）
4. 嚴格審查製造商提供的 Lot-to-Lot 測試報告</t>
  </si>
  <si>
    <t>1. FAT/SAT 測試結果與設計比對
2. 量產品抽樣不符比例
3. 現場安裝後早期異常回報</t>
  </si>
  <si>
    <t>使用非專用螺紋潤滑劑（μ 值不穩定）導致摩擦係數低於預期</t>
  </si>
  <si>
    <t>安裝過程中張力過大、支持點設置不當、拖拉操作不符合規範；預熱與放線順序錯誤</t>
  </si>
  <si>
    <t>海纜於拉力施加處發生 Birdcage（導體籠狀變形）</t>
  </si>
  <si>
    <t>造成內部導體結構破壞，降低絕緣完整性與壽命，可能導致電氣故障或使用年限縮短</t>
  </si>
  <si>
    <t>1. 確保安裝前 Tension 計算與設計一致
2. 控制現場最大牽引張力與最小彎曲半徑
3. 關鍵過渡點設置張力釋放保護（如引導輪）
4. 安裝完成後實施 OTDR / Sheath test 確認內部狀況</t>
  </si>
  <si>
    <t>1. 張力紀錄 vs. 設計參數比對
2. OTDR 波形異常警訊
3. 視覺檢查 / 通報 Birdcage 現象</t>
  </si>
  <si>
    <t>Operation</t>
  </si>
  <si>
    <t>1.要求承包商施工前提供 filter layer 級配檢測報告
2.增加第三方見證檢查頻率，確認石材來源與現場材料一致
3.嚴格落實施工過程抽驗制度</t>
  </si>
  <si>
    <t>1.材料報驗文件缺少級配試驗報告
2.現場採樣石材與設計級配不符
3.發生局部流失或異常掏空事件通報</t>
  </si>
  <si>
    <t>1.要求 Armor Layer 材料出廠前應提供粒徑分佈報告
2.施工前應交付級配確認報告並由第三方查驗
3.安裝過程中實施隨機取樣比對級配</t>
  </si>
  <si>
    <t>1.出廠材料無級配報告或無原產地證明
2.安裝後發現電纜裸露或沉陷區域
3.因防護失效導致外力損壞通報事件</t>
  </si>
  <si>
    <t>1.制定標準作業程序（SOP），規定僅可使用指定潤滑劑品牌與型號
2.現場上工前須完成潤滑劑辨識訓練並簽署紀錄
3.施工中應由第三方見證潤滑劑使用與扭力程序</t>
  </si>
  <si>
    <t>1.現場查核發現非指定潤滑劑使用紀錄
2.扭力紀錄表缺漏潤滑劑批號或施工人員簽名
3.鎖固件鬆動、結構異音或扭力低於標準值之通報案例</t>
  </si>
  <si>
    <t>1.要求承包商於交貨前提供依據 EN 13383 執行的粒徑分析報告
2.安裝前進行隨機抽樣檢測並由第三方驗證級配結果
3.安裝過程設置旁站見證以確認實際使用材料與報驗文件相符</t>
  </si>
  <si>
    <t>1.承包商未提供粒徑分析或分析報告不符 EN 13383
2.第三方抽驗結果不符合設計粒徑分佈範圍
3.安裝後發現 Rockbag 塌陷、位移或沖刷裸露案例</t>
  </si>
  <si>
    <t>CPS 設計尚未完成或未取得 DNV 認可，專案時程壓力導致未依程序送審</t>
  </si>
  <si>
    <t>CPS 未經認可文件即進入製造或安裝階段</t>
  </si>
  <si>
    <t>安裝後發現結構無法符合使用條件或驗證失敗，導致返工、延誤或失效風險</t>
  </si>
  <si>
    <t>1. 設計文件需獲得 DNV 書面批准後方可進入製造階段
2. 設立設計文件審核管制點（Hold Point）
3. 強化 QA 對設計審查狀態的追蹤與記錄</t>
  </si>
  <si>
    <t>1. 安裝使用的 CPS 設計文件無 DNV 審查回覆或同意書
2. 製造前無核准設計版本對應關聯
3. 安裝後出現設計異常或運轉失效現象</t>
  </si>
  <si>
    <t xml:space="preserve">2024/04/17
 - Request package to follow internal procedure to ask CDWE to issue the NCR.
</t>
  </si>
  <si>
    <t xml:space="preserve">Partial scrap defect (2m) - rework with factory joint </t>
  </si>
  <si>
    <t xml:space="preserve">The 2m factory joint including the 1m behind the delaminated area of the outer semi-conductive tube and the end of the opposite outer semi-conductive tube will be cut and rework the factory joint. To perform the factory joint process, LSC will proceed as follows:
1. LSC will cut a total of 2 meters, including the 1m behind the delaminated area of the outer semi-conductive tube and the end of the opposite outer semi-conductive tube.
2. LSC will conduct an examination of the cut 2-meter section to confirm the presence of foreign substances beneath the tube and the composition analysis of the delaminated and normal areas of the tube.
3. Proceed the factory joint process according to the factory joint checklist.
Furthermore, the manufacturing process can proceed without impacting the existing completion date of the HL3.2 submarine cable. 
</t>
  </si>
  <si>
    <t xml:space="preserve">The FJ rework was completed and proceeded the X-ray and FJPD Tests, and no issue was found in either test. And the lay-up process has been completed and the armoring work is currently in progress. </t>
  </si>
  <si>
    <t xml:space="preserve">The laboratory's analysis of foreign substances beneath the sample and the physical properties of the tube found no anomalies, concluding that the issues may have originated from the process.
Further interviews with the workers confirmed that the issue was due to a taping error during the process.
1. Before molding, there is steel and pressure tape application for tube fusion over the outer semi-conductive tube.
2. During the steel upper taping process, the taping should adequately cover the steel end. However, the taping did not reach the end of the steel during the process.
3. After such improper taping work, molding was carried out without any check points, resulting in insufficient pressure application.
4. Due to the insufficient pressure application, delamination occurred. 
</t>
  </si>
  <si>
    <t xml:space="preserve">LSC will conduct the following actions to avoid recurrence.
1. There was no checkpoint for verification after sufficiently wrapping the tape to the end of the steel. Therefore, a new checklist item will add to the existing FJ work procedure to verify that the taping reaches the end of the steel.
2. By adding a checkpoint for verification after taping to the FJ supervisor's checklist, LSC will double-check the taping process and prevent potential errors during the work.
3. Training materials related to taping work (OPL) will prepare and a workshop will conduct onsite to provide comprehensive dissemination and training. </t>
  </si>
  <si>
    <t>LSC will conduct a checklist validity verification once every three months.</t>
  </si>
  <si>
    <t xml:space="preserve">The FJ rework was completed and proceeded the X-ray and FJPD Tests, and no issue was found in either test.
and FAT also serves as a method of verifying validity, we will verify the validity through the high voltage test in the FAT. </t>
  </si>
  <si>
    <t>Commissioning</t>
  </si>
  <si>
    <t>DAC 測試設備故障、資源不足或以“非強制性”理由跳過測試</t>
  </si>
  <si>
    <t>未進行 DAC 測試或測試數據無效，無法評估電纜內部絕緣缺陷</t>
  </si>
  <si>
    <t>測試失敗，且無備用設備可以使用。</t>
  </si>
  <si>
    <t>預防 / 減輕</t>
  </si>
  <si>
    <t>1. DAC 測試應納入 ITP 並視為關鍵檢測項目
2. 設備需提前校驗並測試前模擬驗證
3. 若因特殊情況需跳過，必須提出正式 NCR 與補償性測試方案（如 soak test + OTDR）
4. 要求供應商提供歷史 PD 數據與其他 Type/ Routine test 證明</t>
  </si>
  <si>
    <t>1. 測試報告中無 DAC 數據或數據不完整
2. OTDR / Sheath test 出現異常但 DAC 未執行
3. 通電後出現 PD 異常或局部過熱通報</t>
  </si>
  <si>
    <t>安裝拖曳過程未妥善保護電纜，通過鋒利結構、船體邊緣或受污染表面</t>
  </si>
  <si>
    <t>電纜外護層表面產生刮傷、破皮、磨損痕跡</t>
  </si>
  <si>
    <t>絕緣層受損可能造成水氣入侵，導致局部放電、長期絕緣劣化、縮短壽命或失效</t>
  </si>
  <si>
    <t>1. 安裝前路徑與通道需實體巡查，移除潛在刮傷風險點
2. 關鍵轉向點使用滾輪、軟墊或臨時導管進行保護
3. 安裝後進行外觀檢查與 OTDR 測試，若發現損傷應立即記錄並評估是否需要修補</t>
  </si>
  <si>
    <t>1. 安裝後外觀檢查記錄中出現刮傷通報
2. OTDR 測試出現高反射點或局部損耗異常
3. 現場通報或照片紀錄顯示外護層損傷情況</t>
  </si>
  <si>
    <t xml:space="preserve">	</t>
  </si>
  <si>
    <t>TW0001 HL CPI Cable anomaly</t>
  </si>
  <si>
    <t>IEC 62067
HL-EXC-LSC-DES-RPT-00028 (Rev 5.0)</t>
  </si>
  <si>
    <t>On 10th April, The routine test for accessories for the 4th shipment of HL 3.2 was conducted. During the dimension check of the pulling head, it was founded that the dimension of the pulling hook hole differed from the drawing. The drawings and actual product specifications are different.</t>
  </si>
  <si>
    <t>The incorrectly fabricated pulling head will be picked up by the manufacturer and is scheduled to be re-manufactured.</t>
  </si>
  <si>
    <t xml:space="preserve">The product manufacturer has agreed to add a cross-check process with the drawing manufacturing company to ensure that the drawings reflect the latest revisions. This new process will be included in the checklist for verification.
</t>
  </si>
  <si>
    <t xml:space="preserve">LSC was confirmed via email that the drawing revision has been correctly delivered to the pulling head manufacturer by the drawing manufacturer in January 2024. However, during this production, the pulling head manufacturer did not update and manage the drwawings, resulting in the pulling heads not being manufactured according to the latest drawings.
</t>
  </si>
  <si>
    <t>CDWE-NCR-000022</t>
  </si>
  <si>
    <t>HL-TNI-CDWE-ENG-NCR-00024 - Coating damage to Pin Pile HL30-N04-C</t>
  </si>
  <si>
    <t xml:space="preserve">Pin Pile load out </t>
  </si>
  <si>
    <t xml:space="preserve">During the load-out of pin piles HL30-N04 at CSBC (Kaohsiung), pin pile C made contact with the aft PP seafastening structure while lifting the pile towards the seafastening.
During the load-out operation of pin piles HL30-N04 at CSBC (Kaohsiung), Pin Pile C came into contact with the aft seafastening structure while being lifted into position.
As a result, superficial scratches were observed on the steel surface/coating. In some locations, the scratches impact the structural coating. The scratches were located on the weld line regarding the damage report. 
</t>
  </si>
  <si>
    <t xml:space="preserve">Pin Pile HL30-N04-C </t>
  </si>
  <si>
    <t>Anton Engelen</t>
  </si>
  <si>
    <t xml:space="preserve">Pin Pile repaired </t>
  </si>
  <si>
    <t xml:space="preserve">Pin pile was brought back to the quayside for inspection “Take-5” with crane operators and lifting supervisor before proceeding with the load out. </t>
  </si>
  <si>
    <t xml:space="preserve">Details of inspection after incident included in the damage report. </t>
  </si>
  <si>
    <t xml:space="preserve">Anton Engelen </t>
  </si>
  <si>
    <t xml:space="preserve">Reference to incident report with detailed root cause analyses: CDWE-GNC-005169 as the attached report (INC_2025_00647 - Final Report) </t>
  </si>
  <si>
    <t xml:space="preserve">
Based on the results of the NDT inspection, the damages were confirmed to be non-structural damage and did not compromise the integrity of the pile for further transport or installation purposes.
Therefore, coating repair was carried out to restore corrosion protection and ensure compliance with coating specifications.
• Further corrective actions on improved handling procedures will be further investigated, and the outcome will be included in the respective incident report.
Nevertheless, Contractor performed NDT inspection and paint repair of the damaged areas. Results can be found in Appendix 1 and Appendix 2 of the damage report. 
</t>
  </si>
  <si>
    <t xml:space="preserve">NDT report and painting repair process included in damage report. </t>
  </si>
  <si>
    <t>Damaged areas repaired and back to the spcification.</t>
  </si>
  <si>
    <t xml:space="preserve">Failure to Submit SGRE Alubag Opening/Closing Checksheets </t>
  </si>
  <si>
    <t>HL-WTG-SGRE-ELE-MAN-00034 (1.0) 8VM1 Manual Instruction E0 925 00100-174 Index G</t>
  </si>
  <si>
    <t xml:space="preserve">The humidity in switchgear D02 indicated a relative humidity level exceeding 60%. Upon request to provide the required humidity control checklist as specified in page 8-241 of Siemens 8VM1 Instruction Manual (Document No. HL-WTG-SGRE-ELE-MAN-00034), S7 was unable to provide the checklist. Product integrity may have been compromised due to unmonitored exposure to elevated humidity.
Further investigation revealed that S7 had not been completing the checklist in accordance with the manual. Instead, S7 had been recording the bag opening and closing times directly on the desiccant bag and relaying the information back to the vessel for tabulation. In this case, it results in the inability to determine the root cause and duration of the humidity spike.
</t>
  </si>
  <si>
    <t>D02 switchgear</t>
  </si>
  <si>
    <t>Simon Sampson</t>
  </si>
  <si>
    <t xml:space="preserve">2025/04/02
 - Raise this request to CDWE during bi-weekly meeting.
2025/04/29
 - The NCR has been raised and closed.
</t>
  </si>
  <si>
    <t xml:space="preserve">2025/04/09
 - The revision 2.0 has been reviewed and completed the WF.
2025/05/02
 - The PQP has been revised and all comments closed.
</t>
  </si>
  <si>
    <r>
      <t xml:space="preserve">2025/02/12
 - Clarifying with LSC and confirming this need to be accurately reflected.
2025/04/07
</t>
    </r>
    <r>
      <rPr>
        <sz val="10"/>
        <color rgb="FFFF0000"/>
        <rFont val="calbri"/>
      </rPr>
      <t xml:space="preserve"> - LSC's information is not correct. This needs to be clarified why the supplier audit progress follows project process.
2025/05/07
 - The audit progress will be closed along with project progress.
</t>
    </r>
  </si>
  <si>
    <t xml:space="preserve">The test results for FO#1-29, FO#2-07, and FO#2-08 are passed in OTDR Test report after re-splicing ( Attachment: Test Report_HL2A_SAT_20250405_3cores ) </t>
  </si>
  <si>
    <t xml:space="preserve">The repair work has been completed. For the related test results, please refer to Test Report HL-EXC-LSC-TST-RPT-00007 (Version 1.0) – After 2-Sided Pull-In (HL2A). </t>
  </si>
  <si>
    <t>Birdcage（導體籠狀變形）尺寸超出規格</t>
  </si>
  <si>
    <t>海纜無法順利穿入 CPS 或 J-tube，造成卡阻或需切除重鋪</t>
  </si>
  <si>
    <t>導致工序中斷、需現場切除或退纜重裝，造成工期延誤、材料浪費與安裝成本增加</t>
  </si>
  <si>
    <t>1. 拉纜前需量測電纜外徑，與 CPS / J-tube 配合性確認
2. 安裝程序設定 Birdcage 容許範圍並於每段進場檢查
3. 現場設置進入前實體卡具模擬通過測試
4. 出現 Birdcage 須立刻停工檢查，必要時切除</t>
  </si>
  <si>
    <t>1. 視覺檢查 / 通報 Birdcage 現象
2. 電纜入管前實體模擬未通過
3. Birdcage 實測尺寸超過設計配合尺寸
4. 現場紀錄顯示中斷或重鋪程序</t>
  </si>
  <si>
    <t xml:space="preserve">Data reprocessed to meet requirement </t>
  </si>
  <si>
    <t xml:space="preserve">Reprocess the MBES data using corrected tidal input and incorporate post-processing of INS data via Delph2 workflow. This method aims to eliminate depth inaccuracies caused by timing and tidal reference errors, ensuring the dataset meets project specifications. </t>
  </si>
  <si>
    <t xml:space="preserve">The corrected MBES dataset was submitted to the client on 5th June 2024 after implementing Delph2-based INS post-processing and corrected tidal input. On 15th July 2024, the HL Project Surveyor confirmed the data was acceptable, completing the verification process.  </t>
  </si>
  <si>
    <t xml:space="preserve">Matt Yaw </t>
  </si>
  <si>
    <t xml:space="preserve">Incorrect application of tidal data and a variable timing delay in the MBES workflow led to inaccurate depth results. The timing input was split, introducing latency. The root cause was identified during fault finding and resolved through workflow correction and procedure updates. </t>
  </si>
  <si>
    <t xml:space="preserve">Eight corrective actions were implemented, including reprocessing of MBES data using corrected tidal input and INS post-processing, fault finding analysis, and updating survey procedures. Additional guidance (GL-SI-HT-0085) was issued and recorded. </t>
  </si>
  <si>
    <t xml:space="preserve">The reprocessed MBES data was submitted to Hai Long on 5th June 2024. Following the client's review, the HL Project Surveyor confirmed on 15th July 2024 that the data was acceptable. This confirmation completes the verification of all corrective actions under the Synergi case. </t>
  </si>
  <si>
    <t xml:space="preserve">HL Surveyor as email attched </t>
  </si>
  <si>
    <t xml:space="preserve">Following data reprocessing and client acceptance, the final MBES dataset meets project specifications and is considered technically reliable. No residual issues remain, and the product can be used for its intended purpose without compromising quality or integrity. </t>
  </si>
  <si>
    <t>Month</t>
  </si>
  <si>
    <t>Losse Rock - Filter</t>
  </si>
  <si>
    <t>Losse Rock - Armor</t>
  </si>
  <si>
    <t>Supplier: HUNG HUA</t>
  </si>
  <si>
    <t xml:space="preserve">CP 63/180 </t>
  </si>
  <si>
    <t>Accumulation
CP 63/180</t>
  </si>
  <si>
    <t xml:space="preserve">CP 90/250 </t>
  </si>
  <si>
    <t>Accumulation
CP 90/250</t>
  </si>
  <si>
    <t>LMA 10–60 kg</t>
  </si>
  <si>
    <t>Accumulation
LMA 10–60 kg</t>
  </si>
  <si>
    <t>LMA 40–200 kg</t>
  </si>
  <si>
    <t>Accumulation
LMA 40–200 kg</t>
  </si>
  <si>
    <t>Unit: mT
Location: Anping</t>
  </si>
  <si>
    <t>Independent Sample</t>
  </si>
  <si>
    <t xml:space="preserve">The manufacturer picked up and rework it. </t>
  </si>
  <si>
    <t xml:space="preserve">The incorrectly fabricated pulling head will be picked up by the manufacturer and is scheduled to be re-fabricated. 
</t>
  </si>
  <si>
    <t xml:space="preserve">LSC Conducted dimension check. It was manufactured according to the drawings, and there are no issues with the results. Also, LSC have confirmed with the product manufacture company that the checklist is being properly utilized. </t>
  </si>
  <si>
    <t xml:space="preserve">Following the result of dimension check, integrity of the pulling head was verified. </t>
  </si>
  <si>
    <t>Progress</t>
  </si>
  <si>
    <t>D05</t>
  </si>
  <si>
    <t>螺栓未依規定程序（如三or四段式定磅）鎖固至設定扭力</t>
  </si>
  <si>
    <t>設備設計與土建施工圖未充分界面整合，或更新未同步發佈</t>
  </si>
  <si>
    <t>LLC（或高壓設備）實體安裝時，底座開孔與土木結構開孔錯位或干涉</t>
  </si>
  <si>
    <t>導致無法安裝、需現場鑽孔修正、墊高或移位，影響施工進度與結構完整性，甚至導致電氣安全風險</t>
  </si>
  <si>
    <t>1. 設備製造前召開土建與設備界面協調會議（IDC）
2. 安裝前要求土建基座與開孔完成後，實體放樣或 3D model 比對驗證
3. 所有設計修訂須經雙方簽認並即時發送現場版本更新</t>
  </si>
  <si>
    <t>1. 安裝過程中回報設備與開孔位置不符
2. 現場需修改土建或墊高紀錄產生
3. 安裝延誤或施工異常通報（如臨時加鑽、補強）</t>
  </si>
  <si>
    <t>備品清單不完整或未依實際需求備齊，或補件交期未掌握</t>
  </si>
  <si>
    <t>安裝過程中發現缺少關鍵備品，施工需中斷等待材料到場</t>
  </si>
  <si>
    <t>導致工期延誤、設備閒置增加成本，影響整體工程進度與人力調度</t>
  </si>
  <si>
    <t>1. 安裝前執行備品盤點與需求評估
2. 備品清單需依實體設計與施工風險擬定並經審查
3. 高風險備件建立現場快取庫存，或與供應商簽訂即時交貨協議</t>
  </si>
  <si>
    <t>1. 缺料事件通報紀錄
2. 安裝日誌中出現因備品短缺停工紀錄
3. 備品清單與實際到場比對落差超出容許範圍</t>
  </si>
  <si>
    <t>供應商未依規範提供材料證明文件，或刻意提供偽造文件</t>
  </si>
  <si>
    <t>材料進場後經查證發現證明文件不實或不符規範</t>
  </si>
  <si>
    <t>材料無法用於工程、需更換、退貨或延遲施工，影響信譽並增加檢驗與監管負擔</t>
  </si>
  <si>
    <t>1. 材料送審時須附原廠證明與第三方驗證文件
2. 對高風險材料執行原件查驗與現場抽驗比對
3. 對違規供應商啟動評比扣分與黑名單管理機制</t>
  </si>
  <si>
    <t>1. 材料證明與設計規格不符
2. 文件格式與內容有偽造跡象或無驗證來源
3. 現場材料實測結果與證明不符</t>
  </si>
  <si>
    <t>製造商 FAT 測試執行紀錄不完整、測試點遺漏或未填寫測試數據，Punch 未正式關閉</t>
  </si>
  <si>
    <t>設備出廠時未完成所有測試點或未清除 Punch list，仍被判定為完成品</t>
  </si>
  <si>
    <t>造成現場無法順利安裝或啟用，需補測或返修，導致安裝延誤、成本增加，甚至影響啟動日程</t>
  </si>
  <si>
    <t>1. FAT 前明確列出所有檢測項與紀錄欄位，並於現場逐項勾稽
2. 設置 FAT Punch 管控機制，未經關閉不得出廠
3. 設備驗收須由 QA/QC 人員確認所有資料齊全、Punch 關閉並簽署</t>
  </si>
  <si>
    <t>1. FAT 報告資料缺漏或測試欄空白
2. Punch List 未關閉即出具完工證明
3. 現場無法安裝或需追加測試通報紀錄</t>
  </si>
  <si>
    <t>EMPL-RFNCR-000094</t>
  </si>
  <si>
    <t>Deviation from Termination Procedure Step 2.137 - Lever Hoist Removed</t>
  </si>
  <si>
    <t>HL-CTI-SW7-ENG-PRC-00024 Rev 5 – Cable Power Core Procedure – Task Plan 1 – Subtask 2.137</t>
  </si>
  <si>
    <t>HL2-OSS</t>
  </si>
  <si>
    <t>2025/05/29
 - Discuss with S7 during weekly qulality meeting.</t>
  </si>
  <si>
    <t>Resistance to wear</t>
  </si>
  <si>
    <t>Petrographic
analysis</t>
  </si>
  <si>
    <t>EMPL-RFNCR-000101</t>
  </si>
  <si>
    <t>Full H1-H2 Cable Outside of Pre-Dredged Channel</t>
  </si>
  <si>
    <t>Contact - Schedule 6.2
EMPL-GNC-024565</t>
  </si>
  <si>
    <t>In accordance with EMPL-GNC-024565, during the cable laying operation on section H1–H2 (WB071), it was identified that the cable was laid without micro-routing to position the cable within the pre-dredged trench.</t>
  </si>
  <si>
    <t>H1-H2 (WB071)</t>
  </si>
  <si>
    <t>SGS
Report Number</t>
  </si>
  <si>
    <t>Rock</t>
  </si>
  <si>
    <t>Size</t>
  </si>
  <si>
    <t>Supplier</t>
  </si>
  <si>
    <t>Sampling Date</t>
  </si>
  <si>
    <t>Submit Draft</t>
  </si>
  <si>
    <t>Particle Density</t>
  </si>
  <si>
    <t>Resistance to
Breakage</t>
  </si>
  <si>
    <t>Official Report</t>
  </si>
  <si>
    <t>ZB-25-00048 &amp;
TB-25-00690</t>
  </si>
  <si>
    <t>Losse Rock</t>
  </si>
  <si>
    <t>CP63/180</t>
  </si>
  <si>
    <t>Hung Hua
(Anping)</t>
  </si>
  <si>
    <t xml:space="preserve">Rockbag </t>
  </si>
  <si>
    <t>Seaway7
(Taichung)</t>
  </si>
  <si>
    <t>Yunnen
(Anping)</t>
  </si>
  <si>
    <t>Hailong Independent Test for Rock</t>
  </si>
  <si>
    <t>Step3
Official Report</t>
  </si>
  <si>
    <t>Step1
Submit Reprot</t>
  </si>
  <si>
    <t>Rockbag結構功能異常，可能無法達成預期抗沖刷效果，導致海底電纜或基礎結構暴露、位移，增加運維風險與結構損壞風險。亦或是環境承諾有要求相關報告。</t>
  </si>
  <si>
    <t>TW0001 D05 Power Cable Outer Sheath Minor Damage</t>
  </si>
  <si>
    <t xml:space="preserve">HL-CTI-EMPL-CIN-CON-00024_2.0_001.pdf CAB T&amp;I Requirements for the works
HL-IAC-HELLENIC-ENG-PRC-00001 (Cable Outer Sheath Repair Procedure) </t>
  </si>
  <si>
    <t xml:space="preserve">On 10/04/2025, during secondary routing work for T&amp;T preparation, a minor damage was observed on the D05 power cable - approximately 0.6mm deep and 50mm long - at the third trefoil cleat.
Physical inspection confirmed the damage is limited to the thin semi-conductive outer sheath layer, with no penetration into the white non-conductive PE layer.
Additional measurements and detailed photos will be taken after the next port call when the T&amp;T team is on site.
TQ has been sent to the Employer requesting Employer to consult with the cable supplier to determine an appropriate repair method and provision of repairing consumables for minor outer sheath damage as per HL-IAC-HELLENIC-ENG-PRC-00001 (Cable Outer Sheath Repair Procedure).
The sheath test has already been performed and passed, with no anomalies detected, confirming the cable’s integrity is fully intact. </t>
  </si>
  <si>
    <t xml:space="preserve">Heijne, Richard </t>
  </si>
  <si>
    <t xml:space="preserve">Cable WB094 – Phase L3 </t>
  </si>
  <si>
    <t>HL-IAC-HELLENIC-ENG-PRC-00001 - Cable Outer Sheath Repair Procedure</t>
  </si>
  <si>
    <t xml:space="preserve">Cable repaired per procedure and passed test without issue. </t>
  </si>
  <si>
    <t xml:space="preserve">To repair the outer sheath as per Cable Outer Sheath Repair Procedure stipulated by Hellenic. "HL-IAC-HELLENIC-ENG-PRC-00001 - Cable Outer Sheath Repair Procedure" </t>
  </si>
  <si>
    <t xml:space="preserve">The power cable has been repaired in accordance with Cable Outer Sheath Repair Procedure(HL-IAC-HELLENIC-ENG-PRC-00001), successfully passed insulation resistance testing, and is confirmed fit for service without any concern to its mechanical and electrical integrity. </t>
  </si>
  <si>
    <t xml:space="preserve">The corrective actions include verification of electrical integrity via DC sheath test, followed by an MOC(TW0001-OCO-MOC-0016) approved repair using alternative materials. </t>
  </si>
  <si>
    <t xml:space="preserve">The repair work was carried out satisfactorily as per approved MOC and procedures. Remedy result are documented in I-Auditor (TW0001_HaiLong D05 Sheath Repair) which has been verified and undersigned by Client Representative. </t>
  </si>
  <si>
    <t xml:space="preserve">Pete Walker </t>
  </si>
  <si>
    <t xml:space="preserve">The remedy work has been performed according to HL-IAC-HELLENIC-ENG-PRC-00001(4.0) Cable Outer Sheath Repair Procedure and completed. Based on the related inspections, electrical tests, and qualified repair execution, it is onfirmed that the functional, mechanical, and electrical integrity of the power cable has not been compromised. The product is considered fit for service and suitable for continued use. </t>
  </si>
  <si>
    <r>
      <rPr>
        <strike/>
        <sz val="11"/>
        <rFont val="Calibri"/>
        <family val="2"/>
      </rPr>
      <t xml:space="preserve">Drafting
</t>
    </r>
    <r>
      <rPr>
        <sz val="11"/>
        <rFont val="Calibri"/>
        <family val="2"/>
      </rPr>
      <t>S-21-10887_CN2010 (HL-TNI-SRTC_DES_RPT-0007) Design report JKT onshore
supports</t>
    </r>
  </si>
  <si>
    <r>
      <t xml:space="preserve">This issue has been closed due to the PIT is a temporary tool for CDWE, not a permanent asset.
</t>
    </r>
    <r>
      <rPr>
        <b/>
        <u/>
        <sz val="11"/>
        <rFont val="Calibri"/>
        <family val="2"/>
      </rPr>
      <t>2025/01/14</t>
    </r>
    <r>
      <rPr>
        <b/>
        <sz val="11"/>
        <rFont val="Calibri"/>
        <family val="2"/>
      </rPr>
      <t xml:space="preserve">
This NCR will be closed by HL internally. CDWE would not be included in the progress. The draft has sent to Justin for review if any information need to be supplemented.
</t>
    </r>
  </si>
  <si>
    <r>
      <t xml:space="preserve">As described in the Design Report CPS Bellmouth (HL-IAC-HELLENIC-ENG-DBS-00009), Section 5.2 Pull-out disc, the </t>
    </r>
    <r>
      <rPr>
        <b/>
        <sz val="11"/>
        <rFont val="Calibri"/>
        <family val="2"/>
      </rPr>
      <t>Pull-out Disc (POD)</t>
    </r>
    <r>
      <rPr>
        <sz val="11"/>
        <rFont val="Calibri"/>
        <family val="2"/>
      </rPr>
      <t xml:space="preserve"> is an assembly fitted within the bellmouth to stop any foreign objects from entering the foundation J-tube prior to CPS installation. The pull out disc is made from a flexible polyurethane material, allowing it to be installed and removed prior to CPS installation. The final product, the Bellmouth is as such not affected as the pull-out disc is removed. </t>
    </r>
  </si>
  <si>
    <r>
      <t xml:space="preserve">The </t>
    </r>
    <r>
      <rPr>
        <b/>
        <sz val="11"/>
        <rFont val="Calibri"/>
        <family val="2"/>
      </rPr>
      <t>lifting eye</t>
    </r>
    <r>
      <rPr>
        <sz val="11"/>
        <rFont val="Calibri"/>
        <family val="2"/>
      </rPr>
      <t xml:space="preserve"> is a temporary component used only for operational activities and will be removed afterward. It has no impact on the permanent product, the bellmouth. Only these 4x bellmouths' lifting eye need to be changed in size. </t>
    </r>
  </si>
  <si>
    <r>
      <rPr>
        <sz val="11"/>
        <rFont val="Calibri"/>
        <family val="2"/>
      </rPr>
      <t xml:space="preserve">2024/05/30
Daniel M sent the email with NCR content to QMT to request Seaway7 to issue the NCR.
</t>
    </r>
    <r>
      <rPr>
        <b/>
        <sz val="11"/>
        <rFont val="Calibri"/>
        <family val="2"/>
      </rPr>
      <t>2024/06/05
Daniel H requested S7 to issue the NCR in Aconex.
*This RFNCR has been transferred to Tranfer to SW7-NCR-000007*</t>
    </r>
  </si>
  <si>
    <r>
      <rPr>
        <u/>
        <sz val="11"/>
        <rFont val="Calibri"/>
        <family val="2"/>
      </rPr>
      <t>2024/05/28</t>
    </r>
    <r>
      <rPr>
        <sz val="11"/>
        <rFont val="Calibri"/>
        <family val="2"/>
      </rPr>
      <t xml:space="preserve">
Daniel Mutchell requested QMT do NOT close this NCR.
</t>
    </r>
    <r>
      <rPr>
        <u/>
        <sz val="11"/>
        <rFont val="Calibri"/>
        <family val="2"/>
      </rPr>
      <t>2024/05/29</t>
    </r>
    <r>
      <rPr>
        <sz val="11"/>
        <rFont val="Calibri"/>
        <family val="2"/>
      </rPr>
      <t xml:space="preserve">
Daniel Huang replied the Aconex (MAIL NUMBER
EMPL-RNONC-000369) to S7 to inform this NCR can not be closed die to the technical concerns raised by package manager.
</t>
    </r>
    <r>
      <rPr>
        <u/>
        <sz val="11"/>
        <color rgb="FFFF0000"/>
        <rFont val="Calibri"/>
        <family val="2"/>
      </rPr>
      <t>20204/12/06</t>
    </r>
    <r>
      <rPr>
        <sz val="11"/>
        <color rgb="FFFF0000"/>
        <rFont val="Calibri"/>
        <family val="2"/>
      </rPr>
      <t xml:space="preserve">
 - S7 stated this they  commence dredging and then bury the HDD conduit. Subsequent cable testing will be carried out to confirm the cable’s integrity before granting final approval.</t>
    </r>
  </si>
  <si>
    <r>
      <rPr>
        <strike/>
        <sz val="11"/>
        <rFont val="Calibri"/>
        <family val="2"/>
      </rPr>
      <t xml:space="preserve">2024/05/29
Because the NOI failed to client's representative, therefore, the test process was now witnessed by the reps. The testing report will not be signed by HL at this monent.
2024/06/18
Daniel Huang - Close this NCR.
</t>
    </r>
    <r>
      <rPr>
        <b/>
        <sz val="11"/>
        <rFont val="Calibri"/>
        <family val="2"/>
      </rPr>
      <t xml:space="preserve">2024/06/19
Daniel Huang - Justin update the Metadata
1. Change the Category  from "Use as is" to "rework"
2. update the description for Final Product Intergrity Statement 
</t>
    </r>
  </si>
  <si>
    <r>
      <rPr>
        <strike/>
        <sz val="11"/>
        <rFont val="Calibri"/>
        <family val="2"/>
      </rPr>
      <t xml:space="preserve">2024/05/28
Daniel Huang reply the NCR in Aconex (MAIL NUMBER = EMPL-RNONC-000366)
</t>
    </r>
    <r>
      <rPr>
        <b/>
        <sz val="11"/>
        <rFont val="Calibri"/>
        <family val="2"/>
      </rPr>
      <t xml:space="preserve">2024/07/26  
Daniel Park reply the NCR and Daniel Huang close the NCR based on the supporting documetns. The technical portion leave to package manager to close it. 
</t>
    </r>
  </si>
  <si>
    <r>
      <rPr>
        <strike/>
        <sz val="11"/>
        <rFont val="Calibri"/>
        <family val="2"/>
      </rPr>
      <t xml:space="preserve">Design Corridor Tolerance - 2% Planned Total Length , Horizontal Accuracy 0.5% HDD Length </t>
    </r>
    <r>
      <rPr>
        <sz val="11"/>
        <rFont val="Calibri"/>
        <family val="2"/>
      </rPr>
      <t xml:space="preserve">
HDD Scope of Work TW00001-SOW-00004 Section 4.2
See Seaway 7 Synergi Case No 24896869 for further details </t>
    </r>
  </si>
  <si>
    <r>
      <t xml:space="preserve">EMPL-RFNCR-000037
</t>
    </r>
    <r>
      <rPr>
        <sz val="11"/>
        <color rgb="FFFF0000"/>
        <rFont val="Calibri"/>
        <family val="2"/>
      </rPr>
      <t>Waiting for NCR</t>
    </r>
  </si>
  <si>
    <r>
      <rPr>
        <b/>
        <u/>
        <sz val="11"/>
        <color rgb="FFFF0000"/>
        <rFont val="Calibri"/>
        <family val="2"/>
      </rPr>
      <t>2025/01/07</t>
    </r>
    <r>
      <rPr>
        <b/>
        <sz val="11"/>
        <color rgb="FFFF0000"/>
        <rFont val="Calibri"/>
        <family val="2"/>
      </rPr>
      <t xml:space="preserve">
No response from S7 on Aconex to close this NCR.</t>
    </r>
  </si>
  <si>
    <r>
      <t>2024/7/30
DNV has approved the TQ, and this NCR can be close</t>
    </r>
    <r>
      <rPr>
        <u/>
        <sz val="11"/>
        <rFont val="Calibri"/>
        <family val="2"/>
      </rPr>
      <t>d</t>
    </r>
    <r>
      <rPr>
        <u/>
        <sz val="11"/>
        <color rgb="FFFF0000"/>
        <rFont val="Calibri"/>
        <family val="2"/>
      </rPr>
      <t xml:space="preserve">.
</t>
    </r>
    <r>
      <rPr>
        <b/>
        <u/>
        <sz val="11"/>
        <color rgb="FFFF0000"/>
        <rFont val="Calibri"/>
        <family val="2"/>
      </rPr>
      <t xml:space="preserve">2025/01/09
</t>
    </r>
    <r>
      <rPr>
        <b/>
        <sz val="11"/>
        <color rgb="FFFF0000"/>
        <rFont val="Calibri"/>
        <family val="2"/>
      </rPr>
      <t xml:space="preserve">No repsonse from S7 on Aconex to close this NCR.
</t>
    </r>
  </si>
  <si>
    <r>
      <rPr>
        <strike/>
        <sz val="11"/>
        <rFont val="Calibri"/>
        <family val="2"/>
      </rPr>
      <t>EMPL-RFNCR-000040</t>
    </r>
    <r>
      <rPr>
        <sz val="11"/>
        <rFont val="Calibri"/>
        <family val="2"/>
      </rPr>
      <t xml:space="preserve">
</t>
    </r>
    <r>
      <rPr>
        <sz val="11"/>
        <color rgb="FFFF0000"/>
        <rFont val="Calibri"/>
        <family val="2"/>
      </rPr>
      <t>SW7-NCR-000009</t>
    </r>
  </si>
  <si>
    <r>
      <t xml:space="preserve">2024/09/20
CDWE will issue the separate NCRs for different loaction.
2024/10/11
CDWE updated the NCR and re-issure the NCR for separate location 
HL21-J05 = CDWE-NCR-000016
HL21-J03 = CDWE-NCR-000015
HL21-J04 = CDWE-NCR-000014
HL21-H02 = CDWE-NCR-000013
</t>
    </r>
    <r>
      <rPr>
        <sz val="11"/>
        <color rgb="FFFF0000"/>
        <rFont val="Calibri"/>
        <family val="2"/>
      </rPr>
      <t xml:space="preserve">
</t>
    </r>
    <r>
      <rPr>
        <strike/>
        <sz val="11"/>
        <rFont val="Calibri"/>
        <family val="2"/>
      </rPr>
      <t>Waiting for Rambo's assessment report.</t>
    </r>
  </si>
  <si>
    <r>
      <t xml:space="preserve">2024/10/08 = EMPL-TRN-006903
- HL's certification team submitted the NCR to DNV for reviewing and commenting.
2024/11/01
 - DNV feedback the comments to HL in the same Aconex communication thread.
 - Jean forwarded the comments to CDWE.[ EMPL-GNC-019302 ]
2024/12/02
 -  CDWE responded to the comments and submitted them by Aconex.
</t>
    </r>
    <r>
      <rPr>
        <u/>
        <sz val="11"/>
        <rFont val="Calibri"/>
        <family val="2"/>
      </rPr>
      <t xml:space="preserve">2024/12/23
</t>
    </r>
    <r>
      <rPr>
        <sz val="11"/>
        <rFont val="Calibri"/>
        <family val="2"/>
      </rPr>
      <t xml:space="preserve">TNI sent the DNV comments back to CDWE.
2025/02/06
 - Daniel requested CDWE to update the NCR metadata accordingly.
2025/02/13
 - Daniel send the email to certification team_Alex to ask if the DNV comments are closed. Alex responed that no feedack from DNV.
</t>
    </r>
  </si>
  <si>
    <r>
      <rPr>
        <b/>
        <u/>
        <sz val="11"/>
        <color rgb="FFFF0000"/>
        <rFont val="Calibri"/>
        <family val="2"/>
      </rPr>
      <t>2025/010/9</t>
    </r>
    <r>
      <rPr>
        <b/>
        <sz val="11"/>
        <color rgb="FFFF0000"/>
        <rFont val="Calibri"/>
        <family val="2"/>
      </rPr>
      <t xml:space="preserve">
lack several supporting documents </t>
    </r>
  </si>
  <si>
    <r>
      <rPr>
        <b/>
        <u/>
        <sz val="11"/>
        <color rgb="FFFF0000"/>
        <rFont val="Calibri"/>
        <family val="2"/>
      </rPr>
      <t>2025/01/16</t>
    </r>
    <r>
      <rPr>
        <sz val="11"/>
        <color rgb="FFFF0000"/>
        <rFont val="Calibri"/>
        <family val="2"/>
      </rPr>
      <t xml:space="preserve">
The UPJ will be completed and tested in the end of this month.</t>
    </r>
  </si>
  <si>
    <r>
      <rPr>
        <u/>
        <sz val="11"/>
        <rFont val="Calibri"/>
        <family val="2"/>
      </rPr>
      <t xml:space="preserve">2025/01/16
</t>
    </r>
    <r>
      <rPr>
        <sz val="11"/>
        <rFont val="Calibri"/>
        <family val="2"/>
      </rPr>
      <t>No response from LS.
2025/02/05
 - The installation manual need to be revised.</t>
    </r>
  </si>
  <si>
    <r>
      <t>During the DAC voltage withstand test (1.7 x U</t>
    </r>
    <r>
      <rPr>
        <vertAlign val="subscript"/>
        <sz val="11"/>
        <color rgb="FF000000"/>
        <rFont val="Calibri"/>
        <family val="2"/>
      </rPr>
      <t>0</t>
    </r>
    <r>
      <rPr>
        <sz val="11"/>
        <color rgb="FF000000"/>
        <rFont val="Calibri"/>
        <family val="2"/>
      </rPr>
      <t xml:space="preserve">, 300kV) on the R-phase of the HL2A export cable, a critical failure occurred in the test equipment.
</t>
    </r>
  </si>
  <si>
    <t>Foundation Jacket Pile Gripper performance issue_HL-D04</t>
  </si>
  <si>
    <t xml:space="preserve">HL-JPG-IQIP-FAB-RPT-06021 (3.0) Manufacturing record book JPG Specific 021
HL-JPG-IQIP-TST-RPT-00004 (16.0) Hydraulic lines test report
HL-JPG-IQIP-TST-RPT-00003 (16.0) Commissioning test report
HL-JPG-IQIP-TST-RPT-00005 (16.0) Preparations prior to jacket load-out test report
HL-JPG-IQIP-ONM-MAN-00001 (7.0) JPG - Operating and maintenance manual
HL-TNI-CDWE-ENG-MST-00010 (5.0) Method Statement Jacket Transportation and Installation
HL-TNI-CDWE-QAC-RPT-00004 (3.0) as-built as-installed dossier - Jacket Installation (HL21-D04)
HL-TNI-CDWE-ENG-NCR-00022 (1.0) Grouting with Jacket pile gripper failure </t>
  </si>
  <si>
    <t xml:space="preserve">The Contractor has encountered inconsistent performance issues with the Jacket Pile Gripper Systems (“JPG”) on multiple Foundations.
This NCR report focus on location HL21-D04
Target pressure Gripper Jack Cylinders: 230 bars - 290 bars
Target pressure Anti-Tailing Cylinders: 70 bars - 120 bars
Location: HL21-D04
Date: 01/09/2024
Issue: HL21-D04 Leg C JPG (ROV panel ID 054) gripping system partially unfunctional from the pressure gauge reading
 Gripping function: required target pressure has been reached on anti-tailing cylinders circuit during pressurizing steps as per the operation procedure. Pressure has been built up on gripping jack cylinder but below target pressure.
◦ Gripper jack cylinders:
 Peak pressure reading: 55-60 bar
 Pressure built up during pressurizing from control panel but not up to the target. Pressure dropped to zero when pressurization was paused. Repeating waiting and pressurizing several times, the results were still the same.
Same result from hot stab operation.
◦ Anti-tailing cylinders:
 Peak pressure reading: 70-75 bar
 Pressure reached the target pressure during pressurizing from control panel and held for the minimal 40 seconds.
Pressure dropped to zero when pressurization was paused.
Repeating waiting and pressurizing several times, the results were still the same. Same result from hot stab operation.
 Leveling function was functional and worked as per procedure. </t>
  </si>
  <si>
    <t xml:space="preserve">
Offshore Installation </t>
  </si>
  <si>
    <t xml:space="preserve">Worksmanager Green Jade </t>
  </si>
  <si>
    <r>
      <t>HL21-D04, JGP-054</t>
    </r>
    <r>
      <rPr>
        <strike/>
        <sz val="11"/>
        <color rgb="FF000000"/>
        <rFont val="Calibri"/>
        <family val="2"/>
      </rPr>
      <t xml:space="preserve">, HL21-J05, HL2-J03, HL21-J04, HL21-H02 </t>
    </r>
  </si>
  <si>
    <t xml:space="preserve">Use As is </t>
  </si>
  <si>
    <t xml:space="preserve">Troubleshooting performed on site according to IQIP procedure. However, there is no troubleshooting log available to review if the correct actions were taken. </t>
  </si>
  <si>
    <t xml:space="preserve">Potential root causes and outcome of the investigation:
1. Investigated of manufacturing defects in cylinders, hydraulic lines, pressure gauges, pressure vales, check valves and/or couplings. No defects identified.
2. Investigated installation defects in ROV panel hose connections and hydraulic hose connections. No defects identified.
3. Determine whether the jackets experiencing JPG issues were among the first commissioned units to assess the impact of the learning curve. The jackets were commissioned by different batches over several months ranging from March to July 2024.
4. Investigated if the same commissioning/mounting team at the Jacket Fabricator yard handled the jackets experiencing JPG issues. A variety of team members have handled the jackets experiencing JPG issues.
5. Potential damage after commissioning testing.
6. Design of the JPG system suitable for these offshore operations.
7. Procedure for troubleshooting has been followed. However, no log of troubleshooting available.
Conclusion: Based on the above mentioned potential causes and their outcomes, the JPG system was working according to specifications up to commissioning testing. As no testing was performed at Anping, damages could have occurred between commissioning testing and offshore installation but were not identified and repaired.
As pressurizing via the hotstab also seemed to be ineffective, a leakage in the hydraulic hoses between termination panel and ROV panel cannot be the cause. Another indication is no full pressure build-up in the system, indicating a relatively big leakage in the gripper circuit itself. However, with no detailed information of the offshore troubleshooting available, it is not possible to further isolate a part of the system where the failure occurred. </t>
  </si>
  <si>
    <t xml:space="preserve">1. Visual inspections were carried out by IQIP technicians at Anping prior to load-out of the last HL2 jackets.
2. Testing to be performed from hotstab and external platform as advised in the JPG manual.
3. IQIP technicians to perform offshore JPG operations for all HL3 jackets.
4. Troubleshooting log to be prepared during offshore operation. </t>
  </si>
  <si>
    <t xml:space="preserve">1. During the inspections performed by IQIP technicians of the remaining 17 HL2 jackets at Anping, some fittings were re-tightened. It could indicate that a loose fitting could have caused leakage offshore.
2.Testing reports and summary of results
3.IQIP technician present and performing JPG operations
4. Contractor to keep troubleshooting log and make available in case of an issue </t>
  </si>
  <si>
    <t xml:space="preserve">HL-TNI-CDWE-ENG-NCR-00022 (1.0) Grouting with Jacket pile gripper failure.
Based on report HL-BOP-RAM-DES-RPT-00062 (2.0) Engineering Report - Gripper Failure Scenarios, and the environmental conditions experienced HL-TNI-EMPL-TNI-DSH-00001 (1.0) - Wave data_HL21-D04, there is no impact on the product integrity. </t>
  </si>
  <si>
    <r>
      <rPr>
        <strike/>
        <sz val="11"/>
        <color rgb="FF000000"/>
        <rFont val="Calibri"/>
        <family val="2"/>
      </rPr>
      <t>SW7-RNONC-000015</t>
    </r>
    <r>
      <rPr>
        <sz val="11"/>
        <color rgb="FF000000"/>
        <rFont val="Calibri"/>
        <family val="2"/>
      </rPr>
      <t xml:space="preserve">
SW7-NCR-000013</t>
    </r>
  </si>
  <si>
    <t>The scratch was caused by the edge of the hatch, floor opening or the cleat edge itself whilst the cable made contact against them during routing/cleating stage.</t>
  </si>
  <si>
    <t>Loose Rock</t>
  </si>
  <si>
    <t>健保</t>
  </si>
  <si>
    <t>公司註銷前置作業</t>
  </si>
  <si>
    <t>公司保險</t>
  </si>
  <si>
    <t>CDWE-NCR-000023</t>
  </si>
  <si>
    <t>HL-TNI-CDWE-ENG-NCR-00025 - Foundation JPG Performance Issue HL30-S03</t>
  </si>
  <si>
    <t>HL-30-S03</t>
  </si>
  <si>
    <t xml:space="preserve">Marcello Tenca </t>
  </si>
  <si>
    <t xml:space="preserve">HL30-S03 </t>
  </si>
  <si>
    <t xml:space="preserve">Vic Peeters </t>
  </si>
  <si>
    <t xml:space="preserve">As per HL-JPG-IQIP-ONM-MAN-00001 JPG – Operating and Maintenance Manual section 7.5.1 point 7: “Note: Pressure of AT cylinders is sometimes affected by behaviour of pressure reducing valve resulting in lower pressure.” </t>
  </si>
  <si>
    <t>CDWE-NCR-000024</t>
  </si>
  <si>
    <t>HL-TNI-CDWE-ENG-NCR-00026 - Inverted TP cover missing inner flap around hatch opening</t>
  </si>
  <si>
    <t xml:space="preserve">HL-TNI-CDWE-ENG-DWG-00216 </t>
  </si>
  <si>
    <t xml:space="preserve">CWP fabrication yard </t>
  </si>
  <si>
    <t xml:space="preserve">Inverted TP cover </t>
  </si>
  <si>
    <t xml:space="preserve">The Subcontractor has been contacted and the Subcontractor will implement Enhanced Quality Control Measures by:
• Dual-Person Verification: Effective immediately, each step in the production process will be verified by a second person to ensure accuracy and adherence to specifications.
• Additional Check by Next-in-Line Operator: The operator responsible for the subsequent step in the process will perform an additional verification to reinforce quality at each transition point.
• Final Pre-Shipment Inspection: A comprehensive inspection will be conducted prior to shipment. This final check can be carried out in coordination with the receiving party to ensure mutual agreement on product conformity. </t>
  </si>
  <si>
    <t>EMPL-RFNCR-000042-t
SW7-NCR-000011</t>
  </si>
  <si>
    <t>HL-TNI-CDWE-ENG-NCR-00016 - Foundation Jacket Pile Gripper performance issue - HL-J04</t>
  </si>
  <si>
    <t>HL-JPG-IQIP-FAB-RPT-06027 (5.0) Manufacturing record book JPG Specific 027
HL-JPG-IQIP-TST-RPT-00004 (16.0) Hydraulic lines test report
HL-JPG-IQIP-TST-RPT-00003 (16.0) Commissioning test report
HL-JPG-IQIP-TST-RPT-00005 (16.0) Preparations prior to jacket load-out test report
HL-JPG-IQIP-ONM-MAN-00001 (7.0) JPG - Operating and maintenance manual
HL-TNI-CDWE-ENG-MST-00010 (5.0) Method Statement Jacket Transportation and Installation
HL-TNI-CDWE-QAC-RPT-00014 (3.0) as-built as-installed dossier - Jacket Installation (HL21-J04)</t>
  </si>
  <si>
    <t>The Contractor has encountered inconsistent performance issues with the Jacket Pile Gripper Systems (“JPGs”) on multiple Foundations. This report will focus on location HL21-J04. 
Target pressure Gripper Jack Cylinders: 230 bars - 290 bars
Target pressure Anti-Tailing Cylinders: 70 bars - 120 bars
Location: HL21-J04
Date: 09/09/2024
Issue: HL21-J04 Leg A JPG (ROV panel ID 051) gripping system partially unfunctional from the pressure gauge reading 
 Gripping function: The control panel was initially able to build up pressure thus the gripping jack cylinders and anti-tailing cylinders might reach the target pressure but not maintained. From ROV panel reading, pressure has been built up on gripping jack cylinder and anti-tailing cylinders circuit during pressurizing steps as per the operation procedure but below target pressure.
◦ Gripper jack cylinders:
 Peak pressure reading ROV pannel: 55 bar
 Pressure built up during pressurizing from control panel but not up to the target. Pressure dropped to zero when pressurization was paused. Repeating waiting and pressurizing several times, the results were still the same. Pressure was not built on the ROV panel from hot stab operation.
◦ Anti-tailing cylinders: 
 Peak pressure reading ROV pannel: 60 bar
 Pressure built up during pressurizing from control panel but not up to the target. Pressure dropped to zero when pressurization was paused. Repeating waiting and pressurizing several times, the results were still the same. Pressure was not built on the ROV panel from hot stab operation.
◦ Some bubbles were observed from the receptacle during hot stab operation. The hot stab was checked and found intact
 Levelling function was functional and worked as per procedure</t>
  </si>
  <si>
    <t>Offshore Installation</t>
  </si>
  <si>
    <t>Worksmanager Green Jade</t>
  </si>
  <si>
    <t>HL21-J04, JPG-051</t>
  </si>
  <si>
    <t>Troubleshooting performed on site according to IQIP procedure. However, there is no troubleshooting log available to review if the correct actions were taken..</t>
  </si>
  <si>
    <t>Potential root causes and outcome of the investigation:
1. Investigated of manufacturing defects in cylinders, hydraulic lines, pressure gauges, pressure vales, check valves and/or couplings. No defects identified.
2. Investigated installation defects in ROV panel hose connections and hydraulic hose connections. No defects identified.
3. Determine whether the jackets experiencing JPG issues were among the first commissioned units to assess the impact of the learning curve. The jackets were commissioned by different batches over several months ranging from March to July 2024.
4. Investigated if the same commissioning/mounting team at the Jacket Fabricator yard handled the jackets experiencing JPG issues. A variety of team members have handled the jackets experiencing JPG issues.
5. Potential damage after commissioning testing.
6.No IQIP technician on board of Green Jade during offshore operations.
7. Design of the JPG system suitable for these offshore operations.
8. Procedure for troubleshooting has been followed. However, no log of troubleshooting available.
Conclusion: Based on the above mentioned potential causes and their outcomes, the JPG system was working according to specifications up to commissioning testing. As no testing was performed at Anping, damages could have occurred between commissioning testing and offshore installation but were not identified and repaired.
As pressurizing via the hotstab also seemed to be ineffecitive, a leakage in the hydraulic hoses between termination panel and ROV panel cannot be the cause. Another indication is no full pressure build-up in the system, indicating a relatively big leakage in the gripper circuit itself. Bubbles were observed from the receptable on the ROV panel during hotstab operations, but it is not clear if this was at the receptable/hotstab interface or behind the panel. With no detailed information of the offshore troubleshooting available nor that the full hydraulic system is visible for inspection via ROV, it is not possible to further isolate a part of the system where the failure occurred.</t>
  </si>
  <si>
    <t>1. Visual inspections were carried out by IQIP technicians at Anping prior to load-out of the last HL2 jackets.
2. Testing to be performed from hotstab and external platform as advised in the JPG manual.
3. IQIP technicians to perform offshore JPG operations for all HL3 jackets.
4. Troubleshooting log to be prepared during offshore operation.</t>
  </si>
  <si>
    <t>1. During the inspections performed by IQIP technicians of the remaining 17 HL2 jackets at Anping, some fittings were re-tightened. It could indicate that a loose fitting could have caused leakage offshore.
2.Testing reports and summary of results
3.IQIP technician present and performing JPG operations
4. Contractor to keep troubleshooting log and make available in case of an issue</t>
  </si>
  <si>
    <t>HL-TNI-CDWE-ENG-NCR-00022 (1.0) Grouting with Jacket pile gripper failure
Based on report HL-BOP-RAM-DES-RPT-00062 (2.0) Engineering Report - Gripper Failure Scenarios, and the environmental conditions experienced in HL-TNI-EMPL-TNI-DSH-00002 (1.0) Wave data HL21-J04, there is no impact on the product integrity.</t>
  </si>
  <si>
    <t>HL-JPG-IQIP-FAB-RPT-06012 (5.0) Manufacturing record book JPG Specific 012
HL-JPG-IQIP-TST-RPT-00004 (16.0) Hydraulic lines test report
HL-JPG-IQIP-TST-RPT-00003 (16.0) Commissioning test report
HL-JPG-IQIP-TST-RPT-00005 (16.0) Preparations prior to jacket load-out test report
HL-JPG-IQIP-ONM-MAN-00001 (7.0) JPG - Operating and maintenance manual
HL-TNI-CDWE-ENG-MST-00010 (5.0) Method Statement Jacket Transportation and Installation
HL-TNI-CDWE-QAC-RPT-00013 (4.0) as-built as-installed dossier - Jacket Installation (HL21-J03)
HL-TNI-CDWE-ENG-NCR-00022 (1.0) Grouting with Jacket pile gripper failure</t>
  </si>
  <si>
    <t>The Contractor has encountered inconsistent performance issues with the Jacket Pile Gripper Systems (“JPGs”) on multiple Foundations. The following NCR report will focus on location HL21-J03
Target pressure Gripper Jack Cylinders: 230 bars - 290 bars
Target pressure Anti-Tailing Cylinders: 70 bars - 120 bars
1. Location: HL21-J03
Date: 09/09/2024
Issue: HL21-J03 Leg B JPG (ROV panel ID 020) gripping system partially unfunctional from the pressure gauge reading 
 Gripping function: Required target pressure has been reached on control panel during pressurizing steps as per the operation procedure multiple times. GJ ROV was not available to access the ROV panel. The pressure on control panel was maintained but dropped after releasing pressure in a few minutes. 
Re-pressurize pile gripper, the pressure reached the required target pressure and held. The pressure reading was maintained in a few minutes and went down then to zero again after the pressure was released. Repeated the waiting and pressurizing several times and the result is the same. Each cylinder of a JPG is equipped with a non-return valve to maintain hydraulic pressure individually. The JPGs are designed so that once the cylinders are pressurized, the non-return valve prevents depressurization of the gripper/ATC in case of a system leak before the cylinders. Given the known gripper cylinder and ATC pressurization, the presence of non-return valves and the information from the operators’ installation reports, there is no reason to believe the JPGs did not function as intended. 
The pressure reading between control panel and ROV panel was found inconsistent by Boka ROV as gripper jack cylinders circuit was still under pressure despite control panel showing no pressure.
◦ Gripper jack cylinders:
 GJ ROV was not available 
 Peak pressure reading: 190bar
 Prior to the hot stab operation, the ROV panel reading was 190 bar. The pressure was unchanged during the pressurizing. Repeated waiting and pressurizing several times and still the same.
◦ Anti-tailing cylinders: 
 GJ ROV was not available
 Peak pressure reading: 60bar
 Pressure built up during pressurizing from hot stab but not up to the target. Pressure dropped to zero when pressurization was paused. After repeating waiting and pressurizing several times, the results were still the same.
 Levelling function was functional and worked as per procedure</t>
  </si>
  <si>
    <t>HL21-J03,JPG-020</t>
  </si>
  <si>
    <t>Troubleshooting performed on site according to IQIP procedure. However, there is no troubleshooting log available to review if the correct actions were taken.</t>
  </si>
  <si>
    <t>Potential root causes and outcome of the investigation:
1. Investigated of manufacturing defects in cylinders, hydraulic lines, pressure gauges, pressure vales, check valves and/or couplings. No defects identified.
2. Investigated installation defects in ROV panel hose connections and hydraulic hose connections. No defects identified.
3. Determine whether the jackets experiencing JPG issues were among the first commissioned units to assess the impact of the learning curve. The jackets were commissioned by different batches over several months ranging from March to July 2024.
4. Investigated if the same commissioning/mounting team at the Jacket Fabricator yard handled the jackets experiencing JPG issues. A variety of team members have handled the jackets experiencing JPG issues.
5. Potential damage after commissioning testing.
6.No IQIP technician on board of Green Jade during offshore operations. 
7. Design of the JPG system suitable for these offshore operations.
8. Procedure for troubleshooting has been followed. However, no log of troubleshooting available.
Conclusion: Based on the above mentioned potential causes and their outcomes, the JPG system was working according to specifications up to commissioning testing. As no testing was performed at Anping, damages could have occurred between commissioning testing and offshore installation but were not identified and repaired.
As pressurizing via the hotstab also seemed to be ineffective, a leakage in the hydraulic hoses between termination panel and ROV panel cannot be the cause. The pressure in the gripper system seemed to remain constant at 190 bar from ROV panel readings, while the pressure of the ATC cylinders dropped. As there was full pressure build-up in the system, a relatively small leakage could be present in the ATC part of the gripper circuit itself. With no detailed information of the offshore troubleshooting available nor that the full hydraulic system is visible for inspection via ROV, it is not possible to further isolate a part of the system where the failure occurred.</t>
  </si>
  <si>
    <t>HL-TNI-CDWE-ENG-NCR-00022 (1.0) Grouting with Jacket pile gripper failure
Based on the report HL-BOP-RAM-DES-RPT-00062 (2.0) Engineering Report - Gripper Failure Scenarios, and the environmental conditions experienced in HL-TNI-EMPL-TNI-DSH-00003 (1.0) Wave data_HL21-J03, there is no impact on the product integrity.</t>
  </si>
  <si>
    <t>TP Cover Ventilators</t>
  </si>
  <si>
    <t>HL-TNI-CDWE-ENG-NCR-00023 - TP Cover Ventilator</t>
  </si>
  <si>
    <t>The damaged ventilators will be replaced by new ventilators as per procedure included in annex of this NCR including using longer bolts and applying more adhesive as per method statement in annex 2 of this NCR.
Additional optimizations will be implemented on the TP Covers while revisiting the locations:
1) Adding additional sika flex around and near the grooves of the red connection plates to the flange (Figure 3) until these grooves are level with the TP cover. For clarity this will be done offshore during installation of the hard TP cover. 
2) Dummy proof door locking mechanism will be installed to avoid wrongly securing. Details of this are provided in HL-TNI-CDWE-ENG-MAN-00003 Installation manual hard TP cover rev 5.0</t>
  </si>
  <si>
    <t>On 6th of December 2024 the TP cover subcontractor was on site and performed the repair and enhancement on the TP cover ventilators that are stored onshore. The pictures in Annex 3 shows that the enhancement has been successfully performed for the ventilators onshore.</t>
  </si>
  <si>
    <t>The Subcontractor was informed of INC_2024_02179 and informed about optimisation of both the hatches (outside the scope of this NCR) and the connection of the ventilators. 
The Subcontractor identified that the original screws used to connect the ventilator were not long enough to secure the ventilator units effectively, leading to weak attachment points.
Additionally, a lack of adhesive was identified which allowed for increased movement and reduced stability.</t>
  </si>
  <si>
    <t>The damaged ventilators will be replaced by new ventilators as per procedure included in annex of this NCR including using longer bolts and applying more adhesive as per method statement in annex 2 of this NCR.
Additional optimizations will be implemented on the TP Covers while revisiting the locations:
1) Adding additional sika flex around and near the grooves of the red connection plates to the flange (Figure 3) until these grooves are level with the TP cover. For clarity this will be done offshore during installation of the hard TP cover. 
2) Dummy proof door locking mechanism will be installed to avoid wrongly securing. Details of this are provided in HL-TNI-CDWE-ENG-MAN-00003 Installation manual Hard TP cover rev 5.0.
3) At the end of the 2025 jacket installation campaign, a CTV will be used to perform the depressurization of the jacket pile grippers. While nearing the end of the depressurizations of the jackets, the CTV will sail through the Hai Long 3 field and via binoculars (or similar) from the CTV itself a visual check will be performed that all top hatches are still in place on the hard TP covers and that all hatches are closed.</t>
  </si>
  <si>
    <t>Annex 3 - Repair Report in the NCR report shows the verification of the performed corrective actions,</t>
  </si>
  <si>
    <t>Repairs on the TP covers successfully performed.</t>
  </si>
  <si>
    <t>HL-TNI-CDWE-ENG-NCR-00018 - Foundation Jacket Pile Gripper performance issue - HL-J05</t>
  </si>
  <si>
    <t>HL-JPG-IQIP-FAB-RPT-06031 (3.0) Manufacturing record book JPG Specific 031
HL-JPG-IQIP-TST-RPT-00004 (16.0) Hydraulic lines test report
HL-JPG-IQIP-TST-RPT-00003 (16.0) Commissioning test report
HL-JPG-IQIP-TST-RPT-00005 (16.0) Preparations prior to jacket load-out test report
HL-JPG-IQIP-ONM-MAN-00001 (7.0) JPG - Operating and maintenance manual
HL-TNI-CDWE-ENG-MST-00010 (5.0) Method Statement Jacket Transportation and Installation
HL-TNI-CDWE-QAC-RPT-00015 (3.0) as-built as-installed dossier - Jacket Installation (HL21-J05)
HL-TNI-CDWE-ENG-NCR-00022 (1.0) Grouting with Jacket pile gripper failure</t>
  </si>
  <si>
    <t>The Contractor has encountered inconsistent performance issues with the Jacket Pile Gripper Systems (“JPGs”) on multiple Foundations. This NCR report will focus on location HL21-J05
Target pressure Gripper Jack Cylinders: 230 bars - 290 bars
Target pressure Anti-Tailing Cylinders: 70 bars - 120 bars
Location: HL21-J05
Date: 08/09/2024
Issue: HL21-J05 Leg B JPG (ROV panel ID 060) gripping system partially unfunctional from the pressure gauge reading 
 Gripping function: Required target pressure has been reached on gripping jack cylinder and anti-tailing cylinders circuit during pressurizing steps as per the operation procedure. Each cylinder of a JPG is equipped with a non-return valve to maintain hydraulic pressure individually. The JPGs are designed so that once the cylinders are pressurized, the non-return valve prevents depressurization of the gripper/ATC in case of a system leak before the cylinders. Given the known gripper cylinder and ATC pressurization, the presence of non-return valves and the information from the operators’ installation reports, there is no reason to believe the JPGs did not function as intended. 
◦ Gripper jack cylinders:
 Peak pressure reading: 270 bar
 Pressure reached the target pressure during pressurizing from Control Pannel and held for the minimal 40 seconds. Pressure was maintained at the target pressure over 20 minutes waiting time. Then pressure dropped to zero. Pressurized again. Pressure built up during re-pressurizing from control panel but not up to the target. Pressure dropped to zero when pressurization was paused. Repeated waiting and pressurizing several times and the result remained the same.
◦ Anti-tailing cylinders: 
 Peak pressure reading: 110 bar
 Pressure reached the target pressure during pressurizing from Control Pannel and held for the minimal 40 seconds. Pressure was maintained at the target pressure over 20 minutes waiting time. Then pressure dropped to zero. Pressurized again. Pressure reached the target pressure during re-pressurizing from control panel. Pressure dropped to zero when pressurization was paused. Repeated waiting and pressurizing several times and the result remained the same.
 Levelling function was functional and worked as per procedure</t>
  </si>
  <si>
    <t>HL21-J05, JPG-060</t>
  </si>
  <si>
    <t xml:space="preserve">	Potential root causes and outcome of the investigation:
1. Investigated of manufacturing defects in cylinders, hydraulic lines, pressure gauges, pressure vales, check valves and/or couplings. No defects identified.
2. Investigated installation defects in ROV panel hose connections and hydraulic hose connections. No defects identified.
3. Determine whether the jackets experiencing JPG issues were among the first commissioned units to assess the impact of the learning curve. The jackets were commissioned by different batches over several months ranging from March to July 2024.
4. Investigated if the same commissioning/mounting team at the Jacket Fabricator yard handled the jackets experiencing JPG issues. A variety of team members have handled the jackets experiencing JPG issues.
5. Potential damage after commissioning testing.
6.No IQIP technician on board of Green Jade during offshore operations.
7. Design of the JPG system suitable for these offshore operations.
8. Procedure for troubleshooting has been followed. However, no log of troubleshooting available.
Conclusion: Based on the above mentioned potential causes and their outcomes, the JPG system was working according to specifications up to commissioning testing. As no testing was performed at Anping, damages could have occurred between commissioning testing and offshore installation but were not identified and repaired.
As pressurizing via the hotstab also seemed to give similar results, a leakage in the hydraulic hoses between termination panel and ROV panel cannot be the cause. As there was full pressure build-up in the system, a relatively small leakage could be present in the gripper circuit itself. With no detailed information of the offshore troubleshooting available nor that the full hydraulic system is visible for inspection via ROV, it is not possible to further isolate a part of the system where the failure occurred.</t>
  </si>
  <si>
    <t>HL-TNI-CDWE-ENG-NCR-00022 (1.0) Grouting with Jacket pile gripper failure
Based on report HL-BOP-RAM-DES-RPT-00062 (2.0) Engineering Report - Gripper Failure Scenarios, and the environmental conditions experienced in HL-TNI-EMPL-TNI-DSH-00004 (1.0) Wave data_HL21-J05, there is no impact on the product integrity.</t>
  </si>
  <si>
    <t>HL-JPG-IQIP-FAB-RPT-06096 (5.0) Manufacturing record book JPG Specific 096
HL-JPG-IQIP-TST-RPT-00004 (16.0) Hydraulic lines test report
HL-JPG-IQIP-TST-RPT-00003 (16.0) Commissioning test report
HL-JPG-IQIP-TST-RPT-00005 (16.0) Preparations prior to jacket load-out test report
HL-JPG-IQIP-ONM-MAN-00001 (7.0) JPG - Operating and maintenance manual
HL-TNI-CDWE-ENG-MST-00010 (5.0) Method Statement Jacket Transportation and Installation
HL-TNI-CDWE-QAC-RPT-00028 (3.0) as-built as-installed dossier - Jacket Installation (HL22-E03)
ED00004404_C EAC (ALS Case) Hs-3m</t>
  </si>
  <si>
    <t>Gripping operations were successfully completed on HL22-E03 around 15:19. All pressures on the JPG HPU panel showed acceptable values and no sign of leakages or pressure drop during the operations was noticed. During the gripping operations, ROV was in the water for inspection of the levelling stroke indicators on the jacket legs. After inspection of the stroke indicators at leg B and leg C, ROV tried to make its way to leg A. However, due to strong current and limited visibility, ROV was unable to verify level stroke indicator on leg A. Also approach of the ROV panels to verify pressures on gripping and ATC cylinders on all legs could not be performed. Therefor they were asked to standby waiting for improving conditions while the gripping operations were completed.
Once conditions allowed (around 16:30), the ROV resumed the inspection on all legs to verify successful gripping. During this inspection, it was noticed at 16:55 that the pressure gauges showed no pressure in the gripper and ATC circuit on leg C.
It was then decided to lift the HPU back to the external platform and check if pressure could again be built up. While repressurizing leg C with ROV positioned at leg C, a leak at one of the cylinders was noted.
Also on the JPG HPU panel, the leakage prevented to build up pressure in the circuit.</t>
  </si>
  <si>
    <t>HL22-E03, JPG-105</t>
  </si>
  <si>
    <t>When it was concluded that pressure was kept in the cylinders and re-pressurization of leg C turned out to be ineffective, the Contractor implemented the following actions, given the fact that:
1. On leg A and B the gripping was 100% successful
2. On leg C 9 out of 10 gripping cylinders were successfully pressurized and all
3 ATC cylinders were successfully pressurized
3. The favourable environmental conditions during grouting and during the
expected EAC period (EAC: 07/10 01:00- 08/10 01:00, Hs forecasted &lt; 2.5 m)
the affected jacket was grouted after consultation with the Employer. This approach adhered to best practices in offshore wind operations, aiming to promptly achieve an As Low As Reasonably Practicable (ALARP) level of safety for the asset.</t>
  </si>
  <si>
    <t>Damage to the cylinder occurred in between end of gripping (15:19) and observation of zero pressure by ROV (16:55). Due to the timeline, the cause of the leakage is most likely a clash of ROV equipment with this cylinder which was caused by the challenging conditions for ROV operations:
- Poor visibility (due to recent typhoon event)
- High current
- Unfriendly JPG design with protrusions close to the ROV panel.</t>
  </si>
  <si>
    <t>Corrective action:
Meeting has been held with the ROV subcontractor on board Green Jade and they have been made aware again of the potential risks in clashing with any of the sensitive gripping equipment.
Considering this and agreement received from EMPL in EMPL-GNC-018610,
Contractor will not request ROV Subcontractor to perform these checks in case of challenging conditions (e.g., visibility, current ...).
Instead, inspection will be postponed to when current conditions are more
favorable. This can be either with Green Jade ROV or Boka Atlantic/ MMA Pinnacle at the discretion of the Works Manager.
IQIP investigated the impact of one gripper cylinder not activated - Reference to ED00004404_C EAC (ALS Case) Hs-3m.</t>
  </si>
  <si>
    <t>Reference to/attachment CDWE-NCR-000022. 
Based on reaching the target pressure and the presence of non-return valves on all individual cylinders, the assumption can be made pressure built up to target pressure in the cylinders and was maintained. Leakage seemed to have occurred in only 1 cylinder. With 9 cylinders working, IQIP investigated the impact and the product integrity for grouting is maintained/not compromised under the forecasted environmental conditions in HL-TNI-EMPL-TNI-DSH-00005.</t>
  </si>
  <si>
    <t xml:space="preserve">During operations at D05, the Pull-in Team applied an incorrect process to remove a filler protecting the fibre-optic cable (FO DC1).
1.The fillers should only be cut after removal of the FO cables with a kevlar string.
2.The fillers containing the fibers were incorrectly identified.
3.Incorrect tool was used to cut the fillers.
The team used a saw to cut through the filler. This method is not allowed, as it poses a significant risk of damaging the fibre-optic cables. The filler should only be cut by Kevlar string when the fiber cables are fully removed from the fillers.
***3.1m fiber is available measured from the top of temporary hang-off body. 
</t>
  </si>
  <si>
    <t xml:space="preserve">D05-FO DC1 </t>
  </si>
  <si>
    <t xml:space="preserve">Following the approved procedure to repair it </t>
  </si>
  <si>
    <t xml:space="preserve">Brett Collins </t>
  </si>
  <si>
    <t xml:space="preserve">To address the damage on the DC1 fibre optic cable at Foundation D05, an inline fibre optic splice enclosure (FOC-SS) was installed to restore cable continuity. Approximately 8 meters of spare fibre, cut from waste IAC cable, was used to bridge the damaged section. All splicing, sealing, grounding, and enclosure mounting works were executed in full accordance with MOC TW0001-OCO-MOC-0009 and the associated task plan. The entire process was documented with photographs and formally verified. </t>
  </si>
  <si>
    <t xml:space="preserve">The corrective action involving the installation of the inline fibre optic splice enclosure at Foundation D05 has been completed in accordance with the approved procedure and MOC (TW0001-OCO-MOC-0009). All activities, including splicing, sealing, mechanical fixation, and grounding, were performed as per the task plan and verified with photographic evidence. No deviations from the planned corrective action were observed, and the repaired system is now fully operational. </t>
  </si>
  <si>
    <t xml:space="preserve">Peter Walker </t>
  </si>
  <si>
    <t xml:space="preserve">Following the corrective action carried out at Foundation D05, the integrity of the fibre optic communication system has been fully restored. The inline splice enclosure was installed and terminated in compliance with the approved procedure and manufacturer specifications. Functional and structural integrity has been confirmed through visual inspection, traceable documentation. The final configuration ensures secure splicing, proper environmental sealing, mechanical stability, and grounding continuity. The system is now considered fully operational and fit for service. </t>
  </si>
  <si>
    <t xml:space="preserve">HL-EXC-LSC-DES-PRC-00002 (11.0) SAT Procedure - Export Cable System
HL-EXC-LSC-TST-ASB-00001 (2.0) SAT Report - Export Cable System section 2A </t>
  </si>
  <si>
    <t xml:space="preserve">Following the root cause analysis, an appropriate SAT method will be selected, and a corresponding plan will be established accordingly. </t>
  </si>
  <si>
    <t xml:space="preserve">The root cause has been clearly identified as mechanical damage introduced during transportation, storage, or handling of the top coil unit. This resulted in internal arcing and rupture during testing. This conclusion is based on the manufacturer’s root cause analysis </t>
  </si>
  <si>
    <t>\</t>
  </si>
  <si>
    <t xml:space="preserve">The product integrity of the HL2A export cable has been verified through the modified SAT procedure, which included a Soak Test and PD measurement, as documented in the previously submitted HL2A SAT report.
These tests confirmed that the cable system was not affected by the failure of the DAC test equipment. </t>
  </si>
  <si>
    <t xml:space="preserve">Equipment Supplier level:
-. Redesign of the coil base to improve mechanical stability against external shocks.
-. Production of two additional coils to distribute electrical and mechanical stress during field testing.
-. Improved transportation protection, including a review of foam padding effectiveness and clearer warning labels on flight cases.
-. Addition of vent holes to the top and bottom electrodes to prevent internal pressure buildup in case of arcing.
Contractor level:
- HL2A export cable has been verified through the revised SAT procedure (HL-EXC-LSC-DES-PRC-00002), which included a Soak Test and PD measurement, as documented in the previously submitted HL2A SAT report(HL-EXC-LSC-TST-ASB-00001). </t>
  </si>
  <si>
    <t xml:space="preserve">The corrective actions proposed by the equipment manufacturer, including coil base redesign and addition of vent holes, will be verified through factory acceptance testing (FAT) and internal mechanical stress tests at Seitz Instruments AG.
LS Cable will monitor the implementation of these improvements and confirm field readiness of the upgraded DAC system prior to recommencing SAT.
All updated handling and transport protocols will also be validated through on-site inspection and feedback collection from field teams. </t>
  </si>
  <si>
    <t>waiting for the response from Danie M</t>
  </si>
  <si>
    <t xml:space="preserve">Cable integraty verified by Sock test &amp; PD measurement </t>
  </si>
  <si>
    <t xml:space="preserve">The effectiveness of the corrective actions were verified during the re-execution of the SAT, using the selected method(Sock test + PD measurement). All test steps and results will be documented and reviewed with the Client to confirm that the non-conformity has been fully resolved. Verification will include on-site confirmation of preventive measures and procedural updates.
The 'Use As Is' condition acceptance acts as a concession to allow the DAC test to be omitted for HL2A-EXC only. </t>
  </si>
  <si>
    <t>Doc</t>
  </si>
  <si>
    <t>合約未明確要求 As-built 圖面提送的時間與交付節點</t>
  </si>
  <si>
    <t>廠商於施工結束後才補送 As-built，缺乏過程控制與及時更新</t>
  </si>
  <si>
    <t>造成後續驗收、界面確認、維護設計延誤，或已完工項目與最終文件不符，影響交付與系統整合</t>
  </si>
  <si>
    <t>1. 更新合約模板，明確規範 As-built 圖面需於關鍵階段或特定工程完成後 X 日內送交審查
2. 設計圖與現況偏差者須即時回報與滾動更新
3. 將 As-built 圖面提送進度納入月報與 KPI 評估</t>
  </si>
  <si>
    <t>1. As-built 提交時間超過施工結束 X 日
2. 圖面與實際現況不符經現場查核確認
3. 因缺圖或錯圖導致後續作業無法進行的事件記錄</t>
  </si>
  <si>
    <t>ZB-25-00634 -1 &amp;
ZB-25-00636 -1 &amp;
TB-25-02158-1</t>
  </si>
  <si>
    <t>ZB-25-00564 -1 &amp;
ZB-25-00566 -1 &amp;
TB-25-02157-1</t>
  </si>
  <si>
    <t>HL-DEV-EMPL-QAC-RPT-00002</t>
  </si>
  <si>
    <t>Aconex</t>
  </si>
  <si>
    <t>HL-DEV-EMPL-QAC-RPT-00004</t>
  </si>
  <si>
    <t>HL-DEV-EMPL-QAC-RPT-00005</t>
  </si>
  <si>
    <t>1st_Independent Sampling_S7_Rockbag</t>
  </si>
  <si>
    <t>1st_Independent Sampling_Yunnen_Rockbag</t>
  </si>
  <si>
    <t>1st_Independent Sampling_HUNG-HUA_Loose Rock</t>
  </si>
  <si>
    <t>ZB-25-01228 &amp;
TB-25-04113</t>
  </si>
  <si>
    <t>2nd_Independent Sampling_HUNG-HUA_Loose Rock</t>
  </si>
  <si>
    <t>Lastest Date</t>
  </si>
  <si>
    <t>Today</t>
  </si>
  <si>
    <t>=</t>
  </si>
  <si>
    <t>工作日</t>
  </si>
  <si>
    <t>EMPL-RFNCR-000106</t>
  </si>
  <si>
    <t>NCR regarding the cable installation for C01-C02</t>
  </si>
  <si>
    <t>SW7-GNC-002210</t>
  </si>
  <si>
    <t>C01-C02</t>
  </si>
  <si>
    <t xml:space="preserve">• Cable off RPL from KP1.804-KP2.092 with a max DCC of 15.87m
• It should be noted that this will also require additional CFE as the cable has been laid outside of the prepared route, extra CFE will now be required
o Original CFE extents, KP2.009-KP2.132
o New CFE extents. KP1.907-KP2.132 
</t>
  </si>
  <si>
    <t>EMPL-GNC-016848
EMPL-RDTI-000560</t>
  </si>
  <si>
    <t>HL-DEV-EMPL-QAC-RPT-00006</t>
  </si>
  <si>
    <t>SW7-NCR-000015</t>
  </si>
  <si>
    <t>TW0001 Wrong Insertion of FO cable to FO Box at WTG</t>
  </si>
  <si>
    <t>TW0001-ENG-00037
HL-CTI-SW7-ENG-PRC-00025</t>
  </si>
  <si>
    <t>Reviewing of FO termination as built documents for D strings</t>
  </si>
  <si>
    <t>Brian Shotliff</t>
  </si>
  <si>
    <t xml:space="preserve">During the D-String HV cable termination on the OSS, the lever hoist(used to maintain cable tension and insertion position) was removed by the contractor (Seaway7) prior to the installation of the final cleats. This action was not in accordance with the approved termination procedure (HL-CTI-SW7-ENG-PRC-00024 Rev 5 – Cable Power Core Procedure – Task Plan 1 – Subtask 2.137) and was carried out without confirmation from the Employer (Hai Long).
Furthermore, no visual control markings were applied to detect potential cable slippage post-hoist removal. This omission creates uncertainty regarding the integrity of the connector plug-in depth and raises the risk of incomplete termination, which could lead to cable damage during DAC testing or energization.
MOC TW0001-OCO-MOC-0004 covers structural changes near the Connex box and adds a cleat for spacing compliance, but it does not permit early removal of the lever hoist or allow for retro-fitting for the final cleat post termination. It cannot justify deviation from Step 2.137 of the termination procedure.
Potential Asset Impact,
- Loss of confidence in the plug-in integrity of the power core.
- Risk of insulation displacement or incomplete electrical contact.
- Potential need for re-termination, re-inspection, or remedial measures.
</t>
  </si>
  <si>
    <t xml:space="preserve">HL-JPG-IQIP-FAB-RPT-06036 (5.0) Manufacturing record book JPG Specific 036
HL-JPG-IQIP-TST-RPT-00004 (16.0) Hydraulic lines test report
HL-JPG-IQIP-TST-RPT-00003 (16.0) Commissioning test report
HL-JPG-IQIP-TST-RPT-00005 (16.0) Preparations prior to jacket load-out test report
HL-JPG-IQIP-ONM-MAN-00001 (7.0) JPG - Operating and maintenance manual
HL-TNI-CDWE-ENG-MST-00010 (5.0) Method Statement Jacket Transportation and Installation
HL-TNI-CDWE-QAC-RPT-00017 (3.0) as-built as-installed dossier - Jacket Installation (HL21-H02)
HL-TNI-CDWE-ENG-NCR-00022 (1.0) Grouting with Jacket pile gripper failure </t>
  </si>
  <si>
    <t xml:space="preserve">The Contractor has encountered inconsistent performance issues with the Jacket Pile Gripper Systems (“JPGs”) on multiple Foundations.
The following NCR will focus on location HL21-H02.
Target pressure Gripper Jack Cylinders: 230 bars - 290 bars
Target pressure Anti-Tailing Cylinders: 70 bars - 120 bars
Location: HL21-H02
Date: 12/09/2024
Issue: HL21-H02 Leg C JPG (ROV panel ID 018) gripping system partially unfunctional from the pressure gauge reading.
 Gripping function: Required target pressure has been reached on gripping jack cylinder and anti-tailing cylinders circuit during pressurizing steps as per the operation procedure. A small leak behind ROV panel was found at the operation end. Each cylinder of a JPG is equipped with a non-return valve to maintain hydraulic pressure individually. The JPGs are designed so that once the cylinders are pressurized, the non-return valve prevents depressurization of the gripper/ATC in case of a system leak before the cylinders. Given the known gripper cylinder and ATC pressurization, the presence of non-return valves and the information from the operators’ installation reports, there is no reason to believe the JPGs did not function as intended.
◦ Gripper jack cylinders:
 Peak pressure reading: 250 bar
 Pressure reached the target pressure during pressurizing from control panel and held for the minimal 40 seconds. Pressure was maintained at the target pressure than slowly dropped to about 200 bar in 15 minutes. Re-pressurizing from control panel, pressure reached the target pressure during pressurizing and held for the minimal 40 seconds. Pressure was maintained at the target pressure than slowly dropped again. Repeated waiting and pressurizing several times and still the same. Same result from hot stab operation.
◦ Anti-tailing cylinders:
 Peak pressure reading: 110 bar
 Pressure reached the target pressure during pressurizing from Control Pannel and held for the minimal 40 seconds. Pressure was maintained at the target pressure during whole operation. However dropped to zero over a day. Same result from hot stab operation.
 Leveling function was functional and worked as per procedure </t>
  </si>
  <si>
    <t xml:space="preserve">Jacket HL21-H02, JPG-018 </t>
  </si>
  <si>
    <t xml:space="preserve">Potential root causes and outcome of the investigation:
1. Investigated of manufacturing defects in cylinders, hydraulic lines, pressure gauges, pressure vales, check valves and/or couplings. No defects identified.
2. Investigated installation defects in ROV panel hose connections and hydraulic hose connections. No defects identified.
3. Determine whether the jackets experiencing JPG issues were among the first commissioned units to assess the impact of the learning curve. The jackets were commissioned by different batches over several months ranging from March to July 2024.
4. Investigated if the same commissioning/mounting team at the Jacket Fabricator yard handled the jackets experiencing JPG issues. A variety of team members have handled the jackets experiencing JPG issues.
5. Potential damage after commissioning testing.
6. No IQIP technician on board of Green Jade during offshore operations.
7. Design of the JPG system suitable for these offshore operations.
8. Procedure for troubleshooting has been followed. However, no log of troubleshooting available.
Conclusion: Based on the above mentioned potential causes and their outcomes, the JPG system was working according to specifications up to commissioning testing. As no testing was performed at Anping, damages could have occured between commissoining testing and offshore installation but were not identified and repaired.
As pressurizing via the hotstab also seemed to give similar results, a leakage in the hydraulic hoses between termination panel and ROV panel cannot be the cause. As there was full pressure build-up in the system, a relatively small leakage was present in the gripper ciruit itself. A leakage behind the ROV panel was found after operations from the Green Jade. However, with no detailed information of the offshore troubleshooting available, it is not possible to further isolate a part of the system where the failure occurred. With no detailed information of the offshore troubleshooting available nor that the full hydraulic system is visible for inspection via ROV, it is not possible to further isolate a part of the system where the failure occurred. </t>
  </si>
  <si>
    <t xml:space="preserve">N/A </t>
  </si>
  <si>
    <t xml:space="preserve">Reference to HL-TNI-CDWE-ENG-NCR-00022 (1.0) Grouting with Jacket pile gripper failure.
Based on target pressure for gripper cylinders and anti-tailing cylinders being reached, there is no impact or compromise on the product or system integrity. Furthermore, report HL-BOP-RAM-DES-RPT-00062 (2.0) Engineering Report - Gripper Failure Scenarios in combination with grout strength development supports continuation with grouting under the environmental conditions as per HL-TNI-EMPL-TNI-DSH-00006 (1.0) Wave data_HL21-H02, there is no impact on the product integrity. </t>
  </si>
  <si>
    <t xml:space="preserve">Equipment </t>
  </si>
  <si>
    <t>Move-in 
Date</t>
  </si>
  <si>
    <t>Note</t>
  </si>
  <si>
    <t>#</t>
    <phoneticPr fontId="2" type="noConversion"/>
  </si>
  <si>
    <t>品質文件名稱</t>
    <phoneticPr fontId="2" type="noConversion"/>
  </si>
  <si>
    <t>Remark</t>
    <phoneticPr fontId="2" type="noConversion"/>
  </si>
  <si>
    <t>01</t>
    <phoneticPr fontId="2" type="noConversion"/>
  </si>
  <si>
    <t>Overall</t>
    <phoneticPr fontId="2" type="noConversion"/>
  </si>
  <si>
    <t>02</t>
  </si>
  <si>
    <r>
      <rPr>
        <sz val="12"/>
        <color theme="1"/>
        <rFont val="標楷體"/>
        <family val="4"/>
        <charset val="136"/>
      </rPr>
      <t>廠驗</t>
    </r>
    <r>
      <rPr>
        <sz val="12"/>
        <color theme="1"/>
        <rFont val="Calibri"/>
        <family val="4"/>
      </rPr>
      <t>(FAT)</t>
    </r>
    <r>
      <rPr>
        <sz val="12"/>
        <color theme="1"/>
        <rFont val="標楷體"/>
        <family val="4"/>
        <charset val="136"/>
      </rPr>
      <t>程序書</t>
    </r>
  </si>
  <si>
    <t>factory</t>
    <phoneticPr fontId="2" type="noConversion"/>
  </si>
  <si>
    <t>03</t>
  </si>
  <si>
    <t>製造檢驗及測試計畫</t>
    <phoneticPr fontId="2" type="noConversion"/>
  </si>
  <si>
    <t>04</t>
  </si>
  <si>
    <r>
      <rPr>
        <sz val="12"/>
        <color theme="1"/>
        <rFont val="標楷體"/>
        <family val="4"/>
        <charset val="136"/>
      </rPr>
      <t>出廠試驗報告</t>
    </r>
  </si>
  <si>
    <t>05</t>
  </si>
  <si>
    <r>
      <rPr>
        <sz val="12"/>
        <color theme="1"/>
        <rFont val="標楷體"/>
        <family val="4"/>
        <charset val="136"/>
      </rPr>
      <t>現場測試(</t>
    </r>
    <r>
      <rPr>
        <sz val="12"/>
        <color theme="1"/>
        <rFont val="Calibri"/>
        <family val="4"/>
      </rPr>
      <t>SAT)</t>
    </r>
    <r>
      <rPr>
        <sz val="12"/>
        <color theme="1"/>
        <rFont val="標楷體"/>
        <family val="4"/>
        <charset val="136"/>
      </rPr>
      <t>程序書</t>
    </r>
  </si>
  <si>
    <t>site</t>
    <phoneticPr fontId="2" type="noConversion"/>
  </si>
  <si>
    <t>06</t>
  </si>
  <si>
    <t>現場檢驗及測試計畫</t>
    <phoneticPr fontId="2" type="noConversion"/>
  </si>
  <si>
    <t>07</t>
  </si>
  <si>
    <t>現場測試報告</t>
    <phoneticPr fontId="2" type="noConversion"/>
  </si>
  <si>
    <t>08</t>
  </si>
  <si>
    <t>不合格事項管制表</t>
    <phoneticPr fontId="2" type="noConversion"/>
  </si>
  <si>
    <t>09</t>
  </si>
  <si>
    <t>不合格事項報告</t>
    <phoneticPr fontId="2" type="noConversion"/>
  </si>
  <si>
    <t xml:space="preserve">HL-TNI-CDWE-ENG-NCR-00013 - Foundation Jacket Pile Gripper Performance issue HL21-D04
HL-NCR_Grouting HL21-D04
HL-TNI-CDWE-ENG-NCR-00015 - Foundation Jacket Pile Gripper Performance issue HL21-H02
HL-NCR_Grouting HL21-H02
HL-TNI-CDWE-ENG-NCR-00016 - Foundation Jacket Pile Gripper Performance issue HL21-J04
HL-NCR_Grouting HL21-J04
HL-TNI-CDWE-ENG-NCR-00017 - Foundation Jacket Pile Gripper Performance issue HL21-J03
HL-NCR_Grouting HL21-J03
HL-TNI-CDWE-ENG-NCR-00018 - Foundation Jacket Pile Gripper Performance issue HL21-J05
HL-NCR_Grouting HL21-J05
HL-TNI-CDWE-ENG-NCR-00019 - Foundation Jacket Pile Gripper Performance issue HL21-E03
HL-NCR_Grouting HL21-E03 </t>
  </si>
  <si>
    <t xml:space="preserve">The Contractor has encountered inconsistent performance issues with the Jacket Pile Gripper Systems (“JPG”) on multiple Foundation Jackets namely HL21-D04, HL21-H02, HL21-J04, HL21-J03, HL21-J05 and HL22-E03, as defined in the referenced NCR's.
The contingency measures outlined in the operational manual of the JPG were applied but did not result in a satisfactory outcome. The affected jackets were, after consultation with the Employer, grouted. This NCR is raised because Employer is of the opinion (contrary to that of the Contractor) that performing the grouting operation with 1 JPG not correctly functioning was not following the approved method statement. </t>
  </si>
  <si>
    <t xml:space="preserve">HL21-D04, HL21-J05, HL2-J03, HL21-J04, HL21-H02, HL21-E03 </t>
  </si>
  <si>
    <t xml:space="preserve">JPG-054, JPG-018, JPG-051, JPG-020, JPG-060, JPG-105 </t>
  </si>
  <si>
    <t xml:space="preserve">See justification as described in the referenced NCR's. </t>
  </si>
  <si>
    <t xml:space="preserve">The root cause is explained in detail in the referenced NCR's.
HL-TNI-CDWE-ENG-NCR-00013 - Foundation Jacket Pile Gripper Performance issue HL21-D04
HL-TNI-CDWE-ENG-NCR-00015 - Foundation Jacket Pile Gripper Performance issue HL21-H02
HL-TNI-CDWE-ENG-NCR-00016 - Foundation Jacket Pile Gripper Performance issue HL21-J04
HL-TNI-CDWE-ENG-NCR-00017 - Foundation Jacket Pile Gripper Performance issue HL21-J03
HL-TNI-CDWE-ENG-NCR-00018 - Foundation Jacket Pile Gripper Performance issue HL21-J05
HL-TNI-CDWE-ENG-NCR-00019 - Foundation Jacket Pile Gripper Performance issue HL21-E03 </t>
  </si>
  <si>
    <t xml:space="preserve">
Corrective actions identified in the location specific NCR's:
HL-TNI-CDWE-ENG-NCR-00013 - Foundation Jacket Pile Gripper Performance issue HL21-D04
HL-TNI-CDWE-ENG-NCR-00015 - Foundation Jacket Pile Gripper Performance issue HL21-H02
HL-TNI-CDWE-ENG-NCR-00016 - Foundation Jacket Pile Gripper Performance issue HL21-J04
HL-TNI-CDWE-ENG-NCR-00017 - Foundation Jacket Pile Gripper Performance issue HL21-J03
HL-TNI-CDWE-ENG-NCR-00018 - Foundation Jacket Pile Gripper Performance issue HL21-J05
HL-TNI-CDWE-ENG-NCR-00019 - Foundation Jacket Pile Gripper Performance issue HL21-E03 </t>
  </si>
  <si>
    <t xml:space="preserve">HL-BOP-RAM-DES-RPT-00062-VCS-DNV confirms the Certifier approves the design calculations for these 6 locations.
Corrective action verification included in the location specific NCR's: HL-TNI-CDWE-ENG-NCR-00013 - Foundation Jacket Pile Gripper Performance issue HL21-D04
HL-TNI-CDWE-ENG-NCR-00015 - Foundation Jacket Pile Gripper Performance issue HL21-H02
HL-TNI-CDWE-ENG-NCR-00016 - Foundation Jacket Pile Gripper Performance issue HL21-J04
HL-TNI-CDWE-ENG-NCR-00017 - Foundation Jacket Pile Gripper Performance issue HL21-J03
HL-TNI-CDWE-ENG-NCR-00018 - Foundation Jacket Pile Gripper Performance issue HL21-J05
HL-TNI-CDWE-ENG-NCR-00019 - Foundation Jacket Pile Gripper Performance issue HL21-E03 </t>
  </si>
  <si>
    <t xml:space="preserve">HL-BOP-RAM-DES-RPT-00062-VCS-DNV confirms the Certifier approves the design calculations for these 6 locations and that the loss of effective gripper at one leg have not compromised the final strength of the grouted connection due to early age cycling in excess of what has been accommodated for in the design. </t>
  </si>
  <si>
    <t xml:space="preserve">HL30-U03 Leg A </t>
  </si>
  <si>
    <t xml:space="preserve">Bastien Baix </t>
  </si>
  <si>
    <t xml:space="preserve">EAC limits
There are approved contingency options to deal with a failure of JPG on Leg A:
1. Perform grouting with a reduced sea state as defined in the Adverse Weather Assessment Procedure rev 15 (HL-TNI-CDWE-ENG-PRC-00002).
2. Recover the jacket and perform repair (only in extreme and emergency situations)
Option 1 was selected as per Weather Assessment Procedure, non-performance of one JPG system still allows for the commencement of grouting operations, given a sufficiently favorable sea state during the Early Aging Cycle.
In this case, the DESIGNER limits for EAC with a failure of Leg A JPG are: Hs ≤1.5m.
Grouting operations and EAC were performed with a sea state below 1.5m as monitored by the EMPLOYER wave buoy. Below is the timeline:
25/07/2025 – 09:09: JKT U03 lift
25/07/2025 – 11:22: start JPG operations
25/07/2025 – 13:30: waiting for lower sea state
26/07/2025 – 11:40: start grouting Leg A
26/07/2025 – 13:15: grouting Leg A completed
27/07/2025 – 13:15: end of 24h EAC for Leg A
Based on:
1. All JPG cylinders of Leg A fully engaged
2. Reduced EAC limits for Leg A JPG failure from DESIGNER respected
It is concluded that the JKT/PP connection of U03 Leg A is grouted within limits </t>
  </si>
  <si>
    <t xml:space="preserve">1. Re-inspection of the JPG of the 2 remaining JKT on deck of Green Jade (K01, K02)
2. Re-inspection of the JPG of the next 3 JKT on the quay side at CWP (J03, K04, M02) </t>
  </si>
  <si>
    <t xml:space="preserve">Inspection results of the re-inspection of the jackets. </t>
  </si>
  <si>
    <t>CDWE-NCR-000025</t>
  </si>
  <si>
    <t>Replace (with conforming parts) - Back to original specification requirements</t>
  </si>
  <si>
    <t xml:space="preserve">The 4 inverted TP covers with this issue will be replaced by inverted TP covers which are removed from the jackets that are installed in the 2025 campaign. </t>
  </si>
  <si>
    <t>品管計畫</t>
  </si>
  <si>
    <t>HL-TNI-CDWE-ENG-NCR-00027 - Foundation JPG Performance Issue - HL30-U03</t>
  </si>
  <si>
    <t>CDWE-NCR-000026</t>
  </si>
  <si>
    <t>HL-TNI-CDWE-ENG-NCR-00028 - Foundation JPG Performance Issue - HL30-M05</t>
  </si>
  <si>
    <t>HL30-M05 Leg B</t>
  </si>
  <si>
    <t>Works Manager, Green Jade</t>
  </si>
  <si>
    <t>Bastien Baix</t>
  </si>
  <si>
    <t>EMPL-RFNCR-000108</t>
  </si>
  <si>
    <t xml:space="preserve">On 23th of April 2025, Contractor was informed about difficulties related to the assembly of the inverted TP cover at the CWP fabrication yard.
Upon further inspection it appeared that on four of the paddling pools, the outer flap (green in the figure below) has been produced correctly, but the inner flap (red in the figure below) is missing and has not been welded to the outer slab. This prevents the aluminium plates, around the hatch opening, from being secured. As a result, the hatch opening (blue in the figure below) cannot be used at this moment to install the hatch frame and cover.
Total 4 sets of inverted TP cover were found with this issue.
On 19th May 2025, Contractor has delivered a repair kit to CWP yard together with rectification instruction. However, the rectification was unsuccessful due to insufficient contact areas between the female and male Velcro straps.
On 11th June 2025, Contractor has delivered another updated repair kit to CWP yard with new rectification instruction. The rectification and trial fit attempt has been conducted at CWP yard between CDWE rep, CWP and HL rep. However, the rectification was unsuccessful, as it was noticed that the hatch cage (rack) had near-zero tolerance to fit into the frame. This was considered likely to cause additional problems offshore when trying to remove and reinstall the rack into the frame. The overly tight fit was caused by applying multiple layers of Velcro tape, which led to the narrowing of the frame itself. </t>
  </si>
  <si>
    <t>Repair back to speification</t>
  </si>
  <si>
    <t xml:space="preserve">The TP covers have been replaced and successfully installed at the fabricator. </t>
  </si>
  <si>
    <t xml:space="preserve">During the welding process, only one side of the Velcro system - the outer flap - was produced and welded. The corresponding inner flap, which is essential for the proper functioning of the closure, was inadvertently omitted. This was due to human error during the production process.
Unfortunately, this issue was also overlooked during multiple stages of quality control, as the presence of the outer flap gives the impression that the inner flap is in place.
For the delivered repair kits, the manufacturer addressed the specific issue of mismatched Velcro strap widths by supplying a repair kit with wider straps. However, no broader quality review appears to have been undertaken. The modification resolved the initial problem but introduced a new one: the additional Velcro layers reduced the frame’s internal clearance, preventing proper rack installation. This sequence indicates that corrective actions were implemented without a full assessment of potential downstream impacts, suggesting gaps in quality control at the fabrication stage. </t>
  </si>
  <si>
    <t xml:space="preserve">As the issue encountered was related to the last shipment and last fabrication of the inverted TP covers for Hai Long project. These corrective actions cannot be implemented for Hai Long project, however they will be included in Lessons Learned register and will be implemented by future CDWE projects. </t>
  </si>
  <si>
    <t xml:space="preserve">No impact on the final product as the 4 TP covers have been replaced by other TP covers. </t>
  </si>
  <si>
    <t>Process Nonconformance - Using ineffective measuring system / data for decision making and reporting</t>
  </si>
  <si>
    <t>Process Nonconformance - Due to inadequate and ineffective measuring system / survey equipment on the Seaway Phoenix. Equipment affected Contractors decision making and reporting to Employer resulting in loss of productivity for vessel activities. Contractors decision making and reporting specific to E02 also led to unnecessary actions that added potential risks to the Employer's asset. 
Examples; 
- EMPL-GNC-024811 incorrect measurement and reporting to Employer. Contactor's other vessels Boka Tiamat &amp; Skandi Connector proved incorrect assessment by Seaway Phoenix
- EMPL-GNC-026270 Incorrect measurement and reporting to Employer and unnecessary removal of Rock Bags at E02. Contactor's other vessel Skandi Connector proves incorrect assessment by Seaway Phoenix. Specific to this example, 
- BM verification E03 (E04-E03); incorrect measurement and reporting to Employer. Contactor's other vessel Skandi Connector proved incorrect assessment by Seaway Phoenix. The Contactor removed rock bags and then reported that the post removal clearance was &lt;3m however given the survey results from the Skandi Connector, the clearance may have been beyond the 3.5m level and this was not reported to the Employer for acceptance
- EMPL-GNC-025931 incorrect measurement and reporting to Employer. Contactor's other vessels Boka Tiamat &amp; Skandi Connector proved incorrect assessment by Seaway Phoenix</t>
  </si>
  <si>
    <t>B01/B02/E02/E03/S02/S03</t>
  </si>
  <si>
    <t>Justin Green</t>
  </si>
  <si>
    <t xml:space="preserve">Punch List </t>
  </si>
  <si>
    <t>will be submitted in 3rd week of August</t>
  </si>
  <si>
    <r>
      <rPr>
        <sz val="11"/>
        <rFont val="Calibri"/>
        <family val="2"/>
      </rPr>
      <t xml:space="preserve">The permanent repair is not competed yet, and therefore, this NCR cant be closed until the final repair completed.
NCR request = EMPL-RFNCR-000041
</t>
    </r>
    <r>
      <rPr>
        <u/>
        <sz val="11"/>
        <rFont val="Calibri"/>
        <family val="2"/>
      </rPr>
      <t>2024/11/20</t>
    </r>
    <r>
      <rPr>
        <sz val="11"/>
        <rFont val="Calibri"/>
        <family val="2"/>
      </rPr>
      <t xml:space="preserve">
* CAB will provide the repair kits  and training to S7, discussed in the IAC weekly meeting.
</t>
    </r>
    <r>
      <rPr>
        <b/>
        <sz val="11"/>
        <color rgb="FFFF0000"/>
        <rFont val="Calibri"/>
        <family val="2"/>
      </rPr>
      <t xml:space="preserve">
2025/08/13
 - HEC-HL2-800C-05-B, HL2A, WB030, OSS-HL2A, HL21-A01
 - HEC-HL2-800C-05-B, HL2A, WB010, OSS-HL2A, HL21-J01
 - HEC-HL2-800C-05-C, HL2B, WB130, OSS-HL2B, HL22-F01</t>
    </r>
  </si>
  <si>
    <t>承攬商對業主提出的疑慮未回應或否認責任，導致品質爭議未能即時釐清</t>
  </si>
  <si>
    <t>導致案件拖延、品質認定模糊、可能誤判為不合格（NCR）、損害合作信任關係與履約進度</t>
  </si>
  <si>
    <t>1. 合約應增列條文：若業主提出合理疑慮，承攬商須於 X 日內提供書面澄清與佐證資料（含檢測、圖面、驗證報告）
2. 品質異常處理流程中，應設定「暫列疑慮事項」與「初步澄清階段」
3. 若承攬商無法證明應由其負責，得轉為 Observation 而非立即列為 NCR</t>
  </si>
  <si>
    <t>1. 品質異常案件缺乏承攬商澄清回應超過時限
2. 因未即時澄清導致後續誤列 NCR 或延遲問題解決
3. 澄清資料不具完整性或未能佐證設計合規性</t>
  </si>
  <si>
    <t>合約中未明確要求當業主對品質有疑慮時，承攬商應主動舉證澄清。</t>
  </si>
  <si>
    <t>SW7-NCR-000014</t>
  </si>
  <si>
    <r>
      <rPr>
        <u/>
        <sz val="11"/>
        <rFont val="Calibri"/>
        <family val="2"/>
      </rPr>
      <t>2024/11/21</t>
    </r>
    <r>
      <rPr>
        <sz val="11"/>
        <rFont val="Calibri"/>
        <family val="2"/>
      </rPr>
      <t xml:space="preserve">
The crossing bottoom layer (mattess) are failed, this NCR can't be closed.
</t>
    </r>
    <r>
      <rPr>
        <u/>
        <sz val="11"/>
        <rFont val="Calibri"/>
        <family val="2"/>
      </rPr>
      <t>2024/11/27</t>
    </r>
    <r>
      <rPr>
        <sz val="11"/>
        <rFont val="Calibri"/>
        <family val="2"/>
      </rPr>
      <t xml:space="preserve">
 - S7 provided the synergi report to update the NCR.
 - After discuss with Daniel M, this NCR is superseded by scouring issue, therefore, this NCR will not to be discuss any more and consider to close it.
 - Daniel M will draft the mail to reply the NCR for QMT.
</t>
    </r>
    <r>
      <rPr>
        <u/>
        <sz val="11"/>
        <rFont val="Calibri"/>
        <family val="2"/>
      </rPr>
      <t xml:space="preserve"> 2024/12/2</t>
    </r>
    <r>
      <rPr>
        <sz val="11"/>
        <rFont val="Calibri"/>
        <family val="2"/>
      </rPr>
      <t xml:space="preserve">
 - Aldrik asked about the cost issue, but this is not quality scope.
2024/12/30
 - Daniel M would like to clarify survey issue withe S7.
</t>
    </r>
    <r>
      <rPr>
        <u/>
        <sz val="11"/>
        <rFont val="Calibri"/>
        <family val="2"/>
      </rPr>
      <t>2024/1/9</t>
    </r>
    <r>
      <rPr>
        <sz val="11"/>
        <rFont val="Calibri"/>
        <family val="2"/>
      </rPr>
      <t xml:space="preserve">
- HL CTI package will discuss technical issue with S7 for survey issue.
2025/07/24
 - The Design Drawings have been removed from MDR and this is a failed design. 
</t>
    </r>
    <r>
      <rPr>
        <sz val="11"/>
        <color rgb="FFFF0000"/>
        <rFont val="Calibri"/>
        <family val="2"/>
      </rPr>
      <t xml:space="preserve">2025/08/14
 - Have a meeting with Daniel M for all NCR/RFNCR, this issue can be closed as the corssing bottom layers have been covered by loose rock to prevent the scouring. This NCR can be closed once package provied the related survey report to support the closure.
</t>
    </r>
  </si>
  <si>
    <t>Step2
Test Items</t>
  </si>
  <si>
    <t xml:space="preserve">HL-JPG-IQIP-ONM-MAN-00001(7.0) JGP – Operating and maintenance
manual.pdf
[HL-FOU-JKT-IQIP] JPG Leakage - HL30-U03 Leg A_IQIP
HL-JPG-IQIP-FAB-RPT-06077 (5.0) Manufacturing record book JPG Specific 077
HL-JPG-IQIP-TST-RPT-00004 (16.0) Hydraulic lines test report
HL-JPG-IQIP-TST-RPT-00003 (16.0) Commissioning test report
HL-JPG-IQIP-TST-RPT-00005 (16.0) Preparations prior to jacket load-out test report
HL-TNI-CDWE-ENG-MST-00010 (5.0) Method Statement Jacket Transportation and Installation
HL-TNI-CDWE-QAC-RPT-00031 (2.0) as-built as-installed dossier - Jacket Installation (HL30-U03)
HL-TNI-CDWE-ENG-NCR-00022 (2.0) Grouting with Jacket pile gripper failure
HL-BOP-RAM-DES-RPT-00062 (5.0) Engineering Report - Gripper Failure Scenarios
WAF for Jacket Installation
Weather data on grouting jacket leg - HL30-U03 Leg A
12.2 20250725 - HL30-U03 - WAF Jacket installation </t>
  </si>
  <si>
    <t xml:space="preserve">The Contractor has encountered inconsistent performance issues with the Jacket Pile Gripper Systems (“JPGs”) on multiple Foundations.
The following NCR will focus on location HL30-U03.
- Target pressure Gripper Jack Cylinders: 230 bars - 290 bars
- Target pressure Anti-Tailing Cylinders: 70 bars - 120 bars
Location: HL30-U03
Date: 25/07/2025
Issue: HL30-U03 Leg A JPG (ROV panel ID 077) gripping system partially unfunctional from the pressure gauge reading.
1. Gripping function: Required target pressure has been reached on gripping jack cylinder and anti-tailing cylinders circuit during pressurizing steps as per the operation procedure.
Once the external platform HPU pressure was released, there were drops in pressure readings on the gauges on the external platform HPU and ROV panel (Gripping &amp; ATC). A small leak near the piping of one of the cylinders was noticed by the ROV during gripping operations. However, exact location was undetermined due to limited accessibility and visibility of ROV.
Each cylinder of a JPG is equipped with a non-return valve to maintain hydraulic pressure individually. The JPGs are designed so that once the cylinders are pressurized, the non-return valve prevents depressurization of the gripper/ATC in case of a system leak before the cylinders. Given the known gripper cylinder and ATC pressurization, the presence of non-return valves and the information from the operators’ installation reports, there is no reason to believe the JPGs did not function as intended.
IQIP release a statement confirming the above (see attached [HL-FOU-JKT-IQIP] JPG Leakage - HL30-U03 Leg A_IQIP)
2. Gripper jack cylinders:
- Peak pressure reading: 290 bar
- Pressure reached the target pressure during pressurizing from control panel and held for the minimal 40 seconds. Pressure was maintained at the target pressure than slowly dropped when released. Re-pressurizing from control panel, pressure reached the target pressure during pressurizing and held for the minimal 40 seconds. Pressure was maintained at the target pressure than slowly dropped again. Repeated waiting and pressurizing several times gave the same results. Same result from contingency hot stab operation.
3. Anti-tailing cylinders:
- Peak pressure reading: 110 bar
- Pressure reached the target pressure during pressurizing from Control Pannel and held for the minimal 40 seconds. . Pressure was maintained at the target pressure than slowly dropped when released. Re-pressurizing from control panel, pressure reached the target pressure during pressurizing and held for the minimal 40 seconds. Pressure was maintained at the target pressure than slowly dropped again. Repeated waiting and pressurizing several times gave the same results. Same result from contingency hot stab operation.
4. Levelling function was functional and worked as per procedure.
5. (Gripping operations at Leg B and C were successful) </t>
  </si>
  <si>
    <t xml:space="preserve">Use as it is </t>
  </si>
  <si>
    <t xml:space="preserve">JPG system
1. Procedure for troubleshooting has been followed in presence of a technician of IQIP with remote support of IQIP headquarters.
2. Hot stab pressurization with ROV.
3. Because the target pressures were reached on all cylinders during initial pressurization, IQIP issued a communication stating that the cylinders are pressurized as normal.
The JPGs are designed so that once the cylinders are pressurized, a non-return valve prevents depressurization of the gripper/ATC in case of a system leak before the cylinders. Given the known gripper cylinder and ATC pressurization, the presence of non-return valves and the information from the operators’ installation reports, there is no reason to believe the JPGs did not function as intended. </t>
  </si>
  <si>
    <t xml:space="preserve">Potential root causes and outcome of the investigation:
1. Investigated manufacturing defects in cylinders, hydraulic lines, pressure gauges, pressure vales, check valves and/or couplings: No defects identified.
2. Investigated installation defects in ROV panel hose connections and hydraulic hose connections: No defects identified.
3. Determine whether the jackets experiencing JPG issues were among the first commissioned units to assess the impact of the learning curve: the jacket was re-commissioned close to the loadout period in June 2025.
4. Investigated if the same commissioning/mounting team at the Jacket Fabricator yard handled the jackets experiencing JPG issues: A variety of team members have handled the jackets experiencing JPG issues.
5. Potential damage after commissioning testing.
6. Design of the JPG system suitable for these offshore operations.
7. Procedure for troubleshooting has been followed.
Conclusion: Based on the above-mentioned potential causes and their outcomes, the JPG system was working according to specifications up to commissioning testing. Leak or loose connection could have been left unnoticed after testing of the JPG. Damages could have occurred between commissioning testing and offshore
installation but were not identified and repaired. As pressurizing via the hot stab also seemed to give similar results, a leakage in the hydraulic hoses/pipes between external platform termination panel and ROV panel cannot be the cause. As there was
full pressure build-up in the system, a relatively small leakage was present in the gripper circuit itself. With the hydraulic system not fully visible for inspection via ROV, it is not possible to further isolate a part of the system where the failure occurred. </t>
  </si>
  <si>
    <t xml:space="preserve">Based on report HL-BOP-RAM-DES-RPT-00062 (5.0) Engineering Report - Gripper Failure Scenarios, and the environmental conditions experienced in (See ‘Weather data on grouting jacket leg - HL30-U03 Leg A’ attached), there is no impact on the product integrity. </t>
  </si>
  <si>
    <t>公司稅額暫繳款</t>
  </si>
  <si>
    <r>
      <t>2</t>
    </r>
    <r>
      <rPr>
        <sz val="10"/>
        <rFont val="calbri"/>
      </rPr>
      <t xml:space="preserve">025/01/22
 - The related issues have been discussed during the Lessons learnt meeting.
2025/02/06
 - Daniel K asked if it possible to attend the meeting with scoffording conractor to discuss the new structure on 7th of Feburary. 
 - Justin informed that Ons_Frank can join the meeting. But the meeting attend by Justin and Daniel.
2025/03/20
 - LS submitted the updated design drawings for review.
</t>
    </r>
    <r>
      <rPr>
        <sz val="10"/>
        <color rgb="FFFF0000"/>
        <rFont val="calbri"/>
      </rPr>
      <t xml:space="preserve">2025/04/07
 - The habitat design drawing has been reviewed, the VO is required.
</t>
    </r>
    <r>
      <rPr>
        <sz val="10"/>
        <rFont val="calbri"/>
        <family val="2"/>
      </rPr>
      <t>2025/08/21
 - The design has been confirmed and witness by Justin. Issue close.</t>
    </r>
  </si>
  <si>
    <t>2025/02/12
 - Daniel requested LS to revised the ITP during the weekly meeting and forward the information to Romulus. LSC will revised the ITP after the FAT.
2025/08/21
issue closed</t>
  </si>
  <si>
    <r>
      <t xml:space="preserve">2025/02/14
 - Meeting with RTI team, and the related test will performed by HL RTI package.
2025/02/17
 - BMS's subcontractor will perform the requested test by itself. But SGS still needed for S7 and Yulin.
</t>
    </r>
    <r>
      <rPr>
        <sz val="10"/>
        <color rgb="FFFF0000"/>
        <rFont val="calbri"/>
      </rPr>
      <t xml:space="preserve">2025/02/25
 - The quotations have provided to GQS and informed SGS to contact GQS for the following financial issue.
</t>
    </r>
    <r>
      <rPr>
        <sz val="10"/>
        <rFont val="calbri"/>
        <family val="2"/>
      </rPr>
      <t>2025/03/31
 - The samplings have been done for materials from SW7 and Yulin project.
 - Waiting for the official report.
2025/08/21
 - issue closed.</t>
    </r>
  </si>
  <si>
    <t xml:space="preserve">2025/02/20
 - Justin explain the PQP from BOS is not qualified. This is related to near shore dredging operation for HL3.1 and 3.2 HDPE pipe.
2025/3/28
 - The official PQP has reviewed and feedback the comments.
2025/08/21
 - Issue closed.
</t>
  </si>
  <si>
    <t>2025/03/25
 - SW7 provide the some information and will provide the details.
2025/3/328
 - The SPI report has been provided by SW7.
2025/08/21
 - issue closed.</t>
  </si>
  <si>
    <r>
      <t xml:space="preserve">2024/09/02
The cable team can't provide the official document to ensure that the warranty is still valid for HL.
2024/09/11
</t>
    </r>
    <r>
      <rPr>
        <sz val="10"/>
        <color rgb="FFFF0000"/>
        <rFont val="calbri"/>
      </rPr>
      <t xml:space="preserve">Discuss the damages with Hellenic. Hellenic has a significant concern with this issue because they have not received the repair report for a detailed assessment. Additionally, Hellenic is also concerned about the onshore storage period without permanent repair until the installation campaign next year. As of now, Hellenic cannot confirm that HL is still under warranty.
2024/09/27
To get the warranty from Hellenic before the installation. [comment from Goto]
2024/10/02
- Justin's raised comment on Aconex, CAB and HEC need to respond it.
2024/10/15
 - Hellenic has reply the Aconex to Justin. HELLENIC-GNC-000489
2024/10/17
 - Justin informed that the "Bird Caging" may be happened in IAC cable.
2025/08/21
 - issue closed.
</t>
    </r>
  </si>
  <si>
    <t>船東未建立或執行定期維護保養計畫，且缺乏檢修紀錄與例行測試</t>
  </si>
  <si>
    <t>1. 船舶發生故障時查無保養紀錄
2. 未提供維保計畫或逾期維護清單
3. 工程中斷時無即時回報與修復計畫</t>
  </si>
  <si>
    <t>導致關鍵工程進度（如 cable lay、pull-in、ROV 操作等），造成工期延誤、額外待租費與工程資源浪費</t>
  </si>
  <si>
    <t>作業期間船舶發生非預期故障（Unplanned Breakdown）,導致作業中斷</t>
  </si>
  <si>
    <t>海事資源 / 船舶可靠性</t>
  </si>
  <si>
    <t>Offshore</t>
  </si>
  <si>
    <t xml:space="preserve">Quality </t>
  </si>
  <si>
    <t>電纜設計未納入拋石覆蓋層的粒徑衝擊、下沉力或外部機械保護需求</t>
  </si>
  <si>
    <t>拋石階段造成電纜局部損傷、偏移或結構受力超過設計極限</t>
  </si>
  <si>
    <t>導致電纜外護層破損、局部微彎、提前老化，甚至埋設深度不足，影響運轉壽命與防護效果</t>
  </si>
  <si>
    <t>1. 電纜技術文件中未提及拋石影響設計參數
2. 拋石後電纜出現偏移、裸露或異常彎曲
3. 巡檢報告中出現與預期埋設輪廓不符案例</t>
  </si>
  <si>
    <t>KPI Lv</t>
  </si>
  <si>
    <t>0% to &lt; 20%</t>
  </si>
  <si>
    <t>20% to &lt; 40%</t>
  </si>
  <si>
    <t>40% to &lt; 60%</t>
  </si>
  <si>
    <t>60% to &lt; 80%</t>
  </si>
  <si>
    <t>80% to &lt; 100%</t>
  </si>
  <si>
    <t>POOR</t>
  </si>
  <si>
    <t>FAIR</t>
  </si>
  <si>
    <t>AVERAGE</t>
  </si>
  <si>
    <t>GOOD</t>
  </si>
  <si>
    <t>EXCELENT</t>
  </si>
  <si>
    <t xml:space="preserve">HL-JPG-IQIP-ONM-MAN-00001 (7.0) JPG - Operating and maintenance manual.pdf
HL-TNI-CDWE-ENG-PRC-00002 (15.0) Adverse Weather Assessment Procedure - Foundation
HL-BOP-RAM-DES-RPT-00062 (5.0) Engineering Report - Gripper Failure Scenarios
S03 Weather data on grouting jacket leg
20250621 WAF for Grouting Operations </t>
  </si>
  <si>
    <t xml:space="preserve">Following the completion of gripping operations on asset S03 in accordance with the
IQIP manual (see Attachment 1). Witnessing from the ROV panel was not possible due to too high current.
When ROV inspection took place at 21/06 at 9:00, (approximately 6 hours after completion of the gripping operations) the ROV witnessed the following on the ROV panel:
The gripping cylinders maintained a stable pressure of 250 bar
The levelling cylinders were extended beyond the minimum required stroke of 10 mm
and sustained a pressure exceeding 90 bar.
ATC pressure of 65 bar
Pressure Requirements:
Minimum required gripper pressure: 230 bar
Minimum required ATC pressure: 70 bar
Please note that at leg A and leg B all pressure readings on the ROV panels were
compliant with the pressure requirements.
The recorded ATC pressure on Leg C was 5 bars below the specified minimum threshold.
There are approved contingency options to deal with a failure of JPG:
1. Perform grouting with a reduced sea state as defined in the Adverse Weather Assessment Procedure rev 15 (HL-TNI-CDWE-ENG-PRC-00002).
2. Recover the jacket and perform repair (only in extreme and emergency situations)
Contractor decided to continue with option 1 namely grouting operations considering
1 full JPG failure as per Adverse Weather Assessment Procedure rev 15 (HL-TNI-
CDWE-ENG-PRC-00002) and grouting started at 21/06 at 9:06. 
</t>
  </si>
  <si>
    <t xml:space="preserve">There are approved contingency options to deal with a failure of JPG:
1. Perform grouting with a reduced sea state as defined in the Adverse Weather Assessment Procedure rev 15 (HL-TNI-CDWE-ENG-PRC-00002).
2. Recover the jacket and perform repair (only in extreme and emergency situations)
Based on the WAF for Grouting operations (Attachment 5), Contractor was able to
complete S03 installation while respecting the EAC of the grouting. </t>
  </si>
  <si>
    <t xml:space="preserve">Contractor decided to continue with option 1 as per Weather Assessment Procedure
(Attachment 2), non-performance of one JPG system still allows for the
commencement of grouting operations, given a sufficiently favourable sea state during
the Early Aging Cycle.
Based on the WAF for Grouting operations (Attachment 5), Contractor was able to
complete S03 installation while respecting the EAC of the grouting. </t>
  </si>
  <si>
    <t xml:space="preserve">
If the pressure is showing lower than target pressure, base case is to re-pressurize according to the procedure. </t>
  </si>
  <si>
    <t xml:space="preserve">Based on report HL-BOP-RAM-DES-RPT-00062 (5.0) Engineering Report - Gripper Failure Scenarios, and the environmental conditions experienced in (See attached S03 Weather data on grouting jacket leg), there is no impact on the product integrity. </t>
  </si>
  <si>
    <t>Boskalis</t>
  </si>
  <si>
    <t>SPIE</t>
  </si>
  <si>
    <t>Shoreway</t>
  </si>
  <si>
    <t>Terra Plana</t>
  </si>
  <si>
    <t>Vessel</t>
  </si>
  <si>
    <t>Owner</t>
  </si>
  <si>
    <t>Main Contractor</t>
  </si>
  <si>
    <t>Maintenance Record Request</t>
  </si>
  <si>
    <t>Response</t>
  </si>
  <si>
    <t>Target Date</t>
  </si>
  <si>
    <t>Known Issues</t>
  </si>
  <si>
    <t>Open / Closed</t>
  </si>
  <si>
    <t>Next Steps Actions</t>
  </si>
  <si>
    <t>Skandi Connector</t>
  </si>
  <si>
    <t>Cable Lay, Cable Pull-in, Pre Lay Survey and As Found Survey</t>
  </si>
  <si>
    <t>EMPL-GNC-026721</t>
  </si>
  <si>
    <t>29/08/2025</t>
  </si>
  <si>
    <t>Carousel Breakdowns (Pins / Motors)</t>
  </si>
  <si>
    <t>Seaway Phoenix</t>
  </si>
  <si>
    <t>Inadequate Survey Data</t>
  </si>
  <si>
    <t>Cable Pull-in, As Found Survey</t>
  </si>
  <si>
    <t>Orient Constructor</t>
  </si>
  <si>
    <t>Personnel Transfers for T&amp;T (Termination and Testing by Ventus)</t>
  </si>
  <si>
    <t>Thruster Breakdowns</t>
  </si>
  <si>
    <t>Echo 4</t>
  </si>
  <si>
    <t>DFO</t>
  </si>
  <si>
    <t>Seatrench, Weather Assessments, Diving Operations</t>
  </si>
  <si>
    <t>N/A to date</t>
  </si>
  <si>
    <t>Hermes 5</t>
  </si>
  <si>
    <t>Dredging for HL3 Cable Punch Out</t>
  </si>
  <si>
    <t>EMPL-GNC-026722</t>
  </si>
  <si>
    <t>BOSKALIS-GNC-000022</t>
  </si>
  <si>
    <t>25/08/2025 - Boskalis response provided Shoreway and Terra Plana Maintenance History Report Provided - HL to assess and provide response</t>
  </si>
  <si>
    <t>Survey &amp; WID (Water Injection Dredging) Nearshore Area</t>
  </si>
  <si>
    <t>Blue Arrow</t>
  </si>
  <si>
    <t>Not yet under contract - TBD</t>
  </si>
  <si>
    <t>Normand Australis</t>
  </si>
  <si>
    <t>MBES (Multi Beam Echo Sound), RBI (Rock Bag Installation), CFE (Controlled Flow Excavation)</t>
  </si>
  <si>
    <t>EMPL-GNC-026723</t>
  </si>
  <si>
    <t>BMSO-GNC-000103</t>
  </si>
  <si>
    <t>20/08/2025 - BMS response that they confirm reciept of the request and will forward the request to the vessels - Awaiting response and records for assessment</t>
  </si>
  <si>
    <t>Go Supporter</t>
  </si>
  <si>
    <t>Genset Mobilisation / De-mobilisation / Transit / Personnel Transfer</t>
  </si>
  <si>
    <t>Joseph Plateau</t>
  </si>
  <si>
    <t>Jan De Nul</t>
  </si>
  <si>
    <t>SRI (Sea Bed Rock Installation)</t>
  </si>
  <si>
    <t>EMPL-GNC-026724</t>
  </si>
  <si>
    <t>25/08/2025 - Meeting held with vessel manager and additional information forwarded to vessel (EMPL-GNC-026809) for criticality assessment as Option 1 for Desk Based Assessment or Option 2 for vessel visit and audit of Maintenance System</t>
  </si>
  <si>
    <t>CTV's</t>
  </si>
  <si>
    <t>Crew Transfer Only</t>
  </si>
  <si>
    <t>Request to be made to construction team if they monitor the planned maintenance of the CTV's under the subcontractor?</t>
  </si>
  <si>
    <t>Nexus</t>
  </si>
  <si>
    <t>Van Ord</t>
  </si>
  <si>
    <t>Cable Lay</t>
  </si>
  <si>
    <t>EMPL-GNC-026725</t>
  </si>
  <si>
    <t>Blue Wind</t>
  </si>
  <si>
    <t>SGRE</t>
  </si>
  <si>
    <t>WTG Installation</t>
  </si>
  <si>
    <t>EMPL-GNC-026808</t>
  </si>
  <si>
    <t>Main Crane Breakdown</t>
  </si>
  <si>
    <t>No maintenance records found; suspected missing periodic functional checks.</t>
  </si>
  <si>
    <t>Dredging Control / Automation</t>
  </si>
  <si>
    <t>Critical (Suspected missing)</t>
  </si>
  <si>
    <t>Only lubrication noted; no records of overhaul or insulation resistance tests.</t>
  </si>
  <si>
    <t>Generator Sets (Stamford DSG74 L1-4)</t>
  </si>
  <si>
    <t>Major (Suspected missing)</t>
  </si>
  <si>
    <t>Only flushing recorded; no evidence of dismantling, balancing, or overhaul.</t>
  </si>
  <si>
    <t>Main Engine Turbocharger</t>
  </si>
  <si>
    <t>Only wall thickness checks recorded; no evidence of pump body/vacuum system maintenance.</t>
  </si>
  <si>
    <t>Dredge Pump &amp; Pipeline</t>
  </si>
  <si>
    <t>Emergency repair due to valve blockage; preventive maintenance cycle suspected missing.</t>
  </si>
  <si>
    <t>Sludge / Sewage Pump</t>
  </si>
  <si>
    <t>Major</t>
  </si>
  <si>
    <t>Battery renewal and breaker repair noted; mostly unscheduled, missing long-term testing records.</t>
  </si>
  <si>
    <t>Electrical Power (Switchboard / MCC / UPS)</t>
  </si>
  <si>
    <t>Refrigerant refills and filter cleaning recorded; leakage suspected.</t>
  </si>
  <si>
    <t>Air Conditioning System</t>
  </si>
  <si>
    <t>Weekly tests recorded; basic compliance, but remains critical.</t>
  </si>
  <si>
    <t>Emergency Diesel Generator (Cummins 6CTA 8.3-DM)</t>
  </si>
  <si>
    <t>Critical</t>
  </si>
  <si>
    <t>Weekly/half-year checks recorded; no evidence of major overhaul.</t>
  </si>
  <si>
    <t>Steering Gear (Brussel Marine)</t>
  </si>
  <si>
    <t>Lubrication, bearing and brush replacement recorded; suspected missing insulation and cooling system tests.</t>
  </si>
  <si>
    <t>Bow Thruster (Wärtsilä FT125H-DLM)</t>
  </si>
  <si>
    <t>12,000h overhaul done (bearing, O-ring, clutch replacement); maintenance cycle covered.</t>
  </si>
  <si>
    <t>HFO Separator</t>
  </si>
  <si>
    <t>Multiple unscheduled repairs (leakage, gasket renewal); reliability concern.</t>
  </si>
  <si>
    <t>Main/Aux. Engine cooling (LT/HT Box Coolers)</t>
  </si>
  <si>
    <t>Recorded periodic checks, but remains safety-critical; any failure would directly affect vessel safety.</t>
  </si>
  <si>
    <t>Firefighting pump / Deckwash system</t>
  </si>
  <si>
    <t>System</t>
  </si>
  <si>
    <t>Level</t>
  </si>
  <si>
    <t>Completed</t>
  </si>
  <si>
    <t>Thrusters</t>
  </si>
  <si>
    <t xml:space="preserve"> Major</t>
  </si>
  <si>
    <t>Carter Vent System</t>
  </si>
  <si>
    <t>WID Plough Structure</t>
  </si>
  <si>
    <t>Completed - Only unscheduled external repair recorded</t>
  </si>
  <si>
    <t>Air Compressor</t>
  </si>
  <si>
    <t>Box Cooler</t>
  </si>
  <si>
    <t>Side Jet Nozzles</t>
  </si>
  <si>
    <t>Completed - but frequent failures recorded, only handled as unscheduled repairs</t>
  </si>
  <si>
    <t>Fuel Filtration Unit</t>
  </si>
  <si>
    <t xml:space="preserve"> Critical</t>
  </si>
  <si>
    <t>Completed - some tasks overdue, Overdue tasks remain incomplete, representing a major risk</t>
  </si>
  <si>
    <t>Hydraulic Main Pumps &amp; Splitter Box</t>
  </si>
  <si>
    <t>Completed - No routine records available - the most significant gap</t>
  </si>
  <si>
    <t>Main Engines / Auxiliary Engines</t>
  </si>
  <si>
    <r>
      <t>Suspected missing</t>
    </r>
    <r>
      <rPr>
        <sz val="11"/>
        <color theme="1"/>
        <rFont val="Calibri"/>
        <family val="2"/>
      </rPr>
      <t xml:space="preserve"> (only fuel valve installation recorded, no evidence of full maintenance cycle)</t>
    </r>
  </si>
  <si>
    <t>Jet Engine (periodic inspection / oil renewal)</t>
  </si>
  <si>
    <r>
      <rPr>
        <sz val="10"/>
        <rFont val="calbri"/>
      </rPr>
      <t xml:space="preserve">2024/10/17
 - Justin issue some question to Aldrik for further clarification.
2024/11/11
 - Justin discuss this issue during the catch-up meeting with Aldrik.
</t>
    </r>
    <r>
      <rPr>
        <sz val="10"/>
        <color rgb="FFFF0000"/>
        <rFont val="calbri"/>
      </rPr>
      <t xml:space="preserve">2025/03/11
 - Cherry orally informe the cable will be replaced by spare cable.
2025/03/014
 -There are two deformed section found during load-out process in Grecce. 
2025/08/26
Closed along with project progress.
</t>
    </r>
  </si>
  <si>
    <t>Unreported Damage to the carouesel on Skandi Connector.</t>
  </si>
  <si>
    <t xml:space="preserve">- HL-JPG-IQIP-ONM-MAN-00001(7.0) JGP – Operating and maintenance manual.pdf
- HL-JPG-IQIP-FAB-RPT-06077 (5.0) Manufacturing record book JPG Specific 173
- HL-JPG-IQIP-TST-RPT-00004 (16.0) Hydraulic lines test report
- HL-JPG-IQIP-TST-RPT-00003 (16.0) Commissioning test report
- HL-JPG-IQIP-TST-RPT-00005 (16.0) Preparations prior to jacket load-out test report
- HL-TNI-CDWE-ENG-MST-00010 (5.0) Method Statement Jacket Transportation and Installation
- Pile Integrity PowerPoint by Contractor's Designer </t>
  </si>
  <si>
    <t xml:space="preserve">The Contractor has encountered inconsistent performance issues with the Jacket Pile Gripper Systems (“JPGs”) on location HL30-M05.
Requirements:
- Target pressure Gripper Jack Cylinders: 230 bars - 290 bars
- Target pressure Anti-Tailing Cylinders: 70 bars - 120 bars
Location: HL30-M05
Date: 06/08/2025
Issue: HL30-M05 Leg B (ROV panel ID 173) JPG ATC pressure higher than the intended range based on the pressure gauge reading.
1. Gripping function: required target pressure has been reached on the control and ROV panel on gripping jack cylinder and anti-tailing cylinders circuit during pressurizing steps as per the operation procedure.
2. Gripper jack cylinders: pressure reading: 290 bar.
Pressure reached the target pressure during pressurizing from the control panel.
Pressure reading on the ROV panel was also 290 bars. Pressure was sustained throughout the operations.
3. Anti-tailing cylinders: peak pressure reading: 290 bar
Pressure reading on the ROV Panel of M05 – Leg B for the ATC reached 290 bars. This
pressure is above the target range for the ATC. This pressure sustained throughout the operations.
4. Levelling function was functional and worked as per procedure.
5. Gripping operations at Leg A and C were successful. </t>
  </si>
  <si>
    <t xml:space="preserve">Use As Is ( describe in Correction Verification) </t>
  </si>
  <si>
    <t xml:space="preserve">Following statement was received from the JPG supplier:
Following the gripping operations on Hai Long JKT – M05, it was observed that the ATC pressure on Leg B reached 290–300 bar, which significantly exceeds the expected pressure of approximately 100 bar.
Based on the technician’s service report and system observations, the following conclusions are drawn:
The ATC on Leg B is mechanically and hydraulically operational as intended, despite the elevated pressure.
The pressure has remained stable, with no evidence of leakage or pressure drop, indicating that the ATC remains fully extended and intact.
The increased pressure is attributed to a malfunctioning pressure reducing valve, not to any failure of the ATC system itself.
Based on the above findings, IQIP states that the indicated pressure of 290–300 does not compromise the mechanical integrity or hydraulic functionality of the ATC system itself on Leg B.
Therefore the ATC worked properly so the EAC limit for grouting is not compromised. </t>
  </si>
  <si>
    <t xml:space="preserve">Potential root causes and outcome of the investigation:
1. Failure of the pressure reduction valve: given the identical pressure readings for gripping and ATC (290 bars), a potential cause of high pressure on the ATC can be attributed to a failure of the pressure reduction valve.
2. Failure of the pressure reading gauges </t>
  </si>
  <si>
    <t xml:space="preserve">Based on the statement of the JPG supplier(CDWE-GNC-005983), the JPG system was fully functional so there is no compromise on the EAC limit.
The additional pressure of the ATC does not compromise the structural integrity of the pile as verified by Contractor's designer in the ‘pile integrity’ ppt added as attachment to this NCR. </t>
  </si>
  <si>
    <t>罐體結構或適配性不足，導致安裝困難與延誤</t>
  </si>
  <si>
    <t>中</t>
  </si>
  <si>
    <t>高</t>
  </si>
  <si>
    <t>1. 強化早期設計審查與船廠能力審核 2. 建立製造圖面符合性對表 3. 在 ITP 加入見證點</t>
  </si>
  <si>
    <t>設計單位 / 製造監造工程師</t>
  </si>
  <si>
    <t>安裝作業風險</t>
  </si>
  <si>
    <t>Daisy Chain Cable Grip 流程不清 / 現場監督不足</t>
  </si>
  <si>
    <t>IAC Loading 階段電纜固定與轉運出現錯誤</t>
  </si>
  <si>
    <t>電纜損傷或安裝效率下降，甚至停工</t>
  </si>
  <si>
    <t>1. 發佈雙語 Daisy Chain SOP 卡片 2. Loadout 前模擬演練 3. 作業前短會檢討</t>
  </si>
  <si>
    <t>Hellenic 現場主管 / Seaway7 監督</t>
  </si>
  <si>
    <t>1. 現場作業中出現異常停頓 2. 操作員詢問/誤解 SOP 3. 電纜外觀檢查出現壓痕或鬆脫</t>
  </si>
  <si>
    <t>第三方設備風險</t>
  </si>
  <si>
    <t>設備 SAT 與人員資格未經充分驗證</t>
  </si>
  <si>
    <t>Quayside Mobilisation 時設備失效或操作不當</t>
  </si>
  <si>
    <t>作業延誤或造成安全事故</t>
  </si>
  <si>
    <t>1. 設備 SAT 驗證與操作員資格對勾 2. 外部第三方設備納入 readiness review 3. 使用前例行測試</t>
  </si>
  <si>
    <t>WIND / Seaway7</t>
  </si>
  <si>
    <t>1. SAT 驗證紀錄缺漏 2. 人員證照與名單不符 3. Mobilisation 異常停機</t>
  </si>
  <si>
    <t>介面管理風險</t>
  </si>
  <si>
    <t>WIND 與 Hellenic 沟通不良，接口責任不清</t>
  </si>
  <si>
    <t>Loadout 作業介面衝突或流程延誤</t>
  </si>
  <si>
    <t>任務效率降低，可能影響工期</t>
  </si>
  <si>
    <t>避免 / 減輕</t>
  </si>
  <si>
    <t>1. 建立介面矩陣與 RACI 2. 班前協調會議 3. 作業中使用即時通訊/翻譯支持</t>
  </si>
  <si>
    <t>Seaway7 / WIND / Hellenic</t>
  </si>
  <si>
    <t>1. 班前會紀錄中出現未決責任 2. 作業流程中發生跨單位等待 3. 現場口頭爭議或停工</t>
  </si>
  <si>
    <t>Cable route 由 2 條改為 3 條的晚期決策</t>
  </si>
  <si>
    <t>動線與資源重新安排，影響碼頭效率</t>
  </si>
  <si>
    <t>Mobilisation 工期與成本增加</t>
  </si>
  <si>
    <t>1. 設定 route 凍結點與 MOC 門檻 2. 預留緩衝資源 3. 使用可視化看板即時更新動線</t>
  </si>
  <si>
    <t>Seaway7 工程計劃主管</t>
  </si>
  <si>
    <t>1. route 設計在 T-14 天仍變更 2. 碼頭動線衝突增加 3. Mobilisation 進度落後</t>
  </si>
  <si>
    <t>語言 / 溝通風險</t>
  </si>
  <si>
    <t>現場操作人員多語環境，無統一作業文件</t>
  </si>
  <si>
    <t>現場誤解 SOP，作業出錯</t>
  </si>
  <si>
    <t>作業延誤或電纜損傷</t>
  </si>
  <si>
    <t>減輕</t>
  </si>
  <si>
    <t>1. 雙語 SOP 與一頁紙作業卡 2. 每班前 10 分鐘短會 3. 提供口譯支持</t>
  </si>
  <si>
    <t>Seaway7 / WIND</t>
  </si>
  <si>
    <t>1. 作業中操作員反覆詢問 2. 現場發生 SOP 錯誤 3. 作業卡未簽到或缺失</t>
  </si>
  <si>
    <t>1. 製造廠交付延遲 
2. ITP 驗證點異常率升高
 3. 場站稽核報告有重大不符合</t>
  </si>
  <si>
    <t>Cable Transpooring / Off-load
設計疏漏 / 製造風險</t>
  </si>
  <si>
    <t>Mobilisation 延誤超過 1 週</t>
  </si>
  <si>
    <t>Cable Packers 作業受干擾</t>
  </si>
  <si>
    <t>人員上下 Tank 時不便</t>
  </si>
  <si>
    <t>電纜護層刮傷、人員跌落</t>
  </si>
  <si>
    <t>動員風險</t>
  </si>
  <si>
    <t>動員錯誤地點（土耳其 yard），導致 mobilisation 品質不良</t>
  </si>
  <si>
    <t>影響後續 IAC Loading 時程</t>
  </si>
  <si>
    <t>動員前進行 yard due diligence，確保在原定希臘 yard 完成</t>
  </si>
  <si>
    <t>Dship PM / Mobilisation Manager</t>
  </si>
  <si>
    <t>Mobilisation 報告延誤、yard 驗收不合格</t>
  </si>
  <si>
    <t>安裝風險</t>
  </si>
  <si>
    <t>木板與綁帶在強風下移動</t>
  </si>
  <si>
    <t>電纜堆疊不穩，人員安全風險</t>
  </si>
  <si>
    <t>安裝強固固定系統，Cable Packing 隨高度逐步安裝</t>
  </si>
  <si>
    <t>Fabrication Supervisor</t>
  </si>
  <si>
    <t>Cable packing 過程出現移動/滑落事件</t>
  </si>
  <si>
    <t>設計疏漏</t>
  </si>
  <si>
    <t>Tank Access 平台與梯子設計不合理</t>
  </si>
  <si>
    <t>增加跌落風險，導致人員傷害</t>
  </si>
  <si>
    <t>避免</t>
  </si>
  <si>
    <t>採分段/錯位梯子與平台，並加裝防護欄</t>
  </si>
  <si>
    <t>Fabrication HSE / Design Eng.</t>
  </si>
  <si>
    <t>現場 HSE 報告中出現未防護梯/平台</t>
  </si>
  <si>
    <t>Cargo Netting 僅從 2m 開始，未全周覆蓋</t>
  </si>
  <si>
    <t>Packing Crew 有跌落風險</t>
  </si>
  <si>
    <t>人員受傷、停工</t>
  </si>
  <si>
    <t>Cargo Netting 應自地面全周安裝</t>
  </si>
  <si>
    <t>現場檢查未安裝全周網架</t>
  </si>
  <si>
    <t>設計變更</t>
  </si>
  <si>
    <t>Tank 直徑改變 (13.2m → 13.0m)</t>
  </si>
  <si>
    <t>額外受力保持 MBR</t>
  </si>
  <si>
    <t>電纜受力過大、提前老化</t>
  </si>
  <si>
    <t>透過 MOC 管理：加裝 timber beam 與泡棉支撐</t>
  </si>
  <si>
    <t>Dship / Seaway7 Eng.</t>
  </si>
  <si>
    <t>Cable inspection 顯示彎曲半徑不符設計</t>
  </si>
  <si>
    <t>設計風險</t>
  </si>
  <si>
    <t>Ingress/egress 存在鋒利邊角</t>
  </si>
  <si>
    <t>Post loadout 測試困難</t>
  </si>
  <si>
    <t>提前設計審查，安裝保護層與防墜裝備</t>
  </si>
  <si>
    <t>Tank Designer / HSE</t>
  </si>
  <si>
    <t>巡檢出現電纜護層刮傷或人員險兆</t>
  </si>
  <si>
    <t>溝通風險</t>
  </si>
  <si>
    <t>Quayside 人員英文能力不足</t>
  </si>
  <si>
    <t>無線電溝通錯誤</t>
  </si>
  <si>
    <t>裝船效率低、停工</t>
  </si>
  <si>
    <t>配置雙語 SOP、翻譯支持、培訓</t>
  </si>
  <si>
    <t>WIND Supervisor</t>
  </si>
  <si>
    <t>現場通訊紀錄出現誤解或停工</t>
  </si>
  <si>
    <t>介面風險</t>
  </si>
  <si>
    <t>Hellenic Supervisor 不在場</t>
  </si>
  <si>
    <t>協調延誤</t>
  </si>
  <si>
    <t>進度受阻</t>
  </si>
  <si>
    <t>Supervisor 全程在場，固定 interface</t>
  </si>
  <si>
    <t>Seaway7 / Hellenic</t>
  </si>
  <si>
    <t>現場缺席或跨單位等待事件</t>
  </si>
  <si>
    <t>Daisy Chain Cable Grip 打滑</t>
  </si>
  <si>
    <t>單次延誤 ~1.5 小時</t>
  </si>
  <si>
    <t>電纜損傷、進度落後</t>
  </si>
  <si>
    <t>制定 SOP，專責檢查張力</t>
  </si>
  <si>
    <t>Hellenic Site Lead</t>
  </si>
  <si>
    <t>Cable inspection 出現 grip 壓痕</t>
  </si>
  <si>
    <t>操作風險</t>
  </si>
  <si>
    <t>Cable transfer speed 調升過快</t>
  </si>
  <si>
    <t>NCR、停工、rework</t>
  </si>
  <si>
    <t>限速 ≤ 規範，BCE operator 實時監控</t>
  </si>
  <si>
    <t>WIND BCE Operator</t>
  </si>
  <si>
    <t>Transfer log 顯示超速，出現護層損傷</t>
  </si>
  <si>
    <t>設備風險</t>
  </si>
  <si>
    <t>設備臨時失效</t>
  </si>
  <si>
    <t>停機</t>
  </si>
  <si>
    <t>進度延誤</t>
  </si>
  <si>
    <t>低</t>
  </si>
  <si>
    <t>預防性維護、備用設備</t>
  </si>
  <si>
    <t>WIND Maint. Team</t>
  </si>
  <si>
    <t>設備日誌有突發故障</t>
  </si>
  <si>
    <t>人力風險</t>
  </si>
  <si>
    <t>Easter 假期人手不足</t>
  </si>
  <si>
    <t>作業延遲</t>
  </si>
  <si>
    <t>效率下降</t>
  </si>
  <si>
    <t>假期人力替代計畫、MOC</t>
  </si>
  <si>
    <t>Hellenic / WIND</t>
  </si>
  <si>
    <t>Mobilisation 排程與假期衝突</t>
  </si>
  <si>
    <t>Forklift 維護不足，gear 故障</t>
  </si>
  <si>
    <t>Forklift 3 小時內停機</t>
  </si>
  <si>
    <t>動員延誤半天</t>
  </si>
  <si>
    <t>Forklift SAT、租用備用車</t>
  </si>
  <si>
    <t>Forklift 檢測報告異常</t>
  </si>
  <si>
    <t>人員資格風險</t>
  </si>
  <si>
    <t>WIND 操作員資格不符希臘法規</t>
  </si>
  <si>
    <t>無法操作 Forklift</t>
  </si>
  <si>
    <t>臨時換人，效率下降</t>
  </si>
  <si>
    <t>預先驗證資格，或使用希臘合格操作員</t>
  </si>
  <si>
    <t>操作員名單缺少認證</t>
  </si>
  <si>
    <t>設計變更風險</t>
  </si>
  <si>
    <t>Cable route 由 3 改 2，決策過晚</t>
  </si>
  <si>
    <t>動線受限</t>
  </si>
  <si>
    <t>調度混亂、進度落後</t>
  </si>
  <si>
    <t>route 凍結點，MOC 流程</t>
  </si>
  <si>
    <t>Seaway7 Planner</t>
  </si>
  <si>
    <t>Mobilisation 前 route 仍變更</t>
  </si>
  <si>
    <t>Hellenic Dancer 位置過近</t>
  </si>
  <si>
    <t>BCE slot-in 困難</t>
  </si>
  <si>
    <t>作業延誤數日</t>
  </si>
  <si>
    <t>Mobilisation 前 layout review，調整位置</t>
  </si>
  <si>
    <t>Mobilisation 模擬出現干涉</t>
  </si>
  <si>
    <t>未進行 readiness review</t>
  </si>
  <si>
    <t>設備失效、人員不合格</t>
  </si>
  <si>
    <t>停工、延誤</t>
  </si>
  <si>
    <t>Readiness Review (SAT+人員清單)</t>
  </si>
  <si>
    <t>Review 報告缺失，SAT 未完成</t>
  </si>
  <si>
    <t>電纜磨傷 (burn damage)</t>
  </si>
  <si>
    <t>Bellmouth 螺帽螺紋瑕疵，且現場人員未經供應商授權自行 rework</t>
  </si>
  <si>
    <t>無法正確鎖付螺帽，臨時 reworked 零件被用於安裝</t>
  </si>
  <si>
    <t>• 結構件可能鬆脫，影響纜線固定與安全• 缺乏 IQC 記錄，責任追溯困難• 替換件交付延遲，影響工期</t>
  </si>
  <si>
    <t>1. 建立螺帽/螺栓 IQC 檢查清單，含螺紋與 torque 測試2. 禁止未經授權 rework，若有 rework 需求須供應商批准3. 臨時零件上紅色標記，限制使用範圍與時間4. 建立備件安全庫存，避免假期交付延遲5. 將 IQC 與 Handover checklist 納入合約義務</t>
  </si>
  <si>
    <t>QMT / 現場工程師 / 供應商 QA</t>
  </si>
  <si>
    <t>1. IQC 檢驗報告缺失或未覆蓋螺紋檢測2. 安裝過程 torque 檢測未達規範3. 臨時 reworked 螺帽仍在使用4. 備件交付延遲超過計劃里程碑</t>
  </si>
  <si>
    <t>Auditor</t>
  </si>
  <si>
    <t>Feb</t>
  </si>
  <si>
    <t>Mar</t>
  </si>
  <si>
    <t>Apr</t>
  </si>
  <si>
    <t>Jun</t>
  </si>
  <si>
    <t>JUL</t>
  </si>
  <si>
    <t>AUG</t>
  </si>
  <si>
    <t>SEP</t>
  </si>
  <si>
    <t>OCT</t>
  </si>
  <si>
    <t>NOV</t>
  </si>
  <si>
    <t>DEC</t>
  </si>
  <si>
    <t>JAN</t>
  </si>
  <si>
    <t>FEB</t>
  </si>
  <si>
    <t>MAR</t>
  </si>
  <si>
    <t>APR</t>
  </si>
  <si>
    <t>MAY</t>
  </si>
  <si>
    <t>JUN</t>
  </si>
  <si>
    <t>Additional Comments</t>
  </si>
  <si>
    <t>EPC Level</t>
  </si>
  <si>
    <t>CRP - Corporate Dept Quality Systems Audit</t>
  </si>
  <si>
    <t>Process Assurance and Controls</t>
  </si>
  <si>
    <t>PMO - Project Management Office Quality Systems Audit</t>
  </si>
  <si>
    <t>HLINTAUD-0002 - Postponed from Apr 2022 to Nov 2022 to increase value potential of audit</t>
  </si>
  <si>
    <t>Quality Systems &amp; Readiness</t>
  </si>
  <si>
    <t>Commercial incl, PRT - Procurement Quality Systems Audit</t>
  </si>
  <si>
    <t>HLEXTAUD-0011</t>
  </si>
  <si>
    <t>Quality Systems</t>
  </si>
  <si>
    <t>HSE - Health, Safety &amp; Environment Quality Systems Audit</t>
  </si>
  <si>
    <t>HL-DEV-EMPL-HSS-RPT-00055</t>
  </si>
  <si>
    <t>REG – Regulatory and Due Diligence Quality Systems Audit</t>
  </si>
  <si>
    <t>HLINTAUD-0004</t>
  </si>
  <si>
    <t>LESA Audit - 32192-DDI-RE-2062</t>
  </si>
  <si>
    <t>LESA Audit - 32192-DDI-RE-2264</t>
  </si>
  <si>
    <t>LESA Audit - 32192-DDI-RE-2061</t>
  </si>
  <si>
    <t>LESA Audit - 32192-DDI-RE-2662</t>
  </si>
  <si>
    <t>LESA Audit - 32192-DDI-RE-2773</t>
  </si>
  <si>
    <t>Engineering &amp; Interfaces Quality Systems Audit</t>
  </si>
  <si>
    <t>HLINTAUD-0001</t>
  </si>
  <si>
    <t>HL-DEV-EMPL-QMT-RPT-00004 - Quality Systems &amp; Readiness</t>
  </si>
  <si>
    <t>BoP
- WTG FOU
- IAC
- EXC
- WTG T&amp;I
- OSS T&amp;I
- FOU T&amp;I
- CAB T&amp;I</t>
  </si>
  <si>
    <t>WTG FOU Internal Quality Systems Audit</t>
  </si>
  <si>
    <t>HLINTAUD-0005</t>
  </si>
  <si>
    <t>LOC WTG FOU External Quality Systems Audit (SITE)</t>
  </si>
  <si>
    <t>CWP (JKT's) / CSBC (Pin Piles)
Apex = HLEXTAUD002
ECA Audits = HLEXTAUD-0005
CWP = HLEXTAUD-009</t>
  </si>
  <si>
    <t>HL-BOP-CDWE-PRT-RPT-00010 - CWP Fabrication Capability Assessment by CDWE
HL-BOP-CDWE-PRT-RPT-00009 - CSBC Fabrication Capability Assessment by CDWE</t>
  </si>
  <si>
    <t>HL-DEV-EMPL-QMT-RPT-00004 - Additional Audit HLEXTAUD002 - Apex (CSBC S/C)</t>
  </si>
  <si>
    <t>ECA Readiness Review Assessment</t>
  </si>
  <si>
    <t>K2M Audit - CSBC Ref: 32192-DDI-RE-2057
K2M Audit - CWP Ref: 32192-DDI-RE-2072</t>
  </si>
  <si>
    <t>HLEXTAUD-009 - CWP</t>
  </si>
  <si>
    <t>Electrical Installation &amp; Commissioning Readiness</t>
  </si>
  <si>
    <t>INT WTG FOU External Quality Systems Audit (SITE)</t>
  </si>
  <si>
    <t>Samkang (JKT's) / EEW (Pin Piles)</t>
  </si>
  <si>
    <t>HL-BOP-DNVGL-PRT-RPT-00002 - Samkang Independent Technical Assessment by DNV</t>
  </si>
  <si>
    <t>HL-BOP-CDWE-PRT-RPT-00015 - SamKang Fabrication Capability Assessment by CDWE</t>
  </si>
  <si>
    <t>Initial Fab QC (SKOP)</t>
  </si>
  <si>
    <t>K2M Audit - EEW Ref: 32192-DDI-RE-2068</t>
  </si>
  <si>
    <t>K2M Audit - SKOP Ref: 32192-DDI-RE-2103
TYLIN (PE CERT) Audit - SKOP Ref: PRC-00004 &amp; PRC-00005</t>
  </si>
  <si>
    <t>E&amp;I QC (SKOP)</t>
  </si>
  <si>
    <t>IAC Internal Quality Systems Audit</t>
  </si>
  <si>
    <t>IAC External Quality Systems Audit (SITE)</t>
  </si>
  <si>
    <t>HLEXTAUD-0004</t>
  </si>
  <si>
    <t>Fab QC</t>
  </si>
  <si>
    <t>EXC Internal Quality Systems Audit</t>
  </si>
  <si>
    <t>EXC External Quality Systems Audit (SITE)</t>
  </si>
  <si>
    <t>HLEXTAUD-0008</t>
  </si>
  <si>
    <t>Fab QC &amp; Installation Readiness</t>
  </si>
  <si>
    <t>WTG T&amp;I Internal Quality Systems Audit</t>
  </si>
  <si>
    <t>WTG T&amp;I External Quality Systems Audit (SITE)</t>
  </si>
  <si>
    <t>HLEXTAUD-0010</t>
  </si>
  <si>
    <t>Installation Readiness</t>
  </si>
  <si>
    <t>OSS T&amp;I Internal Quality Systems Audit</t>
  </si>
  <si>
    <t>OSS T&amp;I External Quality Systems Audit (SITE)</t>
  </si>
  <si>
    <t>Quality Systems = HLEXTAUD-0010</t>
  </si>
  <si>
    <t>FOU T&amp;I Internal Quality Systems Audit</t>
  </si>
  <si>
    <t>FOU T&amp;I External Quality Systems Audit (SITE)</t>
  </si>
  <si>
    <t>CAB T&amp;I Internal Quality Systems Audit</t>
  </si>
  <si>
    <t>CAB T&amp;I External Quality Systems Audit (SITE)</t>
  </si>
  <si>
    <t>WTG Internal Quality Systems Audit</t>
  </si>
  <si>
    <t>Quality Systems &amp; Installation Readiness</t>
  </si>
  <si>
    <t>WTG External Quality Systems Audit (SITE)</t>
  </si>
  <si>
    <t>RNA / Tower / Blades Fab QC</t>
  </si>
  <si>
    <t>Pre-Assy Readiness</t>
  </si>
  <si>
    <t>Installation readiness</t>
  </si>
  <si>
    <t>OSS</t>
  </si>
  <si>
    <t>OSS Internal Quality Systems Audit</t>
  </si>
  <si>
    <t>OSS External Quality Systems Audit (SITE)</t>
  </si>
  <si>
    <t>SMPTSC (Topside &amp; FOU) - HLEXTAUD-0003 - Postponed due to COVID illness during planned arrangement in Mar 2022 - Postponed to Nov 2022 = HL-DEV-EMPL-QMT-RPT-00005 - HLEXTAUD-0003 Part 1 &amp; 2</t>
  </si>
  <si>
    <t>HL-DEV-EMPL-LEG-CON-00196 - Technical and Systems Assessment by DNV</t>
  </si>
  <si>
    <t>PM Planning, Controls &amp; Readiness = HL-DEV-EMPL-QMT-RPT-00005 - HLEXT0003 - Part 1</t>
  </si>
  <si>
    <t>Quality Systems &amp; Readiness = HL-DEV-EMPL-QMT-RPT-00005 - HLEXT0003 - Part 2</t>
  </si>
  <si>
    <t>Fab QC &amp; Component Installation Readiness</t>
  </si>
  <si>
    <t>K2M Audit - Ref: 32192-DDI-RE-2083</t>
  </si>
  <si>
    <t>ONSS</t>
  </si>
  <si>
    <t>ONSS Internal Quality Systems Audit</t>
  </si>
  <si>
    <t>Planned</t>
  </si>
  <si>
    <t>Handover Readiness Audit</t>
  </si>
  <si>
    <t>ONSS External Quality Systems Audit (SITE)</t>
  </si>
  <si>
    <t>HLEXTAUD-0007 &amp; HLEXTAUD-0013</t>
  </si>
  <si>
    <t>Construction Readiness Audit</t>
  </si>
  <si>
    <t>Initial Construction Audit</t>
  </si>
  <si>
    <t>HLEXTAUD-0007</t>
  </si>
  <si>
    <t>Installation Readiness Audit</t>
  </si>
  <si>
    <t>HLEXTAUD-00009</t>
  </si>
  <si>
    <t>K2M Audit - Ref: 32192-DDI-RE2059</t>
  </si>
  <si>
    <t>Takeover Readiness Audit</t>
  </si>
  <si>
    <t>HLEXTAUD-0013</t>
  </si>
  <si>
    <t>Total Complete</t>
  </si>
  <si>
    <t>% Complete</t>
  </si>
  <si>
    <t>Cumulative %</t>
  </si>
  <si>
    <t>Package_Contractor</t>
  </si>
  <si>
    <t>Internal / External</t>
  </si>
  <si>
    <t>Risk Categories</t>
  </si>
  <si>
    <t>Issue / Finding</t>
  </si>
  <si>
    <t>Report Nr. (Including Aconex Link)</t>
  </si>
  <si>
    <t>Audit Date</t>
  </si>
  <si>
    <t>Aconex 
Mail Nr. for close-out</t>
  </si>
  <si>
    <t>Action Owner</t>
  </si>
  <si>
    <t>Raiser</t>
  </si>
  <si>
    <t>Engineering - Developer</t>
  </si>
  <si>
    <t>Internal</t>
  </si>
  <si>
    <t>NCR01</t>
  </si>
  <si>
    <t xml:space="preserve">Minor Non-Conformance – During the audit we reviewed the Comments Sheet HL-DEV-EMPL-ENG-RPT-00014-CMS. It was observed that the CMS looked to be incomplete with various Statuses still showing ‘Open’. On further assessment it could be seen that the status of each of the line items / actions was actually closed as the responses made reference was made to the CMS in the revision log of the Report in 4.0 / 5.0 and 6.0. This is a direct non-conformance against the requirements of Procedure Number HL-DEVEMPL-PMT-PRC-00003 (1.0) External Document Review and Communication Process via Aconex Section 7.4.4. </t>
  </si>
  <si>
    <t>HLINTAUD-0001
HL-DEV-EMPL-QMT-RPT-00004</t>
  </si>
  <si>
    <t>N/A - Internal</t>
  </si>
  <si>
    <t>CMS updated and the External Document Review Procedure now better understood by the team - JGR</t>
  </si>
  <si>
    <t>J Green</t>
  </si>
  <si>
    <t>NCR02</t>
  </si>
  <si>
    <t>Minor Non-Conformance – During the audit we reviewed the Comments Sheet HL-DEV-INKT-ENG-RPT-00002-CMS-MM. It was observed that the CMS showed an incorrect document number of -00001 instead of -00002 which makes it difficult for a third party reader to be sure that this CMS links directly to the - 00002 report for Verification and Validation. It was also noticed that there were some comments that did not show the closure comment and still showed as Open Status. This is a direct non-conformance against the requirements of Procedure Number HL-DEVEMPL-PMT-PRC-00003 (1.0) External Document Review and Communication Process via Aconex Section 7.4.4</t>
  </si>
  <si>
    <t>OBS01</t>
  </si>
  <si>
    <t xml:space="preserve">Observation – It was noticed during the audit that all the key Engineering documentation was not referenced within the Engineering Management Plan. </t>
  </si>
  <si>
    <t>30/03/2022</t>
  </si>
  <si>
    <t>Revision 2.0 of the Engineeering Management Plan created with improved referencing - JGR</t>
  </si>
  <si>
    <t>OBS02</t>
  </si>
  <si>
    <t xml:space="preserve">Observation – It was noticed during the audit that there is no distribution list on the docs or visible within the current documentation system for managing key 
distributions if there are up issues. This is managed by the individuals at the time of 
completing the document or revision changes and distributed by email or transmittals. </t>
  </si>
  <si>
    <t>15/04/2022</t>
  </si>
  <si>
    <t>Updated into latest distribution of the PQMS - JGR</t>
  </si>
  <si>
    <t>OBS03</t>
  </si>
  <si>
    <t xml:space="preserve">Observation – During the audit it was observed that the report shows only external 
persons on Review and Approval of both the Report and the CMS meaning that there is no evidence available of the HL due diligence review. </t>
  </si>
  <si>
    <t>No additional action taken but team understand to ensure evidence of internal due diligence reviews for future documentation submittals from Contractors - JGR</t>
  </si>
  <si>
    <t>OBS04</t>
  </si>
  <si>
    <t xml:space="preserve">Observation – During the audit it was observed that the PC Scheme did not have a 
control sheet and was not in accordance with the HL document Templates. </t>
  </si>
  <si>
    <t>OBS05</t>
  </si>
  <si>
    <t xml:space="preserve">Observation – During the audit it was discussed that this wording in the Quality 
Management Plan is not correct for this phase and it should be amended to Review and 
acceptance of specification by Engineering Department (Not Package Managers) </t>
  </si>
  <si>
    <t>14/06/2022</t>
  </si>
  <si>
    <t>Updated in Rev 2.0 of the PQMP - JGR</t>
  </si>
  <si>
    <t>OBS06</t>
  </si>
  <si>
    <t>Observation – During the audit it was discussed that HL do not use the term IVB (Independent Verification Board) and this should be amended to CP (Certification Party) 
throughout the Quality Management Plan</t>
  </si>
  <si>
    <t>14/08/2024</t>
  </si>
  <si>
    <t>Updated in Rev 3.0 of the PQMP - JGR</t>
  </si>
  <si>
    <t>FOU - Apex (CSBC Subcontractor)</t>
  </si>
  <si>
    <t>External</t>
  </si>
  <si>
    <t>OB01</t>
  </si>
  <si>
    <t>Observation - Currently it is unknown how the System certification will be managed 
for the Grand Assy by Apex at the CSBC site.</t>
  </si>
  <si>
    <t>HLEXTAUD-0002
HL-DEV-EMPL-QMT-RPT-00006</t>
  </si>
  <si>
    <t>25/5/2022</t>
  </si>
  <si>
    <t>28/06/2022</t>
  </si>
  <si>
    <t>Closed following being sent to CSBC for follow up - HL have not followed these Observations for closure as HL do not have a direct Contract and communications with the Subcontractor - JGR</t>
  </si>
  <si>
    <t>OB02</t>
  </si>
  <si>
    <t>Observation – It was observed during the audit that there could be improvement in 
the transparency of recording lower level HSE issues, such as; Medical treatment cases, first aid cases and near misses etc. The statistics collected showed as zero, which is considered as unusual in the type of work environment in Apex. It was observed that there were some recorded at shop floor level but these are not being recorded transparently into the management statistics. It is important to be transparent and honest with this data and to analyse and review how these issues can be mitigated to avoid any more serious types of incidents. E.g. Managing the minor lower level issues has a direct impact on reducing the potential of major higher level issues relating to Health and Safety.</t>
  </si>
  <si>
    <t>OB03</t>
  </si>
  <si>
    <t xml:space="preserve">Observation – It was observed during the factory walkdown that there was a grinder 
without the 2nd handle for ensuring a safe control of the grinding process. </t>
  </si>
  <si>
    <t>OB04</t>
  </si>
  <si>
    <t>Observation – It was observed during the audit that the APEX planned schedule: start 
fabrication at the beginning of March 2023. However, CSBC steel delivery only happens
on 11/05/2023. Therefore, there is a significant misalignment between CSBC and APEX scheduling.</t>
  </si>
  <si>
    <t>OB05</t>
  </si>
  <si>
    <t>Observation – It was observed during the audit that there was no risk assessment 
available for the Grand Assy works and the general set up being implemented for this 
scope of works.</t>
  </si>
  <si>
    <t>OSS - SMPTSC</t>
  </si>
  <si>
    <t>High Risk Non Conformance 01 – It was observed during the audit that the Temperature and Humidity recordings were not in accordance with the Weld Material Controls Procedure – Ref: CPP03-DSMI. It was found that the Temperature recordings were regularly at 32 degrees C and that the recorded RH (Relative Humidity) was 65% on 06/10/2022 (taken at approx. 07:30 each morning). Note: on the Calibrated Humidity Recorder it was showing 78% RH.
The Weld Material Controls Procedure – CPP03-DSMI stated that to be in control, when the Temp is at 32 degrees C then the max RH should be 37%. Meaning that the recordings 
are approximately double in comparison to the procedural controls. Therefore it was observed that recordings are taken daily but they are not checked against the procedure for acceptance. It was discussed that the Temp reading is taken from the calibrated Temp and Humidity Recorder – Serial No: MC-08-3-414 which is calibrated until 08/12/2023 (Note: see next section for calibration results). The RH reading is taken from the Industrial Dehumidifier HD-504B – Serial No: MC-12-14-386 which is also on the calibration list. 
During the audit it was observed that the Industrial Dehumidifier showed an RH reading of 50%. At the time of the audit it did subjectively feel very humid in the storage location but the Industrial Dehumidifier was not active.  As Weld Materials play a vitally critical role in the structural welds throughout the fabrication process this finding is considered to have a high probability for Major Risk and therefore raised as a High Risk Non_x0002_Conformance on that basis. It is however believed to be relatively easy to fix to bring back into control in advance of the HL project consumable materials being placed in 
the main consumable storage.</t>
  </si>
  <si>
    <t>HL-EXTAUD-0003
HL-DEV-EMPL-QMT-RPT-00005</t>
  </si>
  <si>
    <t>EMPL-GNC-000769</t>
  </si>
  <si>
    <t>23/05/2023</t>
  </si>
  <si>
    <t>Evidence Provided of closure in the SMPTSC-NCR-000001 with all evidence provided and closed out in May 2023 - JGR</t>
  </si>
  <si>
    <t>Observation 01 – It was found during the audit that the PTSC MDR does not clearly show a Doc No and / or a Revision Control and therefore it was not clear if this was document 
controlled and or the latest version being used. This can be a potential risk to an important top level document for the control of submitted documents.</t>
  </si>
  <si>
    <t>Evidence provided in SMPTSC-GNC-000807 of doc control / revision control of the MDR - JGR</t>
  </si>
  <si>
    <t xml:space="preserve">Observation 02 – It was found during the audit that the first page of the Interface Register on SharePoint was showing some behind schedule interfaces on the Discipline Owners ISC (Design). This gives potential associated risks to the project deliverables and should be checked to ensure the data is continuously up to date to remove any potential associated risks and delay potentials as a result. We did not identify during the audit what the reason was for the out of date actions. </t>
  </si>
  <si>
    <t>Observation 03 – It was observed during the audit that the Project Quality Plan, discussed the MITP as a deliverable but it did not make reference to it. It did however make reference to the ITP’s.</t>
  </si>
  <si>
    <t>MITP sreferenced in Section 13.1 of Revision 7.0 of the SMPTSC Quality Plan - HL-OSS-SMPTSC-PMT-PLN-00005 - JGR</t>
  </si>
  <si>
    <t xml:space="preserve">Observation 04 – Whilst presenting the ITP for Structure Fabrication (ITP_x0002_39301) it was observed that the version being shown (rev 2.0) showed an incorrect document number of ‘39501’ applied instead of ‘39301’ which is referenced in both the PQP (PLN-00005 – Rev 5.0) and the latest version of the MITP. </t>
  </si>
  <si>
    <t>14/10/2022</t>
  </si>
  <si>
    <t>Corrected on submittal : SMPTSC-WTR-001360 received 14/10/2022 - JGR</t>
  </si>
  <si>
    <t>FOU - CWP</t>
  </si>
  <si>
    <t xml:space="preserve">Observation – It was observed during the audit that it was unclear if Handling, Storage and  Preservation of fabrication items is covered in the MDR as a deliverable document. </t>
  </si>
  <si>
    <t>HL-EXTAUD-0005
HL-DEV-EMPL-QMT-RPT-00009</t>
  </si>
  <si>
    <t>21/11/2022</t>
  </si>
  <si>
    <t>25/02/2023</t>
  </si>
  <si>
    <t>Later delivered for all subcontractors throughout 2023 - JGR</t>
  </si>
  <si>
    <t xml:space="preserve">Observation – It was observed during the audit that it was a little difficult to fully see the 
visibility on when an action needs to be completed. Observation is that Column H are 
all shown to be well overdue and Column K shows to be slightly overdue. </t>
  </si>
  <si>
    <t>25/2/2023</t>
  </si>
  <si>
    <t>FOU - EEW</t>
  </si>
  <si>
    <t xml:space="preserve">Observation – When looking a little deeper into how Kakao talk is embedded into the 
processes, procedures and systems it was observed that this is a reasonably new tool / 
approach being used by EEW. As a result it could not be seen to be documented as a 
communication method within any documentation for the project or organisation. </t>
  </si>
  <si>
    <t>HL-EXTAUD-0005
HL-DEV-EMPL-QMT-RPT-00010</t>
  </si>
  <si>
    <t>25/11/2022</t>
  </si>
  <si>
    <t>EMPL-GNC-001449</t>
  </si>
  <si>
    <t>20/01/2023</t>
  </si>
  <si>
    <t xml:space="preserve">Observation – When looking a little deeper into how the HSE Reward Scheme is embedded into the processes, procedures and systems, it was observed that this is a reasonably new tool / approach being used by EEW. As a result it could not be seen to be documented within any documentation for the project or organisation. </t>
  </si>
  <si>
    <t xml:space="preserve">Observation – During the audit when looking into an ECA subject to see how it has been 
embedded into EEW’s Processes, Procedures and / or Systems it was found x3 times that subjects were not fully embedded and / or described into the HSE Management Plan. </t>
  </si>
  <si>
    <t>Observation –During the audit the auditor was provided with a copy of the ECA Activity Tracker– EEW – Doc Ref: HL-FOU-EMPL-CIN-CON-00026 (5.0) Dated 18/08/2022. This document was a PDF format document and showed that all ECA items were closed apart from x1 (Item ID 2.1). However, it could be seen in the summary box ‘Action Statistics’ in the Top Right Hand corner that there were x19 items ‘Open’ and x3 items ‘Overdue’ that were not shown on the document. On questioning this with EEW and the Hai Long Project Manager, the auditor was sent the latest version of the document in excel format. However, the Excel format was a different document reference number – Doc Ref: HL-BOP-CDWE-CIN-CON-00024-012.01 (4.0).</t>
  </si>
  <si>
    <t>FOU - Samkang</t>
  </si>
  <si>
    <t>Minor Non-Conformance - During the audit it was noticed that there was a Minor Non-Conformance against the ‘External Document Review and Communication Process Via Aconex’ – Doc Reference: HL-DEV-EMPL_x0002_PMT-PRC-00003 (2.0). It was observed that the Logistics Method Statement was still in the review process under WF-002659 and that 
the document showed as a Code 3 –Revise &amp; Resubmit. However, all of the individual comments showed only as Minor (No Major Comments)and taking a look at the Hai Long 
Internal Workflow all the reviewers responses showed either ‘Approved’ or ‘Approved with Comments’ and therefore this document should have been finalised with a response to the Contractor as Code 2 – Approved with Comments. This is important to ensure that progress of documents, processes and procedures surrounding the operational activities and Method Statements can be progressed at the very earliest possible stages</t>
  </si>
  <si>
    <t>HL-EXTAUD-0005
HL-DEV-EMPL-QMT-RPT-00011</t>
  </si>
  <si>
    <t>30/11/2022</t>
  </si>
  <si>
    <t>26/03/2024</t>
  </si>
  <si>
    <t>Preventive Action = Doc control training provided to the FOU Team – Regular training provided by the DC team to ensure all parties know the key factors for doc review and comment process of internal and external documentation</t>
  </si>
  <si>
    <t xml:space="preserve">Observation - When looking at the Permit to Work Management Plan during the audit, it was observed that the reference provided was for SAMKANG-PCE-26 (Not -PEC-26). On 
questioning this and getting back to the original document in Samkang it was confirmed that the PTW Process is SAMKANG-PCE-26 and internally it is at Rev 15. </t>
  </si>
  <si>
    <t>Samkang-GNC-000194</t>
  </si>
  <si>
    <t>13/01/2023</t>
  </si>
  <si>
    <t>HSE management plan (HL-BOP-Samkang-HSS-PLN-00003) updated with information of HSE documentation including Permit Management Plan (HL-FOU-Samkang-PMT-PLN-00001) and submitted on 4 of Jan via WF-003747.</t>
  </si>
  <si>
    <t xml:space="preserve">Observation - When looking at the ECA Activity Tracker it was observed that there is no reference made to the documents that are controlling and governing the activity. </t>
  </si>
  <si>
    <t>Document Numbers added into ECA Tracker and submitted on 10 of Jan. via WF-003850.</t>
  </si>
  <si>
    <t xml:space="preserve">Observation - During the audit it was observed that the SIMOPS process is not embedded into the Samkang Management Systems with a described procedure for SIMOPS. </t>
  </si>
  <si>
    <t>SIMOPS Process is added into HSE Management Plan (HL-BOP-Samkang-HSS-PLN-00003, section 13) and Permit management Plan(HL-FOU-Samkang-PMT-PLN-00001, section 6) and submitted on 4 of Jan. via WF-003747.</t>
  </si>
  <si>
    <t xml:space="preserve">Observation - During the audit it was noticed that the Doc Reference HL_x0002_FOU-EMPL-FAB-SCH-00001 (2.0) is an Employer document showing ‘Internal’, however Hai Long do not 
have control of this document and it would always be submitted by the Contractor and not by the Employer. </t>
  </si>
  <si>
    <t>Noted. List of Key Subcontractors &amp; Suppliers (HL-BOP-Samkang-PRT-LST-00001) will be updated and submitted once PQ approved.</t>
  </si>
  <si>
    <t>FOU - CSBC</t>
  </si>
  <si>
    <t>Observation - A pre mock-up has been fabricated at CSBC, however, it is not considered as representative of the HL design, such as thickness of material / shear key radius / using the same WPS as required for the Hai Long Project Product. Hai Long Have not been provided with the information relating to the mock up to be able to verify and validate that the attributes of the mock up are a representative alternative for this to be considered as an acceptable mock up in line with the contractualrequirements.</t>
  </si>
  <si>
    <t>HL-EXTAUD-0005
HL-DEV-EMPL-QMT-RPT-00013</t>
  </si>
  <si>
    <t>Another mock up was made that was representative of the project specification during 2023.  Therefore this Observation can be considered as closed</t>
  </si>
  <si>
    <t>ONS - TECO</t>
  </si>
  <si>
    <t xml:space="preserve">Medium Risk NCR - It was observed during the audit that Event No B7 in HL-ONS_x0002_TECO-TNI-PLN-00050 for HDD showed a drilling depth tolerance of &lt;2% of the drilling depth. Unfortunately, it was not possible to verify this within the records created. The checklist Ref: ITP-HD-01-008 stated refer to attachment which held A Line recorded results. However, the % of drill depth was not present in the results. Note: The ITP showed this as a Visual Acceptance Inspection Method. </t>
  </si>
  <si>
    <t>HL-EXTAUD-0007
HL-DEV-EMPL-QMT-RPT-00014</t>
  </si>
  <si>
    <t>30/5/2023</t>
  </si>
  <si>
    <t>TECO-GNC-000664</t>
  </si>
  <si>
    <t>29/06/2023</t>
  </si>
  <si>
    <t>Evidence provided in TECO-GNC-000664 and referenced as closed in Rev 2.0 of HL-DEV-EMPL-QMT-RPT-00014 - JGR</t>
  </si>
  <si>
    <t xml:space="preserve">Observation - It was observed during the audit that the ITP section of the Quality Plan referred to Attachment 8 which mentions a draft MITP (Master Inspection and Test Plan). This document was never fully defined and has become obsolete / N/A (shown only as a draft version in the Quality Plan. </t>
  </si>
  <si>
    <t>Evidence provided to close OBS01 on 29/06/2023 through TECO-GNC-000664</t>
  </si>
  <si>
    <t xml:space="preserve">Observation - It was observed during the audit that the NCR Register for TECO (HL 
Specific) has no Document Number, Revision Control or even a date as an identifier. </t>
  </si>
  <si>
    <t>TECO-GNC-000739</t>
  </si>
  <si>
    <t>23/08/2023</t>
  </si>
  <si>
    <t>Evidence provided to close on 23/08/2023 on TECO-GNC-000739</t>
  </si>
  <si>
    <t xml:space="preserve">Observation – The ITP HL-ONS-TECO-TNI_x0002_PLN-00013 at Event No B1 describes the Test Method for the Slump Test with a tolerance of 10mm +/- 40mm. It was observed during the audit that the measuring method being used was not conducted in the same way as described and was in fact being conducted in reverse with a 30cm ruler and measuring 
downwards from the top of the ruler (30cm) down to the top of the slump. The ITP describes a measurement from the bottom of the Slump (Zero) to the top of the Slump. Many records were viewed to ensure no errors had been made in the recordings and everything was observed to be conforming despite the different measuring method. </t>
  </si>
  <si>
    <t xml:space="preserve">Observation – During the audit it was identified that there is no overall QA Index available. However, it was shown that for milestones an acceptance list is created and reviewed between HL and TECO for handover / transfer of completed activities. This method is acceptable as it breaks down the Scopes of Work to smaller QA Index’s. </t>
  </si>
  <si>
    <t>CAB IAC - Hellenic</t>
  </si>
  <si>
    <t>Observation – It was observed during the audit that the HSE Training for Fire Fighting showed training to be within 3 years. X1 sampled line item (Line 18) showed out of date training (from Feb 2020, meaning now over 3 years). It was discussed further and mentioned that it is satisfactory to re-train within the year of training expiration with no additional risk, as A) the fire fighter does not suddenly lose their knowledge (although refresher training is seen as important) and B) there are many trained fire fighters shown on the training list. Although this was understood to be considered as reasonably low risk this did not fully meet the procedural requirements as described.</t>
  </si>
  <si>
    <t>HL-EXTAUD-0004
HL-DEV-EMPL-QMT-RPT-00015</t>
  </si>
  <si>
    <t>HELLENIC-GNC-000068</t>
  </si>
  <si>
    <t>31/07/2023</t>
  </si>
  <si>
    <t>Evidence provided to close on 31/07/2023 on HELLENIC-GNC-000068</t>
  </si>
  <si>
    <t xml:space="preserve">Observation – During the Audit it was observed that the Material Specification had been up-issued from MS126/7 (Rev 7) to MS126/8 (Rev 8). This is acceptable, however, there was a Typographical Error observed whereby the Material Specification showed MS127/8 within thedocument. </t>
  </si>
  <si>
    <t>CAB EXC - LS Cables</t>
  </si>
  <si>
    <t>Observation – While reviewing the Risk and Opportunity register during the audit, the Auditor observed that it is not up-to-date, and the Non-Conformance Report (NCR) issues are also not included in the register.</t>
  </si>
  <si>
    <t xml:space="preserve">HL-DEV-EMPL-QMT-RPT-00017 (1.0) - HLEXTAUD-0008 </t>
  </si>
  <si>
    <t>30/08/2023</t>
  </si>
  <si>
    <t>EMPL-GNC-007514</t>
  </si>
  <si>
    <r>
      <rPr>
        <strike/>
        <sz val="11"/>
        <color rgb="FF000000"/>
        <rFont val="新細明體"/>
        <family val="2"/>
        <scheme val="minor"/>
      </rPr>
      <t xml:space="preserve">I can't find the September MPR in Aconex at this moment. Please advise and incorporate the MPR number into your report for traceability. However, we are moving to next cable manufacture phase, this issue will be closed till the register is completed.
</t>
    </r>
    <r>
      <rPr>
        <sz val="11"/>
        <color rgb="FF000000"/>
        <rFont val="新細明體"/>
        <family val="2"/>
        <scheme val="minor"/>
      </rPr>
      <t>All NCRs have been added to the risl register from MPR, HL-EXC-LSC-PMT-MPR-00011.</t>
    </r>
  </si>
  <si>
    <t xml:space="preserve">Observation – According to HL-EXC-LSC-QAC-NCR-00001&amp;8, there is an issue with the purchase change internally related to the GIS termination male part. While reviewing the Change Management register during the audit, the Auditor observed that it is not up-to-date, and there is no information about the GIS termination male part issue. 
</t>
  </si>
  <si>
    <t>EMPL-GNC-007219</t>
  </si>
  <si>
    <t xml:space="preserve">Observation – There is no checklist register to control the revising status. It’s a potential risk that the operator may use the wrong revision checklist due to some additional inspection items have been added based on NCRs.
</t>
  </si>
  <si>
    <t>Observation – The overall SLD (Single Line Diagram) for cable series numbers cannot be provided to HailLong's Auditor and Technical Engineers during the audit.</t>
  </si>
  <si>
    <r>
      <rPr>
        <strike/>
        <sz val="11"/>
        <color rgb="FF000000"/>
        <rFont val="新細明體"/>
        <family val="2"/>
        <scheme val="minor"/>
      </rPr>
      <t>As per the feedback, the QAQC representative hasn't received the checklist version control register (“Insulation”, “lead sheath”, “pre-sheath”) to ensure that the operator uses the right version of the checklist. According to the record that was present in the close-out meeting, the requested version control register should be provided to Hailong's representative.</t>
    </r>
    <r>
      <rPr>
        <sz val="11"/>
        <color rgb="FF000000"/>
        <rFont val="新細明體"/>
        <family val="2"/>
        <scheme val="minor"/>
      </rPr>
      <t xml:space="preserve">
The inspector has reveiced reviesion control register on site. ( check with Romulus)
</t>
    </r>
  </si>
  <si>
    <t xml:space="preserve">• Check ITP Status
It was found that the Installation and Test Plan (ITP) for overhead crane installation in the GIS room was cancelled. The auditor requested TECO to show related evidence to explain why. TECO can’t show any documents to the auditor for the reason the ITP was cancelled.
</t>
  </si>
  <si>
    <t>HL-DEV-EMPL-QMT-RPT-00018 (1.0) - HLEXTAUD-0009</t>
  </si>
  <si>
    <t>EMPL-GNC-008185</t>
  </si>
  <si>
    <r>
      <rPr>
        <u/>
        <sz val="11"/>
        <color rgb="FF000000"/>
        <rFont val="Calibri"/>
        <family val="2"/>
      </rPr>
      <t xml:space="preserve">2023-Nov-20
</t>
    </r>
    <r>
      <rPr>
        <sz val="11"/>
        <color rgb="FF000000"/>
        <rFont val="Calibri"/>
        <family val="2"/>
      </rPr>
      <t xml:space="preserve">in progress
</t>
    </r>
    <r>
      <rPr>
        <u/>
        <sz val="11"/>
        <color rgb="FF000000"/>
        <rFont val="Calibri"/>
        <family val="2"/>
      </rPr>
      <t xml:space="preserve">2023-Dec-08
</t>
    </r>
    <r>
      <rPr>
        <sz val="11"/>
        <color rgb="FF000000"/>
        <rFont val="Calibri"/>
        <family val="2"/>
      </rPr>
      <t xml:space="preserve">TECO provided the related correspondence letter to the auditor to close this finding. but regarding the overhead crane has not been installed yet. The auditor considers closing this issue when the installation and inspection process are completed in the future.
</t>
    </r>
    <r>
      <rPr>
        <u/>
        <sz val="11"/>
        <color rgb="FF000000"/>
        <rFont val="Calibri"/>
        <family val="2"/>
      </rPr>
      <t xml:space="preserve">2024-Jan-31
</t>
    </r>
    <r>
      <rPr>
        <sz val="11"/>
        <color rgb="FF000000"/>
        <rFont val="Calibri"/>
        <family val="2"/>
      </rPr>
      <t xml:space="preserve">The auditor closed this issue. </t>
    </r>
  </si>
  <si>
    <t>OBS2 was cancelled and transfer to OFI2.</t>
  </si>
  <si>
    <t>* Canceled during the Audit.</t>
  </si>
  <si>
    <t>• Check HV Cable inspection report.
It was found that the contractor only inspected the appearance of the drum in the high-voltage cable inspection report and did not inspect the cable itself.
Reference Nr: HL-ONS-TECO-ISP-ITP-00161</t>
  </si>
  <si>
    <r>
      <rPr>
        <u/>
        <sz val="11"/>
        <color rgb="FF000000"/>
        <rFont val="新細明體"/>
        <family val="2"/>
        <scheme val="minor"/>
      </rPr>
      <t xml:space="preserve">2023-Nov-20
</t>
    </r>
    <r>
      <rPr>
        <sz val="11"/>
        <color rgb="FF000000"/>
        <rFont val="新細明體"/>
        <family val="2"/>
        <scheme val="minor"/>
      </rPr>
      <t>Refer to MoM "HL-ONS-TECO-PMT-MOM-00363", the discussion result mentioned, TECO will not proceed the insulation shield test till the the pulling work.</t>
    </r>
  </si>
  <si>
    <t>• Check the Technical Query register.
It was found that TQ-028 is not approved by the Employer, it should not be registered in the list, and it's also not uploaded to Aconex.</t>
  </si>
  <si>
    <r>
      <rPr>
        <u/>
        <sz val="11"/>
        <color rgb="FF000000"/>
        <rFont val="新細明體"/>
        <family val="2"/>
        <scheme val="minor"/>
      </rPr>
      <t>2023-Nov-20</t>
    </r>
    <r>
      <rPr>
        <sz val="11"/>
        <color rgb="FF000000"/>
        <rFont val="新細明體"/>
        <family val="2"/>
        <scheme val="minor"/>
      </rPr>
      <t xml:space="preserve">
The "TECO-TECHQ-000028" has been removed from the register, and confirmed that the TQ-028 and TQ-016 are the same issues. No need to raise a new issue to discuss again.
TECO has added two columns for "the Raiser" and "the Responder" respectively to ensure all issues have owners.
</t>
    </r>
  </si>
  <si>
    <t>• Check material inspection report of LOS.
The contractor used the incorrect ITP in the report for steel part galvanized inspection.
Reference Nr:  HL-ONS-TECO-ISP-ITP-00178(not upload yet)</t>
  </si>
  <si>
    <r>
      <rPr>
        <u/>
        <sz val="11"/>
        <color rgb="FF000000"/>
        <rFont val="新細明體"/>
        <family val="2"/>
        <scheme val="minor"/>
      </rPr>
      <t>2023-Nov-20</t>
    </r>
    <r>
      <rPr>
        <sz val="11"/>
        <color rgb="FF000000"/>
        <rFont val="新細明體"/>
        <family val="2"/>
        <scheme val="minor"/>
      </rPr>
      <t xml:space="preserve">
Confirm the reference ITP in page 6 of the ITR_LOS Tower and Equipment HL-ONS-TECO-ISP-ITP-00178 has been correct accordingly.</t>
    </r>
  </si>
  <si>
    <t>• Check the construction drawings with PE stamp and E-signature.
It was found that some of the construction drawings are without PE stamps and E-signature and difficult to ensure the traceability and consistency between all parties.</t>
  </si>
  <si>
    <r>
      <rPr>
        <u/>
        <sz val="11"/>
        <color rgb="FF000000"/>
        <rFont val="新細明體"/>
        <family val="2"/>
        <scheme val="minor"/>
      </rPr>
      <t>2023-Nov-20</t>
    </r>
    <r>
      <rPr>
        <sz val="11"/>
        <color rgb="FF000000"/>
        <rFont val="新細明體"/>
        <family val="2"/>
        <scheme val="minor"/>
      </rPr>
      <t xml:space="preserve">
TECO provided the contruction drawing distribution flow chat as requested to close the OBS.</t>
    </r>
  </si>
  <si>
    <t>Project Management Office - Developer</t>
  </si>
  <si>
    <t xml:space="preserve">Internal </t>
  </si>
  <si>
    <t xml:space="preserve">Medium Risk Non-conformance - During the audit it was observed that CCF’s are captured in the Commercial Dashboards (which function as an input to the Cost Control Tool) and in the CCF log. However, reconciliation between these documents is missing. 
Recommendation: It is recommended to ensure that the changes as recorded in the CCF log are reconciled with the Commercial Dashboard which functions as an input to the Cost Control Tool.  </t>
  </si>
  <si>
    <t>HL-DEV-EMPL-QMT-RPT-00002</t>
  </si>
  <si>
    <t>30/04/2024</t>
  </si>
  <si>
    <t>18/03/2025</t>
  </si>
  <si>
    <t>Koji Tateno / Niek Olijve</t>
  </si>
  <si>
    <t>We’ve incorporated a system which requires reference to the CCF’s for closed VO’s and claims in the commercial dashboards (see below example) - NOL 18/03/2025</t>
  </si>
  <si>
    <t>Observation - It was observed during the audit that the action for saving regular versions of the Cost Management Reports and files had not been conducted each and every month, as planned.  
Recommendation: As this is a key / master document within the organisation, it is recommended to find a robust solution for ensuring back-ups are regularly made.  E.g. maybe uploading versions to Aconex as Confidential document with a small distribution is a suitable solution to rely on a secondary back up system.</t>
  </si>
  <si>
    <t>Note: Completed in MS Teams on 03/Oct/2024 but no evidence or explanation provided to support closure - Discuss with NOL - 18/03/2025 - JGR
Significant improvements made from Apr 2024 onwards with regards to the Cost Report folder management and also an official docusign approval of the cost report on a monthly basis - NOL 18/03/2025</t>
  </si>
  <si>
    <t>Observation - On discussion (post audit) with the IT department relating to back-ups of the HL Project Server, it was identified that back-ups rely on the following systems;
-	Microsoft MS365
-	NPI SharePoint
-	Aconex
and this could be considered as leaving the project with a degree of risk of various and many important documents, data or files within the organisation being lost, corrupted or damaged and a difficulty to get back to required versions in a short enough timeframe to reduce that risk.  E.g. Microsoft MS365 can retrieve earlier versions of documentation for HL but this is not fully within HL’s control.  NPI SharePoint leaves HL with no or little control as this is not a controllable domain (Note: There are plans to transfer all information to a HL SharePoint to overcome this, which would allow HL to manage its own back-up systems).  Aconex has various regular back-ups but is again outside of Project control.
Recommendation: It is recommended for IT department to consider if the organisations document and data back-up and retrieval methods and systems are adequate for the organisations needs to reduce the risk of loss or damage of documents, data or files</t>
  </si>
  <si>
    <t>Yasuhiro Tanaka / Justin Green</t>
  </si>
  <si>
    <t>Awaiting response following internal discussion - JGR 19/03/2025</t>
  </si>
  <si>
    <t>Observation – Using CCF-00350 – CDWE Dredging campaign again, it was checked and found that the approved CCF was not reflected in the Master Time Schedule.  
Recommendation: It is believed that this is a one off isolated incident and therefore remains as an Observation, however, it is recommended to ensure that all approved CCF’s are captured in some way to ensure that relevant knock effects, causes and impacts are captured by the Contractors to feed into the MTS, please consider how approved CCF’s can be managed, implemented and controlled into the Master Time Schedule to ensure the project doesn’t miss any key aspects ad effects relating to changes.</t>
  </si>
  <si>
    <t>Chris Slater / Niek Olijve</t>
  </si>
  <si>
    <t>Note: Completed in MS Teams on 03/Oct/2024 but no evidence or explanation provided to support closure - Discuss with NOL - 18/03/2025 - JGR
No further action required. It was confirmed on checking that this was a one off finding and the CCF process already contains a section for Scheduling to analyse the schedule impact of any changes and incorporate them into the MTS - NOL 18/03/2025</t>
  </si>
  <si>
    <t>Observation – It was discussed that some of the key inputs to the Change Management Process come from the Contractors in the form of VO’s (Variation Orders), Amendments, Claims etc and during the audit it was observed that there is no processes, procedures or guidance material for the handling of these Procurement / Commercial Processes that hen link through to Change, Risk, Quality, Cost, Planning and Control Management.    
Recommendation: It is recommended to define the process, procedure and / or guidance material for handling commercial inputs, process and outputs and linking them to their interacting processes.</t>
  </si>
  <si>
    <t>Amber Shaffi</t>
  </si>
  <si>
    <t>It can be seen that there is a Rev 9.0 of the Procurement Management Plan HL-DEV-EMPL-PRT-PLN-00001 updated on 29/11/2024 which now covers Variations and Amendments and links to the Change Management Procedure.  However, claims management is still not present throughout this Management Plan or defined in any other Procurement documentation in Aconex - JGR to chase ASH for next steps to cover this aspect of the PRT Documentation - Action approx. 75% complete - 18/03/2025 - JGR
Chased 07/04/2025 by email directly to ASH - JGR</t>
  </si>
  <si>
    <t>Observation – During the audit of this section (verifying future activities relating to Change Control Assurances from the PQMP – Appendix A) it was observed that the Change Control Assurances section was very heavily focused on Contractor deliverables / requirements and should be defined for internal deliverables.  It was also observed similarly at bullet point 5 of Section 6.2.7 of the PQMP.  
Recommendation: QMT and PMO departments to work together on defining the internal deliverables required for the Change Control Assurances for Appendix A of the PQMP</t>
  </si>
  <si>
    <t>29/05/2024</t>
  </si>
  <si>
    <t>On reflection, no changes required.  It is clear what the deliverables are and they are measurable - JGR</t>
  </si>
  <si>
    <t>Observation – During the audit the Dimensional Report for the HL2 Topside Stabbing Pins was viewed.  It was observed that the Total Station that was used for the measurements was not referenced for traceability. 
Recommendation: It is recommended to ensure traceability of all / any measurement equipment used for key QC Activities and ensure it is referenced on the reports.  Traceability referencing is a key requirement for quality records to ensure a traceability in case of erroneous findings with key measurement tools and equipment allowing any previously measured products with that tool to be considered for re-inspection / re-testing.</t>
  </si>
  <si>
    <t>HLEXTAUD-0006
HL-DEV-EMPL-QMT-RPT-00016</t>
  </si>
  <si>
    <t>EMPL-GNC-005175</t>
  </si>
  <si>
    <t>13/09/2023</t>
  </si>
  <si>
    <t>Bui Cao Khai</t>
  </si>
  <si>
    <t>Corrective Action Taken: Report No HLS-TS-S-RPT-DIM-1005.A referring to HL-OSS-SMPTSC-PMT-PRC-39509 was updated to include the measuring equipment Serial No used for the measurement.  See SMPTSC-GNC-001704 received 13/09/2023 for provided evidence – Confirmed closed – JGR (PQD)</t>
  </si>
  <si>
    <t>Observation - It was observed that the Commissioning Skyline in the CMS System, Commissioning ITP and Commissioning Schedule was not fully developed.  
Recommendation: It is recommended to ensure that these developments are made with a degree of urgency as very quickly following the Mechanical Completion Process, the Commissioning Processes will follow and that phase is not far away on the schedule of activities.</t>
  </si>
  <si>
    <t>Corrective Action Taken: The latest development of the Commissioning Processes in SMPTSC are confirmed to have changed from the initial approach of entering Commissioning into a Skyline in the CMS System (similar to the MC Process).  Instead the process follows the ‘Commissioning Sequence_HLOSS’ whereby, once the MC Skyline is confirmed complete for a particular component, the process moves to Mechanical Completion and Commissioning Schedule for planning and control.  The process is adequate for it’s purpose and is supported by weekly meetings to follow the process carefully between the Employer and Contractor.</t>
  </si>
  <si>
    <t xml:space="preserve">Observation – Currently, Acceptance Criteria and Technical Specifications for Commissioning Tests can only be found within the Suppliers FAT documentation.  Shown HL-OSS-M01-G11-00001 (1.0) 60695-L1219A; L1219B – PR108 FAT as example.  The FAT / SAT / SIT is shown in an MITP (Master Inspection &amp; Test Plan) as a planned Quality Activity, however, a lot of key information and documentation referencing is omitted, making it difficult to navigate from the planned activity through to the key Quality Control information required for all parties to satisfactorily review the information in advance of the activity.  NOTE: Additionally, a lot of the documentation referenced in the MITP shows Semco document reference numbers, which cannot be accessed by Hai Long or PTSC Representatives.
Recommendation: It is recommended to consider a method of updating the MITP to give more clarity to Acceptance Criteria / Technical Specifications being applied to the Inspections / Tests and to ensure that the referencing to where the detailed information can be found is clear and accessible to remove ambiguity and difficulty accessing key information related to key upcoming Inspection and Test Activities.  
NOTE: In the ITP Section of the Employer Quality Requirements, it gives clear guidance to the expectations, and requests ITP’s to include Pre-Commissioning and Commissioning Phases.  It is not considered that these phase ITP Activities are clearly and robustly planned by the Contractor
NOTE2: Read access to the CMS system for Employer should also be considered ASAP to provide more clarity of the methods being implemented for next phase activities.
</t>
  </si>
  <si>
    <t>Corrective Action Taken: Closure evidence provided on email 03/06/2024 – Attached with formal response back to SMPTSC on  EMPL-GNC-005175</t>
  </si>
  <si>
    <t>Observation – It was observed during the audit that the 3rd party witnessing visibility was not currently clear within the MITP (Master Inspection &amp; Test Plan).  It was also confirmed that this was not clear in the contract between the Employer and Contractor.  Employer to check DNV-SE-0190 and the Employer Certification Contract with Certifier to give guidance on the expectations to fulfil requirements of figure 1-1 for substations certification.  E.g. what is the breadth and depth of the Certification input and inclusion in the commissioning phase of the Substations scope?</t>
  </si>
  <si>
    <t xml:space="preserve">Observation - It was observed during the audit that PTSC also holds a more recent version of the Risk Register.  Considered to be more recent as it holds all the x64 Risks but has many additional risk and is up to x165 risks.  It was confirmed during the audit that the top 5 risks raised into the monthly progress report were taken from the SharePoint location, which means that they are not escalated from the full population of risks identified for the scope of works.  
Recommendation: It is recommended to ensure that the PTSC risks are regularly updated in to the centrally located SharePoint risks register to ensure that the full population of risks are continuously assessed and managed by the consortium (SMPTSC)
Note: It was observed that the risks in the PTSC Risks Register were being assessed and managed in line with the Risk Management Plan – HL-OSS-SMPTSC-PMT-PLN-00017.  However, it was observed that it did not hold next phase risks, such as component Installation and / or Mechanical Completion / Commissioning Risks.  This should be assessed and considered as we move away from the design, supply and fabrication risks that were previously potential impacts.
</t>
  </si>
  <si>
    <t>Corrective Action Taken: As presented in SMPTSC-GNC-001704 13/09/2023. Finding #28 (OBS05 of HL-DEV-EMPL-QMT-RPT-00016): The risk register has been updated and submitted via the August Monthly report through Aconex mail no. SMPTSC-GNC-001651 on 28 Aug 2023. Please refer to Attachment 8 for details. Actually, there were some risks that had already been identified for the Installation &amp; Com. phases at the time of the audit, which were highlighted in green &amp; the new risk is highlighted in yellow in the attachment. We will continue to assess and submit the risk register to EMPL on a monthly basis, based on the latest update for all project phases at the Site.  Not all risks are raised to the EMPL register, however all relevant risks have been uploaded to ensure this is up to date for monthly reporting.</t>
  </si>
  <si>
    <t>TNI - CDWE</t>
  </si>
  <si>
    <t>OBS 1</t>
  </si>
  <si>
    <t>The coating repair record in HL-TNI-CDWE-ENG-NCR-00001 Coating damage J03-B NCR is not signed by CDWE.
The Paint Repair Report for pin pile (Hai Long) in HL-TNI-CDWE-ENG-NCR-00001 needs to be signed and resubmitted it for closure.</t>
  </si>
  <si>
    <t>HLEXTAUD-0010
HL-DEV-EMPL-QMT-RPT-00019</t>
  </si>
  <si>
    <t>EMPL-GNC-012938</t>
  </si>
  <si>
    <t>OBS 2</t>
  </si>
  <si>
    <t>There is no official notification provided by CDWE about the vibro-hammer for OSS foundation.
Inform CDWE any inspection activity for “Witness” and “Hold” inspection points need to issue the official notification of inspection to the employer.
Employer systematicallyt invited to tests as from 18/04/24 (ie. CDWE-GNC-002793)</t>
  </si>
  <si>
    <t>OBS 3</t>
  </si>
  <si>
    <t>There is no clearly independent quality check for the offshore work, all inspection check conducted by the execution/ installation engineers.
CDWE will repose this issue to close this comment.
Lead engineers follow the QAQC checks whilst the Green Jade installation team, under Works Manager instructions, is responsible to install the assets. There is a clear segregation on the activities.</t>
  </si>
  <si>
    <t>OBS 4</t>
  </si>
  <si>
    <t>The audit schedule needs to be updated due to the open items have been closed.
Inform CDWE need to update the HL-TNI-CDWE-QMT-SCH-00001 Project Audit Schedule in next month progress report.
The performed audits and execution audit schedule is in preparation a draft has been shared on the last monthly reports. Final one to be delivered within June Monthly report (target date is the cut-off date for June monthly report).</t>
  </si>
  <si>
    <t>OBS 5</t>
  </si>
  <si>
    <t>Although a design verification process is provided, it cannot clearly clarify why the design error occurred from CDWE and their own subcontractor, as indicated in NCR-002.
Please CDWE provide the related design change records and how to verify the input from internal and external party for CDWE-NCR-000002.
A new version of the report has been in the meantime provided with the technical note and references to the drawings CDWE-TRN-001291 .</t>
  </si>
  <si>
    <t>OFI 1</t>
  </si>
  <si>
    <t>Observe the FAT report for the WTG foundation vibro-hammer showed draft watermark from formal report and CDWE internal validation before submitting to
the Employer.</t>
  </si>
  <si>
    <t>No additional action need to be taken.</t>
  </si>
  <si>
    <t>Regulation Department</t>
  </si>
  <si>
    <t xml:space="preserve">Observation - It was observed during the audit that the Permit Roadmap shows a date of 2021 for the latest update.  Note: In addition, it is also observed that the Permit Roadmap does not meet the requirements of the Document Management Plan – HL-DEV-EMPL-PMT-PLN-00003 and does not include a Cover Page for Revision Control and Document Approval.  Recommendation: It is recommended to have an update as this is over a 2 year period.
It is recommended to ensure that a Cover Page is added to this document for additional clarity and conformance to the Project Document Control requirements
</t>
  </si>
  <si>
    <t>HL-DEV-EMPL-QMT-RPT-00003</t>
  </si>
  <si>
    <t>YenChu Chen</t>
  </si>
  <si>
    <t>Recommendations complete and document updated and in accordance with the Document Management Plan - See Rev 3.0 of Hai Long Permit Roadmap - HL-DEV-EMPL-PMT-PLN-00002</t>
  </si>
  <si>
    <t>Observation - It was noticed during the audit that the WTG Damper liquid may not have been considered in the Oil Spill Response Planning / assessment and that it is both a high quantity of liquid and potentially un-bunded.   Recommendation: JGR to share the MSDS for the WTG Damper Liquid with REG / HSE to discuss complexities for the EA, with the WTG Team to ensure a solution and / or known controlled risks.</t>
  </si>
  <si>
    <t>23/08/2024 - MSDS sent to team for consideration
08/08/2025 - Confirmed that a bunding is connected under the damper to capture any potential leakage of the damper liquid.  However, the bunding has been confirmed to be NOT be able to hold the full quantity of liquid in the damper if it was to catastophically fail and only able to capture small leak conditions up to approx 50 litres (the full quantity of liquid in the damper is 15000 litres).  This Damper issue is managed under SGRE Marine pollution control plan(HL-WTG-SGRE-ENV-PLN-00001) section 6.2.  Additionally, the spill response plan has been updated HL-DEV-EMPL-HSS-PLN-00006 - Rev 4.0 to include details related to th damper in the WTG - However, it is believed that the statement provided in the SGRE Marine Pollution Plan is a stretch on a degree of truth.  HL to challenge the risk assessment of the statment 'Unlikely' and the low risk conclusion from SGRE Quality - To be continued - JGR</t>
  </si>
  <si>
    <t xml:space="preserve">CTI - Seaway 7 </t>
  </si>
  <si>
    <t>NCR 1</t>
  </si>
  <si>
    <t>According to contract HL-CTI-EMPL-CIN-CON-00029, Seaway7 shall register the NCR in the employer’s Aconex NCR system. Use the email Type = Non-conformance report.</t>
  </si>
  <si>
    <t xml:space="preserve">HLEXTAUD-0011
HL-DEV-EMPL-QMT-RPT-00026 </t>
  </si>
  <si>
    <t>EMPL-GNC-017252</t>
  </si>
  <si>
    <t>Seaway 7 will use the email type = "non-conformity report" to issue the NCR with the Synergi report, but no Metadata will be fill out by seaway7. Hailong QMT agreed to close this finding and use the Synergi report to fill out the Metadata for further O&amp;M handover.</t>
  </si>
  <si>
    <t>SGRE Pre-Assy Site Audit</t>
  </si>
  <si>
    <r>
      <rPr>
        <u/>
        <sz val="11"/>
        <color rgb="FF000000"/>
        <rFont val="新細明體"/>
        <family val="2"/>
        <scheme val="minor"/>
      </rPr>
      <t xml:space="preserve">Observation 01 - Missing Quality Control Tagging Label for Nacelle and Tower
</t>
    </r>
    <r>
      <rPr>
        <sz val="11"/>
        <color rgb="FF000000"/>
        <rFont val="新細明體"/>
        <family val="2"/>
        <scheme val="minor"/>
      </rPr>
      <t>During the morning section audit at the quayside 107, it is found the QC tagging labels are unavailable for Nacelle and Tower.
t is recommended to implement labeling control for Nacelle and Tower for clear quality status andtraceability.</t>
    </r>
  </si>
  <si>
    <t>HLEXTAUD-0010
HL-DEV-EMPL-QMT-RPT-00027</t>
  </si>
  <si>
    <t>27/5/2025</t>
  </si>
  <si>
    <t>SGRE-GNC-002618</t>
  </si>
  <si>
    <t>O Chen</t>
  </si>
  <si>
    <r>
      <rPr>
        <u/>
        <sz val="11"/>
        <color rgb="FF000000"/>
        <rFont val="新細明體"/>
        <family val="2"/>
        <scheme val="minor"/>
      </rPr>
      <t xml:space="preserve">Observation 02 - Document Inconsistencies in Pre-Assembly ITP and QA Index
</t>
    </r>
    <r>
      <rPr>
        <sz val="11"/>
        <color rgb="FF000000"/>
        <rFont val="新細明體"/>
        <family val="2"/>
        <scheme val="minor"/>
      </rPr>
      <t>It was found that the documents listed under the acceptance criteria in the PreAssembly ITP are not the same as those in the QA Index.
t is recommend to verify the documents listed in the ITP and ensure any missing documents are included in the QA Index.</t>
    </r>
  </si>
  <si>
    <r>
      <rPr>
        <u/>
        <sz val="11"/>
        <color rgb="FF000000"/>
        <rFont val="新細明體"/>
        <family val="2"/>
        <scheme val="minor"/>
      </rPr>
      <t xml:space="preserve">Observation 03 - Invisible Muster Point Sign at the Quayside 107
</t>
    </r>
    <r>
      <rPr>
        <sz val="11"/>
        <color rgb="FF000000"/>
        <rFont val="新細明體"/>
        <family val="2"/>
        <scheme val="minor"/>
      </rPr>
      <t>It was observed that the muster point sign lacks clear visibility on the site as lots of heavy equipments/machineries stored, which may affect emergency response efficiency.
t is recommend to relocate the muster point sign to a higher or more elevated position to ensure visibility above any parked heavy equipments/machineries.</t>
    </r>
  </si>
  <si>
    <t>ONS - Teco</t>
  </si>
  <si>
    <t>Nonconformance - Medium Risk / Minor – During the audit it was observed that KPI’s
(Key Performance Indicators) are not being monitored in accordance with the PQP
(Project Quality Plan) – HL-ONS-TECO-QMT-PLN-00001 (6.0).
Recommendation: Consider measuring the KPI’s as planned for internal and external maturity tracking. Also consider adding the tracking of the KPI’s to the monthly report to ensure they are regularly discussed between the Employer and Contractor Project Managers</t>
  </si>
  <si>
    <t>HLEXTAUD-0013
HL-DEV-EMPL-QMT-RPT-00028</t>
  </si>
  <si>
    <t>18/6/2025</t>
  </si>
  <si>
    <t>EMPL-GNC-025263</t>
  </si>
  <si>
    <t>Nonconformance - High Risk / Major – During the audit it was attempted to conduct a resource competency check to ensure that the right competent persons were assessed to be conducting the roles shown within the Organisation Chart. It was found during the audit that there was no competence assessment / competence record available to support the organisation chart. Additionally, there was no process / procedure available showing what actions are taken for competence assessments for onboarding or for personnel movements from one role to another. This is seen as a high risk for process control in a highly technical environment such as Civils, Mechanical and Electrical Engineering, Procurement and Construction.
Recommendation: It is highly recommended for the Contractor to have processes, procedures and controls for competence management in line with ISO9001 requirements – Section 7.2 as guidance. This will reduce risk and ensure a controlled
approach to the operational delivery. This should also be considered for competence assessments of the supply chain who conduct the majority of the control aspects of the operational delivery for the scope of works.</t>
  </si>
  <si>
    <t>NCR03</t>
  </si>
  <si>
    <t>Nonconformance - Medium Risk / Minor – The CGIS Commissioning Log is used to
plan, handle, track and control commissioning tests and make preparation for Notifications of Inspection Activities, however, during the audit we conducted a
sample check to ensure that the CGIS Commissioning Log was full and robustly
complete in readiness for the upcoming tests. It was found that there were many
planned tests that were not reflected in the Commissioning Log. Such as; tests
from HL-ONS-TECO-TST-PRC-00006 (4.0) Site Integration Test Procedure – HVAC System. The tests from this procedure were not represented in the Commissioning Log. Tests from HL-ONS-TECO-TST-PRC-00009 (4.0) Site Acceptance Test Procedure – ONSS SPS. The tests from this procedure were not represented in the Commissioning Log but were performed as part of the SIT Report.
Recommendation: it is recommended to conduct a full and robust review of all SAT and SIT Procedures and ensure that all the relevant tests are represented within the Commissioning Log as this is the tool for handling, managing and controlling these key Quality Activities.</t>
  </si>
  <si>
    <t>Shan Liu</t>
  </si>
  <si>
    <t>Improvements made to register and evidence provided in Email 'Audit NCR003 Follow-up &amp; Validation Meeting - July 29,2025.  Please refer to the attached documents from the HL-ONS-TECO-PMT-MOM-00993 (1.0) Audit Nonconformance NCR003 - Follow-up and Validation Meeting (July 29, 2025)
(Mail Number TECO-TRN-002038)
 P&amp;R_SAT/SIT Tracking : LINK
Considered closedas this was validated by the on site HL representatives - JGR</t>
  </si>
  <si>
    <t>Observation – During the audit it was observed on many occasions that there were documents within Teco’s SharePoint environment that were being used for tracking, registering and control purposes that had no document name, document number or revision control.
Recommendation: It is recommended to ensure that key documents in use for  registering, tracking and control purposes are document controlled, and revision controlled to ensure all users are aware of the revision that should be in use.
Additionally, it allows the process owner to be able to control any potential changes to the process / documentation and be confident that everybody is using the correct and latest version of the documentation.</t>
  </si>
  <si>
    <t>Hui Wu</t>
  </si>
  <si>
    <t>Improvements made immediately and provided on the Aconex Mail Response TECO-GNC-001826 on Mail Thread EMPL-GNC-024789.  Considered closed 21/07/2025 - JGR</t>
  </si>
  <si>
    <t>Observation – During the audit it was established that Teco Site do not have / follow a Quality Management System to govern procedural flow-down. There is no visual framework defining the system and system controls and as such there is a lack
of Quality System Procedures and Processes to be followed. The Contractor relies wholly on the documentation prepared specifically for the project as requested and required by the Employers Requirements and therefore the Project Quality Plan for the Project is considered as the Quality Management System. This approach does not meet the requirements of ISO9001 and is therefore only considered as partially adequate for the
Contractors management and controls.
Recommendation: Teco should consider ISO9001 requirements at project level for a planned and controlled approach to delivering construction projects in accordance with their own systems, processes and ISO9001 certification.</t>
  </si>
  <si>
    <t>Observation – During the audit the Risk and Opportunity Management was assessed. It was discussed that a new Risk Management Strategy / Approach is in development. However, it was confirmed during the audit that the current Risk Management Plan HL-ONS-TECO-ORM-PLN-00001 (5.0) was not being followed. The auditee team were unaware of the current plan and the frequency of update and submittal was not being followed.
Recommendation: It is recommended for the risks to be more frequently assessed and captured in accordance with the Risk Management Plan and the Top 5 to Top 10 should be regularly submitted to the Monthly Reports for discussion and mitigation within the monthly meetings. It is recommended to review the requirements of ISO9001, Section 6.1 for the obligation relating to Risk and Opportunity Management</t>
  </si>
  <si>
    <t>Observation – During the audit it was requested to see the procurement records for supplier assessment of the 3rd party provider of the Performance Test. This information was not made present during the audit and therefore is added as an observation to be able to verify and validate post audit with presentation of the evidence from the Contractor.
Recommendation: Please provide evidence of the procurements / supplier assessment records and / or provide a presentation of the evidence to the Auditor</t>
  </si>
  <si>
    <t>ONS - TYLin</t>
  </si>
  <si>
    <t>Observation – It was observed during the audit that the Inspection log did not have a
Document Name, or Revision Control shown on the document.
Recommendation: As the Inspection Log is a critical document for evidencing the successful achievement of the scope deliverables it is highly recommended to ensure this document is Document Controlled with a clear Document name and Revision Control
20/07/2025 - EMPL-GNC-025892 - It is recommended for the Registers / Logs to also have the Document Numbers and Revisions clearly presented on each sheet within the document for full traceability.  This is recommended in case the pages are ever printed by the operators.  By having the Document Number and Revision clearly present in a header for each sheet, it can reduce the potential for error of using the incorrect revision, if revision changes are made and a printed version is in use (even if there is low probability of this scenario, the potential is still present).</t>
  </si>
  <si>
    <t>HLEXTAUD-0013
HL-DEV-EMPL-QMT-RPT-00029</t>
  </si>
  <si>
    <t>19/06/2025</t>
  </si>
  <si>
    <t>EMPL-GNC-025265</t>
  </si>
  <si>
    <t>19/08/2025</t>
  </si>
  <si>
    <t>Mandy Wang</t>
  </si>
  <si>
    <t>19/08/2025 - Response provided on TYLIN-GNC-000430 with updated document structure which meets the expectations of the ISO9001 and good practice for document management - Considered closed - JGR</t>
  </si>
  <si>
    <t>Observation – The Risk Management Plan is in the contract proposal but during the
audit it was not possible to get into the TYLin systems to present a copy of the Risk
Management Plan or the Change Management Plan.
Recommendation: Risk Management Plan, Change Management Plan, Internal Audit
Procedure, and the Internal Audit Schedule (Schedule of planned internal audits) to be
provided as part of this observation for review and understanding of the deliverables within them.
20/07/2025 - EMPL-GNC-025892 - It is recommended for this document (The Risk Management for QAQC) to also have a Document Number and Revision control as this document looks to be a process or system document.  It does not meet the requirements of ISO9001:2015 for Document Management.  Note: Currently, it is not possible for an auditor to know whether this document has been in place as a workable document for a long time or whether it was made specifically to answer this Observation finding.
Additionally, It is positive to see that the Risk Management Procedure is in place and gives guidance on how to conduct the Risk Assessments, however, it does not mention when and how often the Risk Assessments should be conducted and / or considered.  it is recommended for this document (The Risk Management for QAQC) to define the frequency for which the Risk Assessments should be held, conducted, considered and / or reviewed.  Note: As it stands it looks like it is assessed once only, however, it is known that risks and risk profiles change over time.
On this basis, with the finding of OBS01 and the later finding of OBS02, it would be recommended for the TYLin organisation to review all documents within the TYLin systems for this issue of a lack of document control in accordance with ISO9001:2015.</t>
  </si>
  <si>
    <t>19/08/2025 - Response provided on TYLIN-GNC-000430 with agreement of recommendations and evidence of first document taking on board ISO9001 requirements and good practice for document management - JGR</t>
  </si>
  <si>
    <r>
      <rPr>
        <sz val="11"/>
        <color rgb="FF000000"/>
        <rFont val="新細明體"/>
        <family val="2"/>
        <scheme val="minor"/>
      </rPr>
      <t xml:space="preserve">DOF (Parkburn are Carousel </t>
    </r>
    <r>
      <rPr>
        <strike/>
        <sz val="11"/>
        <color rgb="FF000000"/>
        <rFont val="新細明體"/>
        <family val="2"/>
        <scheme val="minor"/>
      </rPr>
      <t>Owner</t>
    </r>
    <r>
      <rPr>
        <sz val="11"/>
        <color rgb="FFFF0000"/>
        <rFont val="新細明體"/>
        <family val="2"/>
        <scheme val="minor"/>
      </rPr>
      <t>Designer</t>
    </r>
    <r>
      <rPr>
        <sz val="11"/>
        <color rgb="FF000000"/>
        <rFont val="新細明體"/>
        <family val="2"/>
        <scheme val="minor"/>
      </rPr>
      <t>)</t>
    </r>
  </si>
  <si>
    <t>SW7-GNC-002391</t>
  </si>
  <si>
    <t>SW7-GNC-002363</t>
  </si>
  <si>
    <t>Trencher Breakdown</t>
  </si>
  <si>
    <t>SW7-GNC-002697</t>
  </si>
  <si>
    <t>EMPL-GNC-026467</t>
  </si>
  <si>
    <t>Summize from records</t>
  </si>
  <si>
    <r>
      <rPr>
        <strike/>
        <sz val="11"/>
        <color rgb="FFFF0000"/>
        <rFont val="新細明體"/>
        <family val="2"/>
        <scheme val="minor"/>
      </rPr>
      <t xml:space="preserve">W2W System Breakdown
</t>
    </r>
    <r>
      <rPr>
        <sz val="11"/>
        <color rgb="FF00B050"/>
        <rFont val="新細明體"/>
        <family val="2"/>
        <scheme val="minor"/>
      </rPr>
      <t>N/A to date</t>
    </r>
  </si>
  <si>
    <r>
      <rPr>
        <strike/>
        <sz val="11"/>
        <color rgb="FF00B050"/>
        <rFont val="新細明體"/>
        <family val="2"/>
        <scheme val="minor"/>
      </rPr>
      <t xml:space="preserve">N/A to date
</t>
    </r>
    <r>
      <rPr>
        <sz val="11"/>
        <color rgb="FFFF0000"/>
        <rFont val="新細明體"/>
        <family val="2"/>
        <scheme val="minor"/>
      </rPr>
      <t>W2W System Breakdown</t>
    </r>
  </si>
  <si>
    <t>Shimizu Corporation</t>
  </si>
  <si>
    <t>CDWE-GNC-005975</t>
  </si>
  <si>
    <t>Wind Archer</t>
  </si>
  <si>
    <t>Service Operation Vessel (SOV) - Pre-comm and commissioning</t>
  </si>
  <si>
    <t>2025/08/26 - Added</t>
  </si>
  <si>
    <t>Pearl River</t>
  </si>
  <si>
    <t>Tideway BV</t>
  </si>
  <si>
    <t>Seabed preparation for WTG
Dredging for EXC &amp; IAC</t>
  </si>
  <si>
    <t>2025/08/27 - Added</t>
  </si>
  <si>
    <t>Discipline</t>
  </si>
  <si>
    <r>
      <rPr>
        <sz val="11"/>
        <color theme="0"/>
        <rFont val="新細明體"/>
        <family val="2"/>
        <scheme val="minor"/>
      </rPr>
      <t>HL-DEV-EMPL-QMT-SCH-00001 (1.0)</t>
    </r>
    <r>
      <rPr>
        <sz val="11"/>
        <rFont val="新細明體"/>
        <family val="2"/>
        <scheme val="minor"/>
      </rPr>
      <t xml:space="preserve"> Project Audit Schedule</t>
    </r>
  </si>
  <si>
    <t>Check</t>
  </si>
  <si>
    <t>Issue Date</t>
  </si>
  <si>
    <t>ITP no.</t>
  </si>
  <si>
    <t>Inspection Date</t>
  </si>
  <si>
    <t xml:space="preserve">Type </t>
  </si>
  <si>
    <t>Inspection Time</t>
  </si>
  <si>
    <t>Position</t>
  </si>
  <si>
    <t>Contacts</t>
  </si>
  <si>
    <t xml:space="preserve">Phone </t>
  </si>
  <si>
    <t>contains</t>
  </si>
  <si>
    <t>Quality Risk</t>
  </si>
  <si>
    <t>startswith</t>
  </si>
  <si>
    <t>Filter</t>
  </si>
  <si>
    <t>Audit</t>
  </si>
  <si>
    <t>Data</t>
  </si>
  <si>
    <t>Input</t>
  </si>
  <si>
    <t>Tools</t>
  </si>
  <si>
    <t>ITP_</t>
  </si>
  <si>
    <t>Action_Tracker</t>
  </si>
  <si>
    <t>Vessel Maintenance</t>
  </si>
  <si>
    <t>Rock Sampling</t>
  </si>
  <si>
    <t>Config</t>
  </si>
  <si>
    <t>🏷️ Group</t>
  </si>
  <si>
    <t>🔎 MatchType</t>
  </si>
  <si>
    <t>🔤 Pattern</t>
  </si>
  <si>
    <t>Exact</t>
  </si>
  <si>
    <t>Data_PQP</t>
  </si>
  <si>
    <t>Data_ITP</t>
  </si>
  <si>
    <t>Checklist</t>
  </si>
  <si>
    <t>CHK</t>
  </si>
  <si>
    <t>FAT</t>
  </si>
  <si>
    <t>Inspection and Test Plan - CTV Secondary Works</t>
  </si>
  <si>
    <t>Observation</t>
  </si>
  <si>
    <t>Request for Obs</t>
  </si>
  <si>
    <t>Data_Overall</t>
  </si>
  <si>
    <t>Data_NCR</t>
  </si>
  <si>
    <t>Data_Obs</t>
  </si>
  <si>
    <t>Last Month</t>
  </si>
  <si>
    <t>Info</t>
  </si>
  <si>
    <t>SW7-NCR-000016</t>
  </si>
  <si>
    <t>TW0001 Snapped FO cable on OSS HL2 H String top section cable</t>
  </si>
  <si>
    <t xml:space="preserve">During FO (top side cable) breakout and preparation for splicing works on 30/8, Fibre No.4 (Blue Bundle) was snapped during works. Cable ID: YCR01-XH004-WH19 </t>
  </si>
  <si>
    <t xml:space="preserve">HL2 OSS H String </t>
  </si>
  <si>
    <t>-</t>
  </si>
  <si>
    <t>Query_</t>
  </si>
  <si>
    <t>PQuery</t>
  </si>
  <si>
    <t>RFNCR_Opening</t>
  </si>
  <si>
    <t>RFNCR_Closed</t>
  </si>
  <si>
    <t>ITP_Hellenic Cable</t>
  </si>
  <si>
    <t>ITP_LS Cable</t>
  </si>
  <si>
    <t>ITP_BMS</t>
  </si>
  <si>
    <t>ITP_Seaway7</t>
  </si>
  <si>
    <t>ITP_CDWE</t>
  </si>
  <si>
    <t>ITP_JDN</t>
  </si>
  <si>
    <t>Obs_Opening</t>
  </si>
  <si>
    <t>Obs_Closed</t>
  </si>
  <si>
    <t>RFOBS_Opening</t>
  </si>
  <si>
    <t>RFOBS_Closed</t>
  </si>
  <si>
    <t>Reference no.</t>
  </si>
  <si>
    <t>NOI</t>
  </si>
  <si>
    <t>Input -&gt; Data -&gt; Query -&gt; Chart -&gt; Dashboard</t>
  </si>
  <si>
    <t>Workflow</t>
  </si>
  <si>
    <t>Data_KPI</t>
  </si>
  <si>
    <t>PQP
Close-out
20%</t>
  </si>
  <si>
    <t>ITP
Close-out 
30%</t>
  </si>
  <si>
    <t>NCR 
Close-out 
35%</t>
  </si>
  <si>
    <t>OBS 
Close-out 
15%</t>
  </si>
  <si>
    <t>Variance</t>
  </si>
  <si>
    <t>2025-02</t>
  </si>
  <si>
    <t>2025-03</t>
  </si>
  <si>
    <t>2025-04</t>
  </si>
  <si>
    <t>2025-05</t>
  </si>
  <si>
    <t>2025-06</t>
  </si>
  <si>
    <t>2025-07</t>
  </si>
  <si>
    <t>2025-08</t>
  </si>
  <si>
    <t>2025-09</t>
  </si>
  <si>
    <t>NCR_Total</t>
  </si>
  <si>
    <t>PQP_Total</t>
  </si>
  <si>
    <t>Obs_Total</t>
  </si>
  <si>
    <t>ITP_Total</t>
  </si>
  <si>
    <t>OBS_Total</t>
  </si>
  <si>
    <t>Sum of PQP_Total</t>
  </si>
  <si>
    <t>PQP</t>
  </si>
  <si>
    <t>Sum of ITP_Total</t>
  </si>
  <si>
    <t>指針</t>
  </si>
  <si>
    <t>區間分佈比例</t>
  </si>
  <si>
    <t>隱藏的</t>
  </si>
  <si>
    <t>Sum of OBS_Total</t>
  </si>
  <si>
    <t>Sum of OBS_Total2</t>
  </si>
  <si>
    <t>KPI_2025_02</t>
  </si>
  <si>
    <t>KPI_2025_03</t>
  </si>
  <si>
    <t>KPI_2025_04</t>
  </si>
  <si>
    <t>KPI_2025_05</t>
  </si>
  <si>
    <t>KPI_2025_06</t>
  </si>
  <si>
    <t>KPI_2025_07</t>
  </si>
  <si>
    <t>KPI_2025_08</t>
  </si>
  <si>
    <t>KPI_2025_09</t>
  </si>
  <si>
    <t>Sum of RFOBS_Opening</t>
  </si>
  <si>
    <t>Sum of RFOBS_Closed</t>
  </si>
  <si>
    <t>Sum of KPI_2025_02</t>
  </si>
  <si>
    <t>Sum of KPI_2025_03</t>
  </si>
  <si>
    <t>Sum of KPI_2025_04</t>
  </si>
  <si>
    <t>Sum of KPI_2025_05</t>
  </si>
  <si>
    <t>Sum of KPI_2025_06</t>
  </si>
  <si>
    <t>Sum of KPI_2025_07</t>
  </si>
  <si>
    <t>Sum of KPI_2025_08</t>
  </si>
  <si>
    <t>Sum of KPI_2025_09</t>
  </si>
  <si>
    <t>KPI_Trend</t>
  </si>
  <si>
    <t>Sum of NCR_Total</t>
  </si>
  <si>
    <t>Sum of NCR_Total2</t>
  </si>
  <si>
    <t>KPI_Radar</t>
  </si>
  <si>
    <t>KPI_Variance</t>
  </si>
  <si>
    <t>KPI_PQPClose_out20</t>
  </si>
  <si>
    <t>KPI_ITPClose_out_30</t>
  </si>
  <si>
    <t>KPI_OBS_Close_out_15</t>
  </si>
  <si>
    <t>KPI_NCR_Close_out_35</t>
  </si>
  <si>
    <t>KPI_Last_Month</t>
  </si>
  <si>
    <t>KPI_This_Month</t>
  </si>
  <si>
    <t>Sum of KPI_PQPClose_out20</t>
  </si>
  <si>
    <t>Sum of KPI_ITPClose_out_30</t>
  </si>
  <si>
    <t>Sum of KPI_OBS_Close_out_15</t>
  </si>
  <si>
    <t>Sum of KPI_NCR_Close_out_35</t>
  </si>
  <si>
    <t>100k / independent test</t>
  </si>
  <si>
    <r>
      <t xml:space="preserve">1st_Independent Sampling_Yunnen_BMS
</t>
    </r>
    <r>
      <rPr>
        <b/>
        <sz val="11"/>
        <color rgb="FFFF0000"/>
        <rFont val="新細明體"/>
        <family val="2"/>
        <scheme val="minor"/>
      </rPr>
      <t>(Note: BMS performed the Rockbag material test by themselves, under CAB team management.</t>
    </r>
  </si>
  <si>
    <t>Submit
[ Formula ]</t>
  </si>
  <si>
    <t>Status
[ Select ]</t>
  </si>
  <si>
    <t xml:space="preserve">Action Details:
- Analysis conducted regarding potential scour depth (up to 1 meter).
- Suggested rectification includes the placement of sand/grout bags.
- Geotechnical review performed on 02/08/2024.
- Update of the crossing design drawing to include installation tolerances.
- Conducted offshore toolbox talks to emphasize the importance of installation precision under poor visibility. 
</t>
  </si>
  <si>
    <t xml:space="preserve">including in "Final Product Integrity Statement" </t>
  </si>
  <si>
    <t xml:space="preserve">- Crossing design drawing has been updated to include installation tolerances.
- Conducted toolbox talks to address personnel oversight and reinforce the "Stop Work" protocol if uncertainty arises regarding installation effectiveness due to procedural issues or poor visibility.
HL subsequently performed the rock berm installation at the HL2B crossing location, replacing the function of the originally installed bottom layer mattresses. This engineering measure was implemented to mitigate potential scour risks and ensure continuous protection of the crossing. </t>
  </si>
  <si>
    <t xml:space="preserve">Bobby Weliyanto, Hailong, JDN </t>
  </si>
  <si>
    <t xml:space="preserve">- Standard / specification/drawing needs improvement
- Standard/specification/drawing not followed.
- Procedure adequacy of installation tolerances and personnel attention if uncertainty of suitability to land the mattresses with poor visibility. </t>
  </si>
  <si>
    <t xml:space="preserve">The original NCR raised for HL2B crossing bottom layer mats identified gaps after installation, initially attributed to positioning deviations. Engineering review clarified that the original design did not sufficiently account for potential scour development from the bottom layer arrangement.
As a result, the Employer implemented an alternative corrective measure by installing a rock berm scour protection, replacing the function of the mats.
A post-installation survey conducted by Jan De Nul (JDN) confirmed the rock berm was installed and issued as-built documentation.
Therefore, while the initial mats installation deviation was not corrected in situ, the risk has been fully mitigated through a design correction and alternative engineering measure. The NCR is considered closed with no residual impact on asset integrity.
Following the post-installation of the cable, the additional rock placement or rock dumping activities will be required to mitigate the risk of excessive scour around the crossing area. </t>
  </si>
  <si>
    <t xml:space="preserve">Corrective Action Verification confirms that the root cause of the NCR has been addressed through a change in design philosophy and implementation of an alternative engineering solution.
The Employer implemented a rock berm scour protection, which was verified by Jan De Nul’s(JDN) post-installation survey, issuing as-built documentation.
Therefore, the corrective actions are verified as effective, preventing recurrence of the original non-conformance. </t>
  </si>
  <si>
    <t xml:space="preserve">Seaway7, Hailong, JDN </t>
  </si>
  <si>
    <t xml:space="preserve"> Statement
The original non-conformance identified at the HL2B crossing bottom layer mats, related to installation gaps and potential scour risk, has been fully addressed through alternative engineering measures. Following engineering review, it was determined that the original bottom layer arrangement did not sufficiently mitigate scour. Consequently, the Employer implemented a rock berm scour protection as the final corrective solution.
A post-installation survey conducted on 01/02/2025 by Jan De Nul confirmed that the rock berm was installed and the scour risk has been effectively mitigated, and the crossing area is now fully protected.
Therefore, the final product integrity is assured. The asset meets the intended design function and long-term stability requirements, with no residual impact from the original non-conformance.
Additionally, the design of the rock berm placed at this location is designed to move and settle over time which will ensure continuous coverage in alignment with the specification requirements. There are also, planned interval survey monitoring activities in the OPEX plans to validate that the specification remains in conformance therefore the condition is now considered as low risk, despite the latest survey showing some minor scour at the West South side of the cable crossing section. 
</t>
  </si>
  <si>
    <t xml:space="preserve">HL-CTI-SW7-ENG-PRC-00043 (3.0) WIND - Load-Out Procedure Taiwan (Cable Transfer from CTV to shore storage)
HELLENIC-GNC-000627_Engineering Clarify and Statement
HL-CTI-SW7-QMT-ITP-00001 (5.0) Master ITP </t>
  </si>
  <si>
    <t xml:space="preserve">There are 4 locations of anomalies found on the cable HEC-HL2-800C-05-C (to be install between OSS-HL2B and HL22-F01) in Wind's static tank No.1 during the inspection accompanied with MWS and client rep on 9th of March 2025. </t>
  </si>
  <si>
    <t xml:space="preserve">Mohd Syafiq </t>
  </si>
  <si>
    <t xml:space="preserve">Reclassify as Acceptable / Use As Is with Monitoring </t>
  </si>
  <si>
    <t xml:space="preserve">Verification has been carried out to confirm the effectiveness of the immediate correction actions implemented for cable HEC-HL2-800C-05-C.
1. All four anomaly locations were verified as clearly marked with yellow spray paint and tape during transpooling, as documented in TW0001-MEMO-LOADOUT-TW-0001 with photographic evidence.
2. The anomaly locations and dimensions were recorded and cross-checked with the Memo records, ensuring traceability.
3. The affected cable section was isolated from installation activities until completion of verification testing.
4. Electrical and optical integrity was subsequently verified by TDR, IR, Sheath, and OTDR tests (as attached), all tests were passed.
Based on the above, the immediate correction actions are confirmed to be implemented and effective. The nonconformance is verified as controlled and validated for further disposition. 
</t>
  </si>
  <si>
    <t xml:space="preserve">The anomalies observed on cable HEC-HL2-800C-05-C (OD variations may be caused by localized deformation of the outer sheath during storage and handling. Localized pressure and mechanical stress occurred on the cable while being stored in the static tank and during subsequent transpooling operations, resulting in visible outer diameter irregularities. </t>
  </si>
  <si>
    <t xml:space="preserve">
Inspection of cable outer diameter anomalies was performed accordance with ITP requirements. Records were reviewed and the results have been attached for traceability. </t>
  </si>
  <si>
    <t xml:space="preserve">Cable outer diameter anomalies were tested in accordance with ITP requirements. Records have been reviewed and attached, and the results were confirmed acceptable. </t>
  </si>
  <si>
    <t xml:space="preserve">Subsequent verification testing, including TDR, IR, Sheath, and OTDR performed, confirmed full compliance cable supplier’s instruction and ITP requirement with no anomalies observed in electrical or optical performance. Based on the above evidence, the integrity of cable HEC-HL2-800C-05-C is confirmed. </t>
  </si>
  <si>
    <t>Delivery From</t>
  </si>
  <si>
    <t>Delivery To</t>
  </si>
  <si>
    <t>Site
Readiness</t>
  </si>
  <si>
    <t>Date Raised</t>
  </si>
  <si>
    <t>Location</t>
  </si>
  <si>
    <t>Title</t>
  </si>
  <si>
    <t>OSD</t>
  </si>
  <si>
    <t>NOI_Total</t>
  </si>
  <si>
    <t>SW7-NCR-000017</t>
  </si>
  <si>
    <t xml:space="preserve">TW0001-ENG-00036 - ATT02 - WTG Power Core Term </t>
  </si>
  <si>
    <t>TW0001 Minimal grease applied on H02 L1 and L2 XB3</t>
  </si>
  <si>
    <t xml:space="preserve">H02 L1 and L2 XB3 </t>
  </si>
  <si>
    <t xml:space="preserve">Jordan Liam Mcghee </t>
  </si>
  <si>
    <t xml:space="preserve">NA </t>
  </si>
  <si>
    <t xml:space="preserve">Regrease and reinstall the cable onto the bushing. </t>
  </si>
  <si>
    <t xml:space="preserve">switchgear D02 </t>
  </si>
  <si>
    <t xml:space="preserve">No impact on product integrity </t>
  </si>
  <si>
    <t xml:space="preserve">Issuing SPI to supplier requesting for the activation of their QA mechanism over root cause investigation and submission of corrective and preventive action proposal. </t>
  </si>
  <si>
    <t xml:space="preserve">The checklist has been provided to HL CR on vessel for review and approval </t>
  </si>
  <si>
    <t xml:space="preserve">
Simon Simpson, Daniel Mitchell </t>
  </si>
  <si>
    <t xml:space="preserve">Complacency and negligence to abide by correct procedures. </t>
  </si>
  <si>
    <t xml:space="preserve">
1) Re-enforcement and alignment on procedure.
2) Lesson learnt session to raise awareness of adhering to procedures. </t>
  </si>
  <si>
    <t xml:space="preserve">Simon Simpson, Daniel Mitchell </t>
  </si>
  <si>
    <t xml:space="preserve">The installation of IAC FO cables does not comply with Fibre-Optic Cable Termination Procedure as specified in Task Plan 2.5 that the 2 incoming IAC FO cables shall be installed through the first two vertically arranged cable gland openings from the bottom left of the FO box (as marked in Red in attached pic.) The 2 outgoing IAC FO cables shall be installed on the third and the fourth cable gland openings (as marked in Blue in attached pic.).
The noncompliance was noted by the client while reviewing the FO termination as built documents for D strings. </t>
  </si>
  <si>
    <t xml:space="preserve">No impact on performance; limited to cable layout only. </t>
  </si>
  <si>
    <t xml:space="preserve">To immediately contain and correct the nonconformance related to Fiber Optic (FO) terminationㄝ, incorrect cable entry position, and ensure all subsequent terminations are performed in accordance with the approved MOC-035 revised procedure. </t>
  </si>
  <si>
    <t xml:space="preserve">TW0001-OCO-MOC-0035 is approved by HL </t>
  </si>
  <si>
    <t xml:space="preserve">Mark Govindasamy </t>
  </si>
  <si>
    <t xml:space="preserve">The nonconformance occurred because the updated MOC-035 procedure for FO cable entry configuration was not communicated to the site team before execution.
As a result, technicians followed the outdated Task Plan 2.5, causing incorrect cable entry positions. The root cause is identified as ineffective communication and implementation control of procedural changes (MOC) and insufficient clarity in the work instruction. </t>
  </si>
  <si>
    <t xml:space="preserve">The issue is resolved; the deviation has no impact on function or reliability.
Future recurrence risk is mitigated through procedural updates and enhanced communication under MOC-035. </t>
  </si>
  <si>
    <t>2025-10</t>
  </si>
  <si>
    <t>KPI_2025_10</t>
  </si>
  <si>
    <t>#
(Formula)</t>
  </si>
  <si>
    <t>Correction  Verification</t>
  </si>
  <si>
    <t>Correction Verified By</t>
  </si>
  <si>
    <t>Corrective Action  Verification</t>
  </si>
  <si>
    <t>Corrective Action Verified By</t>
  </si>
  <si>
    <t xml:space="preserve">Use as is </t>
  </si>
  <si>
    <t>Term</t>
  </si>
  <si>
    <t>Definition</t>
  </si>
  <si>
    <t>當考慮將產品設為  "Use As Is" （原樣使用）條件時，通常需要考慮多個因素，以確保產品的安全性、可靠性和完整性得以保持。根據您提供的信息，以下是可能需要考慮的一些因素：
1. **安全完整性（Safety Integrity）：** 確保產品在使用過程中不會對人員、設備或環境造成危害。這可能涉及到確保產品的關鍵安全功能不會受到損害或減弱。
2. **電氣完整性（Electrical Integrity）：** 確保產品的電氣部分不會受到損害，以防止電氣故障或危險。
3. **功能完整性（Functional Integrity）：** 確保產品仍能夠執行其設計功能，不會導致功能缺陷或失效。
4. **機械完整性（Mechanical Integrity）：** 確保產品的機械部分不會出現損壞或變形，以確保其性能不受損害。
5. **結構完整性（Structural Integrity）：** 如果產品涉及結構元件，確保這些元件不會出現結構性問題，以防止結構性故障或危險。
6. **產品壽命完整性（Product Lifetime Integrity）：** 考慮產品的預期壽命，確保 "Use As Is" 不會對產品的長期運行造成損害或可靠性下降。
在進行這種決策時，通常需要專業的技術評估和風險分析，以確保不會引入不可接受的風險。如果可以證明 "Use As Is" 的決策不會危及產品的安全性和性能，並且可以通過相應的文件證明這一點，那麼可以考慮接受該產品。但必須謹慎進行評估，以確保不會產生未預期的後果。</t>
  </si>
  <si>
    <t>Quality System Failure</t>
  </si>
  <si>
    <t>如專案建造階段相關計畫或作業程序，一個月內被重複開立缺失</t>
  </si>
  <si>
    <t>如專案建造工地銲接品質缺失，一個月內被重複開立缺失。</t>
  </si>
  <si>
    <t xml:space="preserve">如專案建造工地未辦理申驗即逕行施工，一個月內被重複開立缺失。 </t>
  </si>
  <si>
    <t>如專案建造工地未自檢就辦理申驗，一個月內被重複開立缺失。</t>
  </si>
  <si>
    <t>如專案建造工地連續被開立器材儲存維護缺失，一個月內重複開立缺失。</t>
  </si>
  <si>
    <t>如電機一個月內重複被開立相同的品質缺失(或電機包商一個月內)</t>
  </si>
  <si>
    <t>專案建造被業主開立重大品質缺失(CAR)</t>
  </si>
  <si>
    <t>專案採購發生系統性品質問題(不符合事項歸責為採購)</t>
  </si>
  <si>
    <t>如專案採購階段相關器材之MDB(製造計畫，檢驗測試相關紀錄)，一個月內被重複開立缺失</t>
  </si>
  <si>
    <t>如採購器材交貨至工地之品質缺失，一個月內被重複開立缺失。</t>
  </si>
  <si>
    <t>施工安裝後，被開立缺失屬器材製造品質缺失，一個月內被重複開立缺失。</t>
  </si>
  <si>
    <t>如採購器材交貨至工地屬設計品質缺失，一個月內被重複開立缺失。</t>
  </si>
  <si>
    <t>因工程品質瑕疵事件，遭政府機關開立罰鍰者；或業主開立扣款之罰單且未於時限內完成改善者。</t>
  </si>
  <si>
    <t>施工安裝後，被開立缺失屬設計品質缺失，一個月內被重複開立缺失。</t>
  </si>
  <si>
    <t>施工程品質瑕疵事件可歸責於廠商自身產品瑕疵且需要廠商修復雖不影響計畫時程，但修復時間超過NCR要求時間。</t>
  </si>
  <si>
    <t>##</t>
  </si>
  <si>
    <t>Supplier/supplier shall provide calibration reports valid for one (1) year.</t>
  </si>
  <si>
    <t>Experience and license of quality personnel</t>
  </si>
  <si>
    <t>Project Quality Plan ( PQP )</t>
  </si>
  <si>
    <t>Specific construction quality plan</t>
  </si>
  <si>
    <t>Inspection and test plan (ITP)</t>
  </si>
  <si>
    <t>Quality Organization Chart</t>
  </si>
  <si>
    <t>Hellenic</t>
  </si>
  <si>
    <t>SUP_IAC</t>
  </si>
  <si>
    <t>SUP_LSC</t>
  </si>
  <si>
    <t>LS</t>
  </si>
  <si>
    <t>T&amp;I_FOU</t>
  </si>
  <si>
    <t>SUP_OSS</t>
  </si>
  <si>
    <t>SM&amp;PTSC</t>
  </si>
  <si>
    <t>TECO</t>
  </si>
  <si>
    <t>Inter Array Cable_SUP_LS Cable</t>
  </si>
  <si>
    <t>Export Cable_SUP_LS Cable</t>
  </si>
  <si>
    <t>Contractor_Master</t>
  </si>
  <si>
    <t>Q_Contacts</t>
  </si>
  <si>
    <t>Extend for details</t>
  </si>
  <si>
    <t>Bellmouth</t>
  </si>
  <si>
    <t>Improvement</t>
  </si>
  <si>
    <t>Re-Inspection</t>
  </si>
  <si>
    <t>W/H Inspection</t>
  </si>
  <si>
    <t>Contractor / Package
Quality</t>
  </si>
  <si>
    <t>Quality / Contractor</t>
  </si>
  <si>
    <t>Contractor / Package</t>
  </si>
  <si>
    <t>Package / Quality</t>
  </si>
  <si>
    <t>Person In Charge -&gt;</t>
  </si>
  <si>
    <t>CheckBox</t>
  </si>
  <si>
    <t>Close NCR</t>
  </si>
  <si>
    <t>Info_</t>
  </si>
  <si>
    <t xml:space="preserve">This is the tools for this system </t>
  </si>
  <si>
    <t>Program</t>
  </si>
  <si>
    <t>always set up the KPI for each package</t>
  </si>
  <si>
    <t>Activity</t>
  </si>
  <si>
    <t>Subcon</t>
  </si>
  <si>
    <t>Criteria</t>
  </si>
  <si>
    <t>Inspection Method</t>
  </si>
  <si>
    <t>2025-11</t>
  </si>
  <si>
    <t>KPI_2025_11</t>
  </si>
  <si>
    <t>Sum of KPI_2025_10</t>
  </si>
  <si>
    <t>Sum of KPI_2025_11</t>
  </si>
  <si>
    <t>KPI</t>
  </si>
  <si>
    <t>The pivot chart has been updated each month.</t>
  </si>
  <si>
    <t>HL3_OSS_FOU</t>
  </si>
  <si>
    <t>Survey Report</t>
  </si>
  <si>
    <t>Installation</t>
  </si>
  <si>
    <t>Armour</t>
  </si>
  <si>
    <t>HL2_OSS_FOU</t>
  </si>
  <si>
    <t>HL3_WTG_CPS</t>
  </si>
  <si>
    <t>HL2_WTG_CPS</t>
  </si>
  <si>
    <t>HL3_OSS_CPS</t>
  </si>
  <si>
    <t>HL2_OSS_CPS</t>
  </si>
  <si>
    <t>Filter_Layer</t>
  </si>
  <si>
    <t>HL3</t>
  </si>
  <si>
    <t>TOCC</t>
  </si>
  <si>
    <t>Hand-Over</t>
  </si>
  <si>
    <t>TOC</t>
  </si>
  <si>
    <t>HL2</t>
  </si>
  <si>
    <t xml:space="preserve"> Release_Certificate</t>
  </si>
  <si>
    <t>SAT</t>
  </si>
  <si>
    <t>CCC</t>
  </si>
  <si>
    <t>Pre-Assy</t>
  </si>
  <si>
    <t xml:space="preserve">WTG </t>
  </si>
  <si>
    <t>Manufacture</t>
  </si>
  <si>
    <t>Nacelle</t>
  </si>
  <si>
    <t>Blase</t>
  </si>
  <si>
    <t>Tower_Top Section</t>
  </si>
  <si>
    <t>Tower_Lower_Middle_Section</t>
  </si>
  <si>
    <t>Tower_Upper_Middle_Section</t>
  </si>
  <si>
    <t>Tower_Bottom_Section</t>
  </si>
  <si>
    <t>SIT Report</t>
  </si>
  <si>
    <t>SIT</t>
  </si>
  <si>
    <t>SAT Report</t>
  </si>
  <si>
    <t>FAT Report</t>
  </si>
  <si>
    <t>Test Report</t>
  </si>
  <si>
    <t>DAC Test</t>
  </si>
  <si>
    <t>CAB</t>
  </si>
  <si>
    <t>T&amp;T Report</t>
  </si>
  <si>
    <t>Termination &amp; Test</t>
  </si>
  <si>
    <t>2-Side_Cable_Pull_In_Test</t>
  </si>
  <si>
    <t>OSIT Report</t>
  </si>
  <si>
    <t>OSIT</t>
  </si>
  <si>
    <t>Topside</t>
  </si>
  <si>
    <t>OSAT Report</t>
  </si>
  <si>
    <t>OSAT</t>
  </si>
  <si>
    <t>As-Built</t>
  </si>
  <si>
    <t>Jackets</t>
  </si>
  <si>
    <t>Pin_Piles</t>
  </si>
  <si>
    <t>FOU</t>
  </si>
  <si>
    <t>Comment</t>
  </si>
  <si>
    <t xml:space="preserve">ASB Q'ty </t>
  </si>
  <si>
    <t>Documents</t>
  </si>
  <si>
    <t>Product</t>
  </si>
  <si>
    <t xml:space="preserve">Key Contractual Test Tracker </t>
  </si>
  <si>
    <t>SR (Shount Reactor)</t>
  </si>
  <si>
    <t>MTR (Main Transfer)</t>
  </si>
  <si>
    <t>GIS (Gas Isolate Sweatgear)</t>
  </si>
  <si>
    <t>HF (Hoarmonic Filter)</t>
  </si>
  <si>
    <t>CAB Termination</t>
  </si>
  <si>
    <t xml:space="preserve">Load-out </t>
  </si>
  <si>
    <t>Post-Load out report</t>
  </si>
  <si>
    <t>OSS - HL2</t>
  </si>
  <si>
    <t>OSS - HL3</t>
  </si>
  <si>
    <t xml:space="preserve">HL2 - xx </t>
  </si>
  <si>
    <t>Pre-Load out report</t>
  </si>
  <si>
    <t>Harbour Turntable - HL2</t>
  </si>
  <si>
    <t>Harbour Turntable - HL3</t>
  </si>
  <si>
    <t>Supplier quside- Harbour Turntable</t>
  </si>
  <si>
    <t>Doc. Number</t>
  </si>
  <si>
    <t>權重 (%)</t>
  </si>
  <si>
    <t>評分 (1~5)</t>
  </si>
  <si>
    <t>加權分數</t>
  </si>
  <si>
    <t>備註</t>
  </si>
  <si>
    <t>停機風險高建議高分</t>
  </si>
  <si>
    <t>長交期給高分</t>
  </si>
  <si>
    <t>故障率高給高分</t>
  </si>
  <si>
    <t>成本高但關鍵可低分</t>
  </si>
  <si>
    <t>無替代給高分</t>
  </si>
  <si>
    <t>總分</t>
  </si>
  <si>
    <t>關鍵度
（Criticality）</t>
  </si>
  <si>
    <t>交期
（Lead Time）</t>
  </si>
  <si>
    <t>故障頻率
（Failure Frequency / MTBF）</t>
  </si>
  <si>
    <t>成本
（Cost）</t>
  </si>
  <si>
    <t>可替代性
（Interchangeability）</t>
  </si>
  <si>
    <t>評分</t>
  </si>
  <si>
    <t>意義</t>
  </si>
  <si>
    <t>非常高（例如關鍵零件）</t>
  </si>
  <si>
    <t>高（交期長、替代性低）</t>
  </si>
  <si>
    <t>中等（有部分替代方案）</t>
  </si>
  <si>
    <t>低（可臨時採購）</t>
  </si>
  <si>
    <t>很低（非關鍵、易取得）</t>
  </si>
  <si>
    <t>SpareParts</t>
  </si>
  <si>
    <t>建議(自動判斷建議)</t>
  </si>
  <si>
    <t>等級</t>
  </si>
  <si>
    <t>分類名稱</t>
  </si>
  <si>
    <t>定義說明</t>
  </si>
  <si>
    <t>對應建議</t>
  </si>
  <si>
    <r>
      <t>故障會造成</t>
    </r>
    <r>
      <rPr>
        <b/>
        <sz val="11"/>
        <color theme="1"/>
        <rFont val="新細明體"/>
        <family val="2"/>
        <scheme val="minor"/>
      </rPr>
      <t>整體系統停機</t>
    </r>
    <r>
      <rPr>
        <sz val="11"/>
        <color theme="1"/>
        <rFont val="新細明體"/>
        <family val="2"/>
        <scheme val="minor"/>
      </rPr>
      <t>或</t>
    </r>
    <r>
      <rPr>
        <b/>
        <sz val="11"/>
        <color theme="1"/>
        <rFont val="新細明體"/>
        <family val="2"/>
        <scheme val="minor"/>
      </rPr>
      <t>安全風險</t>
    </r>
    <r>
      <rPr>
        <sz val="11"/>
        <color theme="1"/>
        <rFont val="新細明體"/>
        <family val="2"/>
        <scheme val="minor"/>
      </rPr>
      <t>（如人員傷害、環境事件）。</t>
    </r>
  </si>
  <si>
    <r>
      <t>必須立即更換，應</t>
    </r>
    <r>
      <rPr>
        <b/>
        <sz val="11"/>
        <color theme="1"/>
        <rFont val="新細明體"/>
        <family val="2"/>
        <scheme val="minor"/>
      </rPr>
      <t>常備庫存（Stock Spare）</t>
    </r>
    <r>
      <rPr>
        <sz val="11"/>
        <color theme="1"/>
        <rFont val="新細明體"/>
        <family val="2"/>
        <scheme val="minor"/>
      </rPr>
      <t>。</t>
    </r>
  </si>
  <si>
    <t>4 - High（高度關鍵）</t>
  </si>
  <si>
    <r>
      <t>故障會導致</t>
    </r>
    <r>
      <rPr>
        <b/>
        <sz val="11"/>
        <color theme="1"/>
        <rFont val="新細明體"/>
        <family val="2"/>
        <scheme val="minor"/>
      </rPr>
      <t>主要功能喪失</t>
    </r>
    <r>
      <rPr>
        <sz val="11"/>
        <color theme="1"/>
        <rFont val="新細明體"/>
        <family val="2"/>
        <scheme val="minor"/>
      </rPr>
      <t>或重大生產中斷。</t>
    </r>
  </si>
  <si>
    <r>
      <t>建議購買至少 1~2 套</t>
    </r>
    <r>
      <rPr>
        <b/>
        <sz val="11"/>
        <color theme="1"/>
        <rFont val="新細明體"/>
        <family val="2"/>
        <scheme val="minor"/>
      </rPr>
      <t>在地備品（On-Site Spare）</t>
    </r>
    <r>
      <rPr>
        <sz val="11"/>
        <color theme="1"/>
        <rFont val="新細明體"/>
        <family val="2"/>
        <scheme val="minor"/>
      </rPr>
      <t>。</t>
    </r>
  </si>
  <si>
    <t>3 - Medium（中度關鍵）</t>
  </si>
  <si>
    <r>
      <t>故障造成</t>
    </r>
    <r>
      <rPr>
        <b/>
        <sz val="11"/>
        <color theme="1"/>
        <rFont val="新細明體"/>
        <family val="2"/>
        <scheme val="minor"/>
      </rPr>
      <t>部分性能下降</t>
    </r>
    <r>
      <rPr>
        <sz val="11"/>
        <color theme="1"/>
        <rFont val="新細明體"/>
        <family val="2"/>
        <scheme val="minor"/>
      </rPr>
      <t>但不影響安全，可短期容忍。</t>
    </r>
  </si>
  <si>
    <r>
      <t>可設定</t>
    </r>
    <r>
      <rPr>
        <b/>
        <sz val="11"/>
        <color theme="1"/>
        <rFont val="新細明體"/>
        <family val="2"/>
        <scheme val="minor"/>
      </rPr>
      <t>Lead Time 採購</t>
    </r>
    <r>
      <rPr>
        <sz val="11"/>
        <color theme="1"/>
        <rFont val="新細明體"/>
        <family val="2"/>
        <scheme val="minor"/>
      </rPr>
      <t>。</t>
    </r>
  </si>
  <si>
    <t>2 - Low（低關鍵）</t>
  </si>
  <si>
    <t>故障僅影響輔助功能或效率。</t>
  </si>
  <si>
    <t>可按需採購（On Demand）。</t>
  </si>
  <si>
    <t>1 - Non-Critical（非關鍵）</t>
  </si>
  <si>
    <t>故障不影響運作或可長時間延後修復。</t>
  </si>
  <si>
    <r>
      <t>不需備品，列為</t>
    </r>
    <r>
      <rPr>
        <b/>
        <sz val="11"/>
        <color theme="1"/>
        <rFont val="新細明體"/>
        <family val="2"/>
        <scheme val="minor"/>
      </rPr>
      <t>一般耗材</t>
    </r>
    <r>
      <rPr>
        <sz val="11"/>
        <color theme="1"/>
        <rFont val="新細明體"/>
        <family val="2"/>
        <scheme val="minor"/>
      </rPr>
      <t>管理。</t>
    </r>
  </si>
  <si>
    <t>說明</t>
  </si>
  <si>
    <t>建議對應分數</t>
  </si>
  <si>
    <t>5 – 超長交期</t>
  </si>
  <si>
    <t>交期超過 6 個月，會導致系統長期停機風險</t>
  </si>
  <si>
    <t>4 – 長交期</t>
  </si>
  <si>
    <t>約 3–6 個月，無法快速補貨</t>
  </si>
  <si>
    <t>3 – 中交期</t>
  </si>
  <si>
    <t>約 1–3 個月，可事先預測採購</t>
  </si>
  <si>
    <t>2 – 短交期</t>
  </si>
  <si>
    <t>幾週內可取得，供應穩定</t>
  </si>
  <si>
    <t>1 – 即時供應</t>
  </si>
  <si>
    <t>現貨或當地庫存可立即取得</t>
  </si>
  <si>
    <t>定義</t>
  </si>
  <si>
    <t>MTBF 參考值</t>
  </si>
  <si>
    <t>5 – 高故障率</t>
  </si>
  <si>
    <t>經常故障，平均 &lt; 1 年</t>
  </si>
  <si>
    <t>&lt; 8,000 小時</t>
  </si>
  <si>
    <t>4 – 偶發故障</t>
  </si>
  <si>
    <t>平均 1–2 年一次</t>
  </si>
  <si>
    <t>8,000–15,000 小時</t>
  </si>
  <si>
    <t>3 – 中等可靠</t>
  </si>
  <si>
    <t>平均 2–3 年一次</t>
  </si>
  <si>
    <t>15,000–25,000 小時</t>
  </si>
  <si>
    <t>2 – 低故障率</t>
  </si>
  <si>
    <t>平均 3–5 年一次</t>
  </si>
  <si>
    <t>25,000–40,000 小時</t>
  </si>
  <si>
    <t>1 – 高可靠性</t>
  </si>
  <si>
    <t>超過 5 年無需更換</t>
  </si>
  <si>
    <t>&gt; 40,000 小時</t>
  </si>
  <si>
    <t>參考範圍 (USD)</t>
  </si>
  <si>
    <t>5 – 極高成本</t>
  </si>
  <si>
    <t>投資超過 50,000 USD</t>
  </si>
  <si>
    <t>&gt;50,000</t>
  </si>
  <si>
    <t>1（不易購買）</t>
  </si>
  <si>
    <t>4 – 高成本</t>
  </si>
  <si>
    <t>約 10,000–50,000 USD</t>
  </si>
  <si>
    <t>3 – 中成本</t>
  </si>
  <si>
    <t>約 1,000–10,000 USD</t>
  </si>
  <si>
    <t>2 – 低成本</t>
  </si>
  <si>
    <t>約 200–1,000 USD</t>
  </si>
  <si>
    <t>1 – 極低成本</t>
  </si>
  <si>
    <t>&lt;200 USD</t>
  </si>
  <si>
    <t>5（可大量採購）</t>
  </si>
  <si>
    <t>範例</t>
  </si>
  <si>
    <t>5 – 無替代性</t>
  </si>
  <si>
    <t>僅此零件可用，設計專屬</t>
  </si>
  <si>
    <t>專屬控制模組、主變壓器線圈</t>
  </si>
  <si>
    <t>4 – 低替代性</t>
  </si>
  <si>
    <t>有替代品但需修改設計或重新測試</t>
  </si>
  <si>
    <t>特殊規格馬達、感測器</t>
  </si>
  <si>
    <t>3 – 可替代但效能略降</t>
  </si>
  <si>
    <t>可使用同系列替代品</t>
  </si>
  <si>
    <t>一般型軸承、接頭</t>
  </si>
  <si>
    <t>2 – 易替代</t>
  </si>
  <si>
    <t>市售標準品可替換</t>
  </si>
  <si>
    <t>管件、接頭、開關</t>
  </si>
  <si>
    <t>1 – 完全通用</t>
  </si>
  <si>
    <t>任意品牌可即時替換</t>
  </si>
  <si>
    <t>螺絲、墊圈、潤滑油</t>
  </si>
  <si>
    <r>
      <t>關鍵判斷：交期若</t>
    </r>
    <r>
      <rPr>
        <b/>
        <sz val="11"/>
        <color theme="1"/>
        <rFont val="新細明體"/>
        <family val="2"/>
        <scheme val="minor"/>
      </rPr>
      <t>長於允許停機容忍時間</t>
    </r>
    <r>
      <rPr>
        <sz val="11"/>
        <color theme="1"/>
        <rFont val="新細明體"/>
        <family val="2"/>
        <scheme val="minor"/>
      </rPr>
      <t>，應視為高關鍵項並備品。</t>
    </r>
  </si>
  <si>
    <t>可結合實際維運記錄與製造商 MTBF 資料共同評估。</t>
  </si>
  <si>
    <t>成本項評分邏輯反向（越便宜分數越高），可反映成本容忍度。</t>
  </si>
  <si>
    <t>建議在備品清單中註記「通用 / 非通用」以利盤點與採購。</t>
  </si>
  <si>
    <t>若零件失效會導致系統停機、安全風險或無替代可用，即視為高關鍵，必須預先備品。</t>
  </si>
  <si>
    <t>//</t>
  </si>
  <si>
    <t>Comment / Quality Concern / Open Items</t>
  </si>
  <si>
    <t>Summary for MC meeting</t>
  </si>
  <si>
    <t>Criticality / Severity</t>
  </si>
  <si>
    <t>Good</t>
  </si>
  <si>
    <r>
      <rPr>
        <sz val="11"/>
        <color rgb="FFFF0000"/>
        <rFont val="新細明體"/>
        <family val="2"/>
        <scheme val="minor"/>
      </rPr>
      <t xml:space="preserve">&gt; 04/09/2025 - All IAC products delivered but cannot close this package due to the below finding and potential risk
</t>
    </r>
    <r>
      <rPr>
        <sz val="11"/>
        <color rgb="FF000000"/>
        <rFont val="新細明體"/>
        <family val="2"/>
        <scheme val="minor"/>
      </rPr>
      <t xml:space="preserve">&gt; Concern of deformation on received IAC cable - Requires assessment and / or Warranty Statement - </t>
    </r>
    <r>
      <rPr>
        <b/>
        <sz val="11"/>
        <color rgb="FF000000"/>
        <rFont val="新細明體"/>
        <family val="2"/>
        <scheme val="minor"/>
      </rPr>
      <t xml:space="preserve">See EMPL-GNC-016848 - </t>
    </r>
    <r>
      <rPr>
        <sz val="11"/>
        <color rgb="FF000000"/>
        <rFont val="新細明體"/>
        <family val="2"/>
        <scheme val="minor"/>
      </rPr>
      <t xml:space="preserve">Hellenic response states no change in Warranty conditions and no risk concern with the observed condition.  </t>
    </r>
    <r>
      <rPr>
        <sz val="11"/>
        <color rgb="FFFF0000"/>
        <rFont val="新細明體"/>
        <family val="2"/>
        <scheme val="minor"/>
      </rPr>
      <t>04/09/2025 - This cable HEC-HL2-400-02 has been installed between B01 and B02 - Awaiting energisation to conclude no integrity compromise (as neither the IAC Contractor, IAC Installer or HL CAB Team took Quality Departments advice of conducting a Sheath Test, TDR and OTDR to re-validate that there is no compromise present)</t>
    </r>
  </si>
  <si>
    <t>2 - Moderate</t>
  </si>
  <si>
    <t>FOU-PP-LOC-CSBC​</t>
  </si>
  <si>
    <t>CLOSED</t>
  </si>
  <si>
    <t>N/A - Products Delivered and all approved</t>
  </si>
  <si>
    <r>
      <rPr>
        <sz val="11"/>
        <color rgb="FF000000"/>
        <rFont val="新細明體"/>
        <family val="2"/>
        <scheme val="minor"/>
      </rPr>
      <t xml:space="preserve">&gt; </t>
    </r>
    <r>
      <rPr>
        <b/>
        <sz val="11"/>
        <color rgb="FF000000"/>
        <rFont val="新細明體"/>
        <family val="2"/>
        <scheme val="minor"/>
      </rPr>
      <t>SMPTSC-NCR-000035</t>
    </r>
    <r>
      <rPr>
        <sz val="11"/>
        <color rgb="FF000000"/>
        <rFont val="新細明體"/>
        <family val="2"/>
        <scheme val="minor"/>
      </rPr>
      <t xml:space="preserve"> - Some issues found with the cable tray and Hang Off Connection arrangement at OSS - Ongoing - Correction ongoing with new cable route and additional cable cleats for permanent fixing - </t>
    </r>
    <r>
      <rPr>
        <sz val="11"/>
        <color rgb="FFFF0000"/>
        <rFont val="新細明體"/>
        <family val="2"/>
        <scheme val="minor"/>
      </rPr>
      <t>04/09/2025 - Correction completed and awaiting final NCR report and photo evidence to support</t>
    </r>
  </si>
  <si>
    <t>FOU-PP-INT-EEW​</t>
  </si>
  <si>
    <t>Fair</t>
  </si>
  <si>
    <r>
      <rPr>
        <sz val="11"/>
        <color rgb="FF000000"/>
        <rFont val="新細明體"/>
        <family val="2"/>
        <scheme val="minor"/>
      </rPr>
      <t>&gt; Inadvertent release of fire suppression system on HL2 Topside (Offshore) due to water ingress into electrical junction boxes - Corrected - S</t>
    </r>
    <r>
      <rPr>
        <b/>
        <sz val="11"/>
        <color rgb="FF000000"/>
        <rFont val="新細明體"/>
        <family val="2"/>
        <scheme val="minor"/>
      </rPr>
      <t xml:space="preserve">ee SMPTSC-NCR-000029 </t>
    </r>
    <r>
      <rPr>
        <sz val="11"/>
        <color rgb="FF000000"/>
        <rFont val="新細明體"/>
        <family val="2"/>
        <scheme val="minor"/>
      </rPr>
      <t xml:space="preserve">Awaiting gas canister fill for completion - Targeted for Feb 2025 during the yearly maintenance.  </t>
    </r>
    <r>
      <rPr>
        <sz val="11"/>
        <color rgb="FF00B050"/>
        <rFont val="新細明體"/>
        <family val="2"/>
        <scheme val="minor"/>
      </rPr>
      <t xml:space="preserve">A risk assessment has been conducted to justify that product integrity is still maintained / not compromised by this decision on </t>
    </r>
    <r>
      <rPr>
        <b/>
        <sz val="11"/>
        <color rgb="FF00B050"/>
        <rFont val="新細明體"/>
        <family val="2"/>
        <scheme val="minor"/>
      </rPr>
      <t xml:space="preserve">SMPTSC-GNC-003031 - </t>
    </r>
    <r>
      <rPr>
        <sz val="11"/>
        <color rgb="FFFF0000"/>
        <rFont val="新細明體"/>
        <family val="2"/>
        <scheme val="minor"/>
      </rPr>
      <t xml:space="preserve">04/09/2025 - Replacement was made in Apr 2025 but it is noticed that replacement took approximately 9 months which is considerd as unnacceptable, before closing an improvement opportunity has been requested to describe the future planned turnaround time for this critical aspect of the OSS
</t>
    </r>
    <r>
      <rPr>
        <b/>
        <sz val="11"/>
        <color rgb="FFFF0000"/>
        <rFont val="新細明體"/>
        <family val="2"/>
        <scheme val="minor"/>
      </rPr>
      <t xml:space="preserve">&gt; SMPTSC-NCR-000036 &amp; EMPL-ISSNOT-000022 </t>
    </r>
    <r>
      <rPr>
        <sz val="11"/>
        <color rgb="FFFF0000"/>
        <rFont val="新細明體"/>
        <family val="2"/>
        <scheme val="minor"/>
      </rPr>
      <t>Significant signs of corrosion on Stainless Steel surfaces on HL2 &amp; HL3 Topside - Investigation Ongoing for potential correction actions to take</t>
    </r>
  </si>
  <si>
    <t>FOU-JKT-INT-SKOP​</t>
  </si>
  <si>
    <r>
      <rPr>
        <sz val="11"/>
        <color rgb="FF000000"/>
        <rFont val="新細明體"/>
        <family val="2"/>
        <scheme val="minor"/>
      </rPr>
      <t xml:space="preserve">&gt; Increasing number of deviations being captured / highlighted (hence a high number remaining open).  SGRE wish to fix many of their minor issues in the offshore phase / post installation to stay on track with delivery schedule.  </t>
    </r>
    <r>
      <rPr>
        <sz val="11"/>
        <color rgb="FF00B050"/>
        <rFont val="新細明體"/>
        <family val="2"/>
        <scheme val="minor"/>
      </rPr>
      <t>Note: As shown in NCR data, there are very few that are considered as Major or Critical.  = &gt;1%, therefore currently only a low risk concern</t>
    </r>
  </si>
  <si>
    <t>T&amp;I _ CABINSTALL_S7</t>
  </si>
  <si>
    <t>Poor</t>
  </si>
  <si>
    <t>4 - Critical</t>
  </si>
  <si>
    <r>
      <t xml:space="preserve">T&amp;I _ [ </t>
    </r>
    <r>
      <rPr>
        <b/>
        <i/>
        <sz val="11"/>
        <color rgb="FF000000"/>
        <rFont val="新細明體"/>
        <family val="2"/>
        <scheme val="minor"/>
      </rPr>
      <t>HDD</t>
    </r>
    <r>
      <rPr>
        <b/>
        <sz val="11"/>
        <color rgb="FF000000"/>
        <rFont val="新細明體"/>
        <family val="2"/>
        <scheme val="minor"/>
      </rPr>
      <t xml:space="preserve"> ] &amp; [ </t>
    </r>
    <r>
      <rPr>
        <b/>
        <i/>
        <sz val="11"/>
        <color rgb="FF000000"/>
        <rFont val="新細明體"/>
        <family val="2"/>
        <scheme val="minor"/>
      </rPr>
      <t>Inter Array Cable</t>
    </r>
    <r>
      <rPr>
        <b/>
        <sz val="11"/>
        <color rgb="FF000000"/>
        <rFont val="新細明體"/>
        <family val="2"/>
        <scheme val="minor"/>
      </rPr>
      <t xml:space="preserve"> ] &amp; [ </t>
    </r>
    <r>
      <rPr>
        <b/>
        <i/>
        <sz val="11"/>
        <color rgb="FF000000"/>
        <rFont val="新細明體"/>
        <family val="2"/>
        <scheme val="minor"/>
      </rPr>
      <t>Export</t>
    </r>
    <r>
      <rPr>
        <b/>
        <sz val="11"/>
        <color rgb="FF000000"/>
        <rFont val="新細明體"/>
        <family val="2"/>
        <scheme val="minor"/>
      </rPr>
      <t xml:space="preserve"> </t>
    </r>
    <r>
      <rPr>
        <b/>
        <i/>
        <sz val="11"/>
        <color rgb="FF000000"/>
        <rFont val="新細明體"/>
        <family val="2"/>
        <scheme val="minor"/>
      </rPr>
      <t>Cable</t>
    </r>
    <r>
      <rPr>
        <b/>
        <sz val="11"/>
        <color rgb="FF000000"/>
        <rFont val="新細明體"/>
        <family val="2"/>
        <scheme val="minor"/>
      </rPr>
      <t xml:space="preserve"> ]_Seaway 7</t>
    </r>
  </si>
  <si>
    <r>
      <rPr>
        <sz val="11"/>
        <color rgb="FF00B050"/>
        <rFont val="新細明體"/>
        <family val="2"/>
        <scheme val="minor"/>
      </rPr>
      <t xml:space="preserve">&gt; Serious Quality Issue, not following planned arrangements and installing less mattresses over the Pipeline Crossing and creating a major scour issue over other companies assets - Corrected with rock bags and additional mattresses.  Latest survey results show a significant scour developed leaving HL Cable in free span - Further correction actions required </t>
    </r>
    <r>
      <rPr>
        <b/>
        <sz val="11"/>
        <color rgb="FF00B050"/>
        <rFont val="新細明體"/>
        <family val="2"/>
        <scheme val="minor"/>
      </rPr>
      <t xml:space="preserve">See SW7-NCR-000007 &amp; SW7-GNC-000980 - </t>
    </r>
    <r>
      <rPr>
        <sz val="11"/>
        <color rgb="FF00B050"/>
        <rFont val="新細明體"/>
        <family val="2"/>
        <scheme val="minor"/>
      </rPr>
      <t xml:space="preserve">Following rectification works the latest data shows no exposure and improving conditions.  </t>
    </r>
    <r>
      <rPr>
        <sz val="11"/>
        <color rgb="FFFF0000"/>
        <rFont val="新細明體"/>
        <family val="2"/>
        <scheme val="minor"/>
      </rPr>
      <t xml:space="preserve">04/09/2025 - NCR Closed folowing post rock berm placement and post install survey showing stable conditions in accordance with the original design specification requirements.
</t>
    </r>
    <r>
      <rPr>
        <sz val="11"/>
        <color rgb="FF000000"/>
        <rFont val="新細明體"/>
        <family val="2"/>
        <scheme val="minor"/>
      </rPr>
      <t xml:space="preserve">&gt; </t>
    </r>
    <r>
      <rPr>
        <b/>
        <sz val="11"/>
        <color rgb="FF000000"/>
        <rFont val="新細明體"/>
        <family val="2"/>
        <scheme val="minor"/>
      </rPr>
      <t>SW7-NCR-000008</t>
    </r>
    <r>
      <rPr>
        <sz val="11"/>
        <color rgb="FF000000"/>
        <rFont val="新細明體"/>
        <family val="2"/>
        <scheme val="minor"/>
      </rPr>
      <t xml:space="preserve"> - Concern of damaged IAC cable during Tran spooling HL2-800-05C &amp; 05B from Vessel to Taichung Port (Potentially Critical Damage on PP Yarn) - Requires assessment and warranty Statement - Considered not Minor by Hellenic and currently the product is in storage in Taiwan - What is the consequence of long term outdoor storage? - </t>
    </r>
    <r>
      <rPr>
        <sz val="11"/>
        <color rgb="FFFF0000"/>
        <rFont val="新細明體"/>
        <family val="2"/>
        <scheme val="minor"/>
      </rPr>
      <t xml:space="preserve">04/09/2025 - Closed for HL2-800-05C due to revalidation testing shown in SW7-NCR-000010 - HL2-800-05B is outstanding - Location = HL2A OSS to HL21-J01 &amp; HL2A OSS to HL21-A01
</t>
    </r>
    <r>
      <rPr>
        <sz val="11"/>
        <color rgb="FF000000"/>
        <rFont val="新細明體"/>
        <family val="2"/>
        <scheme val="minor"/>
      </rPr>
      <t xml:space="preserve">&gt; Recurring equipment breakdown affecting the offshore cable installation programme.  Carousel damage leading to complete system breakdown (2nd time).  Deep RCA required from SW7 with HL RCA Specialist input
&gt; </t>
    </r>
    <r>
      <rPr>
        <b/>
        <sz val="11"/>
        <color rgb="FF000000"/>
        <rFont val="新細明體"/>
        <family val="2"/>
        <scheme val="minor"/>
      </rPr>
      <t>SW7-NCR-000015</t>
    </r>
    <r>
      <rPr>
        <sz val="11"/>
        <color rgb="FF000000"/>
        <rFont val="新細明體"/>
        <family val="2"/>
        <scheme val="minor"/>
      </rPr>
      <t xml:space="preserve"> - TW0001 Wrong Insertion of FO cable to FO Box at WTG
&gt; </t>
    </r>
    <r>
      <rPr>
        <sz val="11"/>
        <color rgb="FFFF0000"/>
        <rFont val="新細明體"/>
        <family val="2"/>
        <scheme val="minor"/>
      </rPr>
      <t>Approx x5 RFNCR (Requests for NCR) that are not being taken seriously or agreed with in SW7</t>
    </r>
    <r>
      <rPr>
        <sz val="11"/>
        <color rgb="FF000000"/>
        <rFont val="新細明體"/>
        <family val="2"/>
        <scheme val="minor"/>
      </rPr>
      <t xml:space="preserve"> - Quality to review and escalate them to formal NCR's if considered still a clear nonconformance
&gt; </t>
    </r>
    <r>
      <rPr>
        <b/>
        <sz val="11"/>
        <color rgb="FF000000"/>
        <rFont val="新細明體"/>
        <family val="2"/>
        <scheme val="minor"/>
      </rPr>
      <t>EMPL-RFNCR-000108</t>
    </r>
    <r>
      <rPr>
        <sz val="11"/>
        <color rgb="FF000000"/>
        <rFont val="新細明體"/>
        <family val="2"/>
        <scheme val="minor"/>
      </rPr>
      <t xml:space="preserve"> - Process Nonconformance - Using ineffective measuring system / data for decision making and reporting - This is a continuous condition that SW7 do not take ownership of
</t>
    </r>
    <r>
      <rPr>
        <sz val="11"/>
        <color rgb="FFFF0000"/>
        <rFont val="新細明體"/>
        <family val="2"/>
        <scheme val="minor"/>
      </rPr>
      <t xml:space="preserve">&gt; </t>
    </r>
    <r>
      <rPr>
        <b/>
        <sz val="11"/>
        <color rgb="FFFF0000"/>
        <rFont val="新細明體"/>
        <family val="2"/>
        <scheme val="minor"/>
      </rPr>
      <t>SW7-NCR-000016</t>
    </r>
    <r>
      <rPr>
        <sz val="11"/>
        <color rgb="FFFF0000"/>
        <rFont val="新細明體"/>
        <family val="2"/>
        <scheme val="minor"/>
      </rPr>
      <t xml:space="preserve"> - Snapped FO cable on OSS HL2 H String top section cable - Minor issue only as damage is only to a single fibre and spares are available within the FO Bundle that can be used
&gt; EXC 3.1 installation into HDD experienced a pulling tension over the maximum pulling force due to a snag of a guide block caught inside the HDD.  NCR to be raised.</t>
    </r>
  </si>
  <si>
    <r>
      <t xml:space="preserve">T&amp;I_ [ </t>
    </r>
    <r>
      <rPr>
        <b/>
        <i/>
        <sz val="11"/>
        <color rgb="FF000000"/>
        <rFont val="新細明體"/>
        <family val="2"/>
        <scheme val="minor"/>
      </rPr>
      <t>OSS FOU</t>
    </r>
    <r>
      <rPr>
        <b/>
        <sz val="11"/>
        <color rgb="FF000000"/>
        <rFont val="新細明體"/>
        <family val="2"/>
        <scheme val="minor"/>
      </rPr>
      <t xml:space="preserve">] &amp; [ </t>
    </r>
    <r>
      <rPr>
        <b/>
        <i/>
        <sz val="11"/>
        <color rgb="FF000000"/>
        <rFont val="新細明體"/>
        <family val="2"/>
        <scheme val="minor"/>
      </rPr>
      <t>Topside</t>
    </r>
    <r>
      <rPr>
        <b/>
        <sz val="11"/>
        <color rgb="FF000000"/>
        <rFont val="新細明體"/>
        <family val="2"/>
        <scheme val="minor"/>
      </rPr>
      <t xml:space="preserve"> ] &amp; [ </t>
    </r>
    <r>
      <rPr>
        <b/>
        <i/>
        <sz val="11"/>
        <color rgb="FF000000"/>
        <rFont val="新細明體"/>
        <family val="2"/>
        <scheme val="minor"/>
      </rPr>
      <t>WTG</t>
    </r>
    <r>
      <rPr>
        <b/>
        <sz val="11"/>
        <color rgb="FF000000"/>
        <rFont val="新細明體"/>
        <family val="2"/>
        <scheme val="minor"/>
      </rPr>
      <t xml:space="preserve"> ] _ CDWE</t>
    </r>
  </si>
  <si>
    <r>
      <rPr>
        <sz val="11"/>
        <color rgb="FF000000"/>
        <rFont val="新細明體"/>
        <family val="2"/>
        <scheme val="minor"/>
      </rPr>
      <t xml:space="preserve">&gt; 04/09/2025 - All JPG Issues in 2024 campaign have been proven as no impact through engineering assessments and closed with no product integrity compromise present
&gt; 04/09/2025 - Some new JPG failure issues during installation that requre investigation and engineering analysis HL30-S03 Leg C = </t>
    </r>
    <r>
      <rPr>
        <b/>
        <sz val="11"/>
        <color rgb="FF000000"/>
        <rFont val="新細明體"/>
        <family val="2"/>
        <scheme val="minor"/>
      </rPr>
      <t>CDWE-NCR-000023</t>
    </r>
    <r>
      <rPr>
        <sz val="11"/>
        <color rgb="FF000000"/>
        <rFont val="新細明體"/>
        <family val="2"/>
        <scheme val="minor"/>
      </rPr>
      <t xml:space="preserve">, HL30-U03 Leg A = </t>
    </r>
    <r>
      <rPr>
        <b/>
        <sz val="11"/>
        <color rgb="FF000000"/>
        <rFont val="新細明體"/>
        <family val="2"/>
        <scheme val="minor"/>
      </rPr>
      <t>CDWE-NCR-000026</t>
    </r>
    <r>
      <rPr>
        <sz val="11"/>
        <color rgb="FF000000"/>
        <rFont val="新細明體"/>
        <family val="2"/>
        <scheme val="minor"/>
      </rPr>
      <t xml:space="preserve">, HL30-Mo5 Leg B = </t>
    </r>
    <r>
      <rPr>
        <b/>
        <sz val="11"/>
        <color rgb="FF000000"/>
        <rFont val="新細明體"/>
        <family val="2"/>
        <scheme val="minor"/>
      </rPr>
      <t xml:space="preserve">CDWE-NCR-000027 - Closed
</t>
    </r>
    <r>
      <rPr>
        <b/>
        <sz val="11"/>
        <color rgb="FF00B050"/>
        <rFont val="新細明體"/>
        <family val="2"/>
        <scheme val="minor"/>
      </rPr>
      <t xml:space="preserve">&gt; 07/10/2025 - All JPG issues have been closed. </t>
    </r>
  </si>
  <si>
    <t>1 - Slight / Negligible</t>
  </si>
  <si>
    <r>
      <rPr>
        <sz val="11"/>
        <color rgb="FF000000"/>
        <rFont val="新細明體"/>
        <family val="2"/>
        <scheme val="minor"/>
      </rPr>
      <t xml:space="preserve">&gt; Some failures of JPG's being experienced in offshore environment with x9 failed in 2024 Installation Campaign and x3 failed in 2025 campaign to date.  Being managed with individual cases by CDWE NCR's. 
</t>
    </r>
    <r>
      <rPr>
        <b/>
        <sz val="11"/>
        <color rgb="FF00B050"/>
        <rFont val="新細明體"/>
        <family val="2"/>
        <scheme val="minor"/>
      </rPr>
      <t xml:space="preserve">&gt; All JPG issues (NCR) have been closed with engineering assessment by CDWE's NCR </t>
    </r>
  </si>
  <si>
    <t>RTI_JDN</t>
  </si>
  <si>
    <r>
      <rPr>
        <sz val="11"/>
        <color rgb="FF000000"/>
        <rFont val="新細明體"/>
        <family val="2"/>
        <scheme val="minor"/>
      </rPr>
      <t xml:space="preserve">N/A - All products are progressing without outstanding quality issues.  </t>
    </r>
    <r>
      <rPr>
        <sz val="11"/>
        <color rgb="FFFF0000"/>
        <rFont val="新細明體"/>
        <family val="2"/>
        <scheme val="minor"/>
      </rPr>
      <t>04/09/2025 - Completing the As Built Documentation review at present</t>
    </r>
  </si>
  <si>
    <t>CAB-IAC-HELLENIC</t>
  </si>
  <si>
    <t>CAB-EXC-LSCABLE</t>
  </si>
  <si>
    <t>N/A - Products Delivered and As-Built Documents are under reviewing.</t>
  </si>
  <si>
    <r>
      <rPr>
        <sz val="11"/>
        <color rgb="FFFF0000"/>
        <rFont val="新細明體"/>
        <family val="2"/>
        <scheme val="minor"/>
      </rPr>
      <t xml:space="preserve">&gt; Investigating a Paint Cracking Observation on the D01 Boatlanding </t>
    </r>
    <r>
      <rPr>
        <b/>
        <sz val="11"/>
        <color rgb="FFFF0000"/>
        <rFont val="新細明體"/>
        <family val="2"/>
        <scheme val="minor"/>
      </rPr>
      <t>EMPL-ISSNOT-000094</t>
    </r>
    <r>
      <rPr>
        <sz val="11"/>
        <color rgb="FFFF0000"/>
        <rFont val="新細明體"/>
        <family val="2"/>
        <scheme val="minor"/>
      </rPr>
      <t xml:space="preserve"> and numerous observation relating to the TP Doors</t>
    </r>
  </si>
  <si>
    <t>T&amp;I_OSS/FOUINSTALL_CDWE</t>
  </si>
  <si>
    <t>&gt; 04/09/2025 - Progressing well and the As Built Documentation is starting to progress to Approved status also.  No current issues</t>
  </si>
  <si>
    <t>RockBag_BMS</t>
  </si>
  <si>
    <r>
      <rPr>
        <sz val="11"/>
        <color rgb="FF000000"/>
        <rFont val="新細明體"/>
        <family val="2"/>
        <scheme val="minor"/>
      </rPr>
      <t xml:space="preserve">No current quality issues within this package, </t>
    </r>
    <r>
      <rPr>
        <sz val="11"/>
        <color rgb="FFFF0000"/>
        <rFont val="新細明體"/>
        <family val="2"/>
        <scheme val="minor"/>
      </rPr>
      <t>04/09/2025 - however, significant improvements required for the As Built submitted documentation</t>
    </r>
  </si>
  <si>
    <r>
      <rPr>
        <sz val="11"/>
        <color rgb="FF000000"/>
        <rFont val="新細明體"/>
        <family val="2"/>
        <scheme val="minor"/>
      </rPr>
      <t xml:space="preserve">&gt; </t>
    </r>
    <r>
      <rPr>
        <b/>
        <sz val="11"/>
        <color rgb="FF000000"/>
        <rFont val="新細明體"/>
        <family val="2"/>
        <scheme val="minor"/>
      </rPr>
      <t>Teco Quality Resources have continuous change and lack of stability.</t>
    </r>
    <r>
      <rPr>
        <sz val="11"/>
        <color rgb="FF000000"/>
        <rFont val="新細明體"/>
        <family val="2"/>
        <scheme val="minor"/>
      </rPr>
      <t xml:space="preserve">  The department has been continuously under resourced according to the plans and their focus is often taken away from Quality to conduct other activities.  This has to change and strong messages have been given but this has not changed the Contractors behaviours.  There is generally a low level of competence and / or experience specific to Quality within the Quality Department.  This issue is not seen as a problem with the Quality Team itself but more with the Management Team interference, restrictions and lack of autonomy given to the Quality Department.  Note: Another new Quality Manager appointed in Jul 2025 (Toby Tseng) - Awaiting formal notification - Requested in </t>
    </r>
    <r>
      <rPr>
        <b/>
        <sz val="11"/>
        <color rgb="FF000000"/>
        <rFont val="新細明體"/>
        <family val="2"/>
        <scheme val="minor"/>
      </rPr>
      <t xml:space="preserve">EMPL-GNC-025660 </t>
    </r>
    <r>
      <rPr>
        <sz val="11"/>
        <color rgb="FFFF0000"/>
        <rFont val="新細明體"/>
        <family val="2"/>
        <scheme val="minor"/>
      </rPr>
      <t xml:space="preserve">- 04/09/2025 - Chased x3 times.
</t>
    </r>
    <r>
      <rPr>
        <sz val="11"/>
        <color rgb="FF000000"/>
        <rFont val="新細明體"/>
        <family val="2"/>
        <scheme val="minor"/>
      </rPr>
      <t xml:space="preserve">&gt; TECO Management are continuously using non competent persons in many roles throughout the organisation. </t>
    </r>
    <r>
      <rPr>
        <sz val="11"/>
        <color rgb="FFFF0000"/>
        <rFont val="新細明體"/>
        <family val="2"/>
        <scheme val="minor"/>
      </rPr>
      <t xml:space="preserve"> Desk based investigation from previous audit findings did not show the evidence that I was looking for to escalate this situation.  Quality to conduct a competence audit of TECO for key positions relating to Quality, Engineering, Commissioning and critical works aspects</t>
    </r>
    <r>
      <rPr>
        <sz val="11"/>
        <color rgb="FF000000"/>
        <rFont val="新細明體"/>
        <family val="2"/>
        <scheme val="minor"/>
      </rPr>
      <t xml:space="preserve"> - Recent Audit conducted in Jun 2025 </t>
    </r>
    <r>
      <rPr>
        <b/>
        <sz val="11"/>
        <color rgb="FF000000"/>
        <rFont val="新細明體"/>
        <family val="2"/>
        <scheme val="minor"/>
      </rPr>
      <t>EMPL-GNC-026398</t>
    </r>
    <r>
      <rPr>
        <sz val="11"/>
        <color rgb="FF000000"/>
        <rFont val="新細明體"/>
        <family val="2"/>
        <scheme val="minor"/>
      </rPr>
      <t xml:space="preserve"> which confirmed with NCR002, a critical finding related to lack of competence management within Teco and no justification of competence available for roles within Teco
&gt; Quality Improvement Plan requested and Quality Campaigning and Awareness Sessions required as part of the plan - See </t>
    </r>
    <r>
      <rPr>
        <b/>
        <sz val="11"/>
        <color rgb="FF000000"/>
        <rFont val="新細明體"/>
        <family val="2"/>
        <scheme val="minor"/>
      </rPr>
      <t>EMPL-GNC-017834</t>
    </r>
    <r>
      <rPr>
        <sz val="11"/>
        <color rgb="FF000000"/>
        <rFont val="新細明體"/>
        <family val="2"/>
        <scheme val="minor"/>
      </rPr>
      <t xml:space="preserve"> - Initial QIP presented WK43 2024 with feedback comments returned for strengthening / improvement opportunities - Next Quality Improvement Campaign to be started in Qtr 2 2025 - To be continued by new HL QAQC Rep from Aug 2025 onwards - </t>
    </r>
    <r>
      <rPr>
        <sz val="11"/>
        <color rgb="FFFF0000"/>
        <rFont val="新細明體"/>
        <family val="2"/>
        <scheme val="minor"/>
      </rPr>
      <t>04/09/2025 - Quality Improvement Plan currently being updated and some Quality Training sessions have been implemented and distributed throughout September.  A lessons learned session is also being introduced at site between HL and Teco.
&gt; TECO-NCR-000131 - The Press Ring issue is related to TECO’s GIS termination head assembly process. It mainly concerns insufficient control during assembly and inspection of the Press Ring, which may affect the overall mechanical integrity and electrical insulation performance of the equipment.</t>
    </r>
  </si>
  <si>
    <t>Overall Status
NCR close-out rate remains unchanged at 87%, indicating steady progress in issue resolution.
Currently x4 NCRs remain under monitoring, and x6 RFNCRs are still under discussion.
All cases are linked to Seaway7’s execution quality, reliability, and process management.
HL Quality team continues to follow up on Root Cause Analysis (RCA), revalidation, and continuous improvement actions.</t>
  </si>
  <si>
    <t>TECO’s quality issues are systemic and management-driven rather than personnel-based. Fundamental improvement requires competence audits, a strengthened QIP, and sustained training programs.
Under-Resourced - TECO Quality Department has been continuously under-resourced and frequently diverted to non-quality tasks. - Unchanged
Competence Audit - Multiple roles filled by unqualified personnel; audit in June 2025 (EMPL-GNC-026398) confirmed NCR002 — lack of competence management and no justification for roles. - Major nonconformity confirmed
Press Ring Issue - TECO-NCR-000131 — related to GIS termination head assembly; poor control and inspection of Press Ring may impact structural integrity and electrical insulation. - Under monitoring
The closure progress of NCRs and Observations from TECO remains significantly delayed.</t>
  </si>
  <si>
    <t>Increasing number of deviations being captured / highlighted (hence a high number remaining open).  SGRE wish to fix many of their minor issues in the offshore phase / post installation to stay on track with delivery schedule.  Note: As shown in NCR data, there are very few that are considered as Major or Critical.  &lt; 1%, therefore currently only a low risk concern</t>
  </si>
  <si>
    <t>04/09/2025 - All IAC products delivered but cannot close this package due to the below finding and potential risk_x000B_Concern of deformation on received IAC cable - Requires assessment and / or Warranty Statement - See EMPL-GNC-016848 - Hellenic response states no change in Warranty conditions and no risk concern with the observed condition.  
04/09/2025 - This cable HEC-HL2-400-02 has been installed between B01 and B02 - Awaiting energization to conclude no integrity compromise (as neither the IAC Contractor, IAC Installer or HL CAB Team took Quality Departments advice of conducting a Sheath Test, TDR and OTDR to re-validate that there is no compromise present)</t>
  </si>
  <si>
    <t>As-built documents are currently under review for final revision.</t>
  </si>
  <si>
    <t>Currently completing the As Built Documentation review at present.</t>
  </si>
  <si>
    <t>No current quality issues within this package</t>
  </si>
  <si>
    <t xml:space="preserve"> N/A - Products Delivered and all approved</t>
  </si>
  <si>
    <t>Investigating a Paint Cracking Observation on the D01 Boat-landing EMPL-ISSNOT-000094 and numerous observation relating to the TP Doors.
Inspection completed – no defect found. Paint cracking on D01 Boat-landing was inspected on 13-Oct-2025._x000B_As SKOP official report confirms no welding cracks after the NDT inspection. Observation can be closed.</t>
  </si>
  <si>
    <t>Accu_Forecast</t>
  </si>
  <si>
    <t>Accu_Complete</t>
  </si>
  <si>
    <t>Forecast</t>
  </si>
  <si>
    <t>Complete</t>
  </si>
  <si>
    <t>Sum of Forecast</t>
  </si>
  <si>
    <t>Sum of Complete</t>
  </si>
  <si>
    <t>Month_Adj</t>
  </si>
  <si>
    <t>May 2025</t>
  </si>
  <si>
    <t>Accu_AsB</t>
  </si>
  <si>
    <t xml:space="preserve">Sum of ASB Q'ty </t>
  </si>
  <si>
    <t>Windows</t>
  </si>
  <si>
    <t>Procedure</t>
  </si>
  <si>
    <t>Start Date</t>
  </si>
  <si>
    <t>End Date</t>
  </si>
  <si>
    <t>KCT</t>
  </si>
  <si>
    <t>KCT_Pivot</t>
  </si>
  <si>
    <t>R</t>
  </si>
  <si>
    <t>Check Point
Q , R , H , W</t>
  </si>
  <si>
    <t>EPCI</t>
  </si>
  <si>
    <t>Standard/Code
or Guidelines</t>
  </si>
  <si>
    <t>Event No.</t>
  </si>
  <si>
    <t>M1</t>
  </si>
  <si>
    <t>Rebar
鋼筋</t>
  </si>
  <si>
    <t>M2</t>
  </si>
  <si>
    <t>CNS 560</t>
  </si>
  <si>
    <t>CNS 2602</t>
  </si>
  <si>
    <t>Concrete
混凝土</t>
  </si>
  <si>
    <t>Bending Test(Pile)
抗彎測試</t>
  </si>
  <si>
    <t>M3</t>
  </si>
  <si>
    <t>M4</t>
  </si>
  <si>
    <t>M5</t>
  </si>
  <si>
    <t>D≤10mm, SD280W
D≤16mm, SD420W</t>
  </si>
  <si>
    <t>Deliver to site
運抵工地</t>
  </si>
  <si>
    <t>Document Review
檢視文件</t>
  </si>
  <si>
    <t>Sampling in factory
工廠取樣</t>
  </si>
  <si>
    <t xml:space="preserve">ITP-PL-01 </t>
  </si>
  <si>
    <t>H</t>
  </si>
  <si>
    <t>W</t>
  </si>
  <si>
    <t>HSE</t>
  </si>
  <si>
    <t>Fc'≥ 800 kgf/cm2</t>
  </si>
  <si>
    <t>Records</t>
  </si>
  <si>
    <t>Acceptance
Criteria</t>
  </si>
  <si>
    <t>AWS D1.1</t>
  </si>
  <si>
    <t>Mcr &gt; 250kN-M</t>
  </si>
  <si>
    <t>HL-ONS-TECO-GEODWG-08000</t>
  </si>
  <si>
    <t>Reject
拒收</t>
  </si>
  <si>
    <t>Personnel List
合格人員名單</t>
  </si>
  <si>
    <t xml:space="preserve">Material certificate
材料證明 </t>
  </si>
  <si>
    <t>Welder list
焊工名單</t>
  </si>
  <si>
    <t>Qualified Personnel
認證人員</t>
  </si>
  <si>
    <t>Before Welding
焊接前</t>
  </si>
  <si>
    <t>License
合格證</t>
  </si>
  <si>
    <t>Reject
禁止作業</t>
  </si>
  <si>
    <t>Frequency</t>
  </si>
  <si>
    <t>Check Timing</t>
  </si>
  <si>
    <t>Each batch
每批</t>
  </si>
  <si>
    <t>A. Before Construction 施工前</t>
  </si>
  <si>
    <t>A1</t>
  </si>
  <si>
    <t>Pile Conformity Inspection
基樁完整性</t>
  </si>
  <si>
    <t>1. No rebar or wires
exposed
無鋼筋或線材外露</t>
  </si>
  <si>
    <t>2. No stone exposed 無石頭外露</t>
  </si>
  <si>
    <t>4. No Crash damage 無碰撞損毀</t>
  </si>
  <si>
    <t>6. Surface smoothly 表面平滑</t>
  </si>
  <si>
    <t>7. Flatness &lt; L/1000 平直度&lt; L/1000</t>
  </si>
  <si>
    <t>1. Visual 
目視檢查
2. Tape measure 
捲尺
3. Crack meter 
裂紋量測器</t>
  </si>
  <si>
    <t>5/100 pcs</t>
  </si>
  <si>
    <t>ITP-PL-01</t>
  </si>
  <si>
    <t>Deliver to site 
運抵工地</t>
  </si>
  <si>
    <t>A2</t>
  </si>
  <si>
    <t>Length 長度</t>
  </si>
  <si>
    <t>CNS2602</t>
  </si>
  <si>
    <t>Tape measure
捲尺</t>
  </si>
  <si>
    <t>A3</t>
  </si>
  <si>
    <t>Thickness 厚度</t>
  </si>
  <si>
    <t>100mm -2/+40mm</t>
  </si>
  <si>
    <t>A4</t>
  </si>
  <si>
    <t>Outer Diameter 外徑</t>
  </si>
  <si>
    <t>600mm-4/+7mm</t>
  </si>
  <si>
    <t>A5</t>
  </si>
  <si>
    <t>A6</t>
  </si>
  <si>
    <t>Quantity 數量</t>
  </si>
  <si>
    <t>Shipping Order
送貨單</t>
  </si>
  <si>
    <t>Meet shipping order
符合送貨單數量</t>
  </si>
  <si>
    <t>Visual
目視檢查</t>
  </si>
  <si>
    <t>Each Time
每次</t>
  </si>
  <si>
    <t>Supplement
補足</t>
  </si>
  <si>
    <t xml:space="preserve">Re-stakeout
重新放樣 </t>
  </si>
  <si>
    <t xml:space="preserve">ITP-SV-01 </t>
  </si>
  <si>
    <t>Stakeout 放樣</t>
  </si>
  <si>
    <t>HL-ONS-TECO-STRDWG-02000</t>
  </si>
  <si>
    <t>Meet design
requirement
符合設計要求</t>
  </si>
  <si>
    <t>Before construction
施工前</t>
  </si>
  <si>
    <t>Tape Measure
捲尺</t>
  </si>
  <si>
    <t>B. During Construction 施工中</t>
  </si>
  <si>
    <t>B1</t>
  </si>
  <si>
    <t>Pile Joint 樁頭</t>
  </si>
  <si>
    <t>B2</t>
  </si>
  <si>
    <t>B3</t>
  </si>
  <si>
    <t>5. Groove depth&lt; 5mm 凹槽深度&lt; 5mm</t>
  </si>
  <si>
    <t>3. Slight scratch 輕微刮損 
- Length 長&lt; 100 mm 
- Width 寬&lt; 20mm 
- Depth 深&lt; 5mm</t>
  </si>
  <si>
    <t>1. One (1) pile failed
發現 1 支基樁缺失
- Sampling other 3 piles, find
defects, Reject all.
額外取樣 3 支，若有缺失則
全部拒收
- Sampling other 3 piles, no
defects, ONLY Reject the
failed pile.
額外取樣 3 支，若無缺失，
僅拒收瑕疵樁
------------------
2. Two (2) piles failed
發現 2 支樁損壞
- Reject all
全部拒收</t>
  </si>
  <si>
    <t>Welding 焊接</t>
  </si>
  <si>
    <t>Verticality of Pile
基樁垂直度</t>
  </si>
  <si>
    <t>B4</t>
  </si>
  <si>
    <t>Hit number of hammers
打擊次數</t>
  </si>
  <si>
    <t>No Oil, Rust, Dust
無油、生鏽、灰塵</t>
  </si>
  <si>
    <t>Each Pile
每支</t>
  </si>
  <si>
    <t>Clean
清潔</t>
  </si>
  <si>
    <t>Nonconformity 
Treatment</t>
  </si>
  <si>
    <t>CNS 13341</t>
  </si>
  <si>
    <t>No Defect
無缺失</t>
  </si>
  <si>
    <t>After Welding
焊接後</t>
  </si>
  <si>
    <t>NDT – MT
非破壞磁粒檢測</t>
  </si>
  <si>
    <t>1/50 pcs</t>
  </si>
  <si>
    <t>Re-weld
重新焊接</t>
  </si>
  <si>
    <t>ITP-PL-02 &amp;3rd party inspection report 
第三方檢驗報告</t>
  </si>
  <si>
    <t>&lt; 1/75</t>
  </si>
  <si>
    <t>&lt; 2000 hits
&lt; 2000 次數</t>
  </si>
  <si>
    <t>During Piling
打樁時</t>
  </si>
  <si>
    <t>Spirit Level Ruler
水平尺</t>
  </si>
  <si>
    <t>Adjust 調整</t>
  </si>
  <si>
    <t xml:space="preserve">ITP-PL-02&amp;04 </t>
  </si>
  <si>
    <t>Check pile integration
檢查基樁完整性</t>
  </si>
  <si>
    <t>ITP-PL-02&amp;04</t>
  </si>
  <si>
    <t>※</t>
  </si>
  <si>
    <t>C. After Construction 施工後</t>
  </si>
  <si>
    <t>C1</t>
  </si>
  <si>
    <t>Pile Position
基樁座標查驗</t>
  </si>
  <si>
    <t>Tolerance &lt; 10cm
偏移&lt; 10cm</t>
  </si>
  <si>
    <t>After Piling
打樁後</t>
  </si>
  <si>
    <t>Total Station
全站儀</t>
  </si>
  <si>
    <t>TP-PL-03</t>
  </si>
  <si>
    <t>1. if the tolerance more than 10cm the coordinates should feedback to design side for reanalysis. 
1. 位移量超過 10cm 時，將樁座標回饋設計進行分析
2. Decide whether to add new piles according to the reanalysis 
2. 依分析結果評估是否補樁</t>
  </si>
  <si>
    <t>C2</t>
  </si>
  <si>
    <t>Pile Elevation
基樁高程</t>
  </si>
  <si>
    <t>Tolerance within  ± 7.5 cm
偏移 ± 7.5 cm內</t>
  </si>
  <si>
    <t>ITP-PL-04</t>
  </si>
  <si>
    <t>1. If the pile elevation tolerance more the +7.5 cm, the pile should be cut off to meet design requirement. 
1. 假如 基 樁 高 程 偏 移 超 過+7.5cm，樁頭切除高程應由設計單位確認。
2. If the pile elevation tolerance more the -7.5 cm，should follow DWG08001 to extend and strengthen the pile. 
2. 假如基樁高程偏移超 過 -7.5cm ， 依照設計圖DWG-08001 進行樁頭延伸補強</t>
  </si>
  <si>
    <t>Legend 
H: Hold Point / H: 檢驗停留點 ; W: Witness Point / W:見證點 ; R: Quality Documents Review / R: 品質文件審查 ; MS: Monitoring /Surveillance / MS: 走動管理
※ HSE Check Point / ※ HSE 檢視點</t>
  </si>
  <si>
    <t>Note
The relevant inspection records should be submitted to TECO according to process schedule within 3 days. 
相關查驗記錄應於查驗完成後 3 日內提交送東元審查。</t>
  </si>
  <si>
    <t>編號</t>
  </si>
  <si>
    <t>欄位名稱（英文）</t>
  </si>
  <si>
    <t>欄位名稱（中文）</t>
  </si>
  <si>
    <t>核心定義與要點</t>
  </si>
  <si>
    <t>Basic Question to be Resolved</t>
  </si>
  <si>
    <t>基本待解決問題</t>
  </si>
  <si>
    <t>初始問題通常尚未具體，需先了解上下文才能分析</t>
  </si>
  <si>
    <t>Context</t>
  </si>
  <si>
    <t>說明問題浮現的背景與誘因，提供理解基礎</t>
  </si>
  <si>
    <t>Decision Maker &amp; Stakeholders</t>
  </si>
  <si>
    <t>決策者與利害關係人</t>
  </si>
  <si>
    <t>找出真正能拍板決策者，以及能影響決策的所有人</t>
  </si>
  <si>
    <t>Criteria for Success</t>
  </si>
  <si>
    <t>成功要素</t>
  </si>
  <si>
    <t>定義成功標準與 KPI，並拆解成可執行目標</t>
  </si>
  <si>
    <t>Scope of Solution</t>
  </si>
  <si>
    <t>解決方案範圍</t>
  </si>
  <si>
    <t>釐清可納入思考的主題與不可碰觸的領域</t>
  </si>
  <si>
    <t>Constraints within Solution Space</t>
  </si>
  <si>
    <t>解決方案限制</t>
  </si>
  <si>
    <t>基於人力、時間、預算等資源的現實限制</t>
  </si>
  <si>
    <t>Key Sources of Insight</t>
  </si>
  <si>
    <t>關鍵洞察來源</t>
  </si>
  <si>
    <t>取得分析必要資訊的來源與方法（資料、訪談、研究）</t>
  </si>
  <si>
    <t>1.1</t>
  </si>
  <si>
    <t>HL-CTI-EMPL-CIN-CON-00024  ( no document on Aconex)</t>
  </si>
  <si>
    <t xml:space="preserve">During the processing of the TSV as found data for WB150 (OSS→E01), it was observed that the cable position was not in alignment with the CLV provided as laid data.
Assessment of the as-laid listings and post burial TSS440 data, found the as-laid cable radii are outwith the 2.2m MBR of the cable design report.
No issues were noted at the time time of installation. During 2nd end pull-in, the quadrant was tripped as per procedure to lay the cable on the seabed. There is a request to leave a bight on the seabed to mitigate any potential of the CPS TDP increasing, the FOU team had reported they had pulled in sufficient cable. Subsequently the quadrant was recovered followed by a general survey and WROV position fixing of the as-laid cable.
The onshore data processing team perceived the cable deviation as erroneous USBL data and the track was smoothed. Processing team and reports coordinator/PC failed to check the videos against the as-laid listing.
The TSV subsequently used the erroneous CLV as-laid survey data to plot the CFE route and bury the cable as opposed to processing their own as-found survey data.
Review of the subsequent data shows the cable landed in this configuration when tripped from the quadrant to the seabed.
Assessment of the inital pre-burial data indicates the upper radius is the most onerous at potentially 1.4m. Subsequent assessment of the post CFE burial survey data from the TSS440 shows the lower radius to be the most onerous at potentially1.6m. </t>
  </si>
  <si>
    <t>IAC (WB150) HL2 OSS to E01</t>
  </si>
  <si>
    <t xml:space="preserve">DAC testing to be prioritised in order to ascertain cable status. </t>
  </si>
  <si>
    <t xml:space="preserve">To be confirmed. </t>
  </si>
  <si>
    <t xml:space="preserve">Root Cause Analysis (RCA) is ongoing and will be updated in due course.
On initial investigation the root cause is a combination of process gaps (missing checks), data processing errors, and operational pressures.
Causes:
a. Installation &amp; Survey
Cable laid with excess length, forming an S-bend at E01.
As-Laid survey showed cable in a suitable position.
No visual check for bight orientation; only confirmed cable was on seabed.
Additional cable length could have been pulled into the tower if noted.
b. Data Processing
Survey data processed incorrectly, smoothing out deviations and showing acceptable bight/radius.
No mandatory ROV fly-by to confirm cable configuration.
No hold-point in task plan for visual bight check.
Pressure to complete burial before wind turbine generator (WTG) package arrival led to use of unprocessed data.
c. Contributing Factors
Operational: Spring tides reduced operational windows; operation delayed by lightning risk; last cable before vessel demobilization.
Personnel: Shift Supervisor was new to the project; focus on seabed contact rather than bight orientation.
Process: No hold-point for bight check; survey data processing moved onshore; changes to work scopes and demob plans distracted focus.
Client Instructions: Burial proceeded before survey data was fully processed, as per client instruction.
Environment: Unfavourable cable orientation for current; seabed profile may have affected cable radius.
d. Root Cause(s)
Based on the 5-Whys analysis and incident review:
Process Weakness: No mandatory step for ROV fly-by to confirm cable configuration; task plan lacked hold-point for bight check.
Data Processing Error: Survey data was smoothed, and deviations were dismissed as erroneous USBL data without proper verification against ROV footage.
Operational Pressure: Burial was rushed due to time constraints and client pressure, leading to use of unprocessed survey data.
Communication &amp; Coordination: Onshore processing team not onboard, reducing synergy and turnaround time. </t>
  </si>
  <si>
    <t xml:space="preserve">Contractor requests Employer and Cable Supplier provide clarity on the long-term cable integrity based on the reduced MBR.
Contractor also requests clarity on whether there are any possible remediation requirements proposed from the Employer and/ or cable supplier.
Contractor will perform DAC testing as soon as operational conditions allow. At the time of writing Pre-Termination testing has passed successfully and has been provided via the Extranet Site in the following reports submitted 31/08/2025:
TW0001-ENG-00039 - 04a
Fibre 1 OTDR Testing (Uni-directional)
TW0001-ENG-00039 - 04b
Fibre 2 OTDR Testing (Uni-directional) 
TW0001-ENG-00039 - 04e
Phase ID Testing
TDR Testing
DC Sheath Testing
IR Testing
Visual Inspection
Conductor DC Resistance Testing (test end)
Screen DC Resistance Testing (remote end) </t>
  </si>
  <si>
    <t>上/下文</t>
  </si>
  <si>
    <t xml:space="preserve">• 定義
 - 成功的清晰定義，包括質化與量化目標
 - 通常對應 KPI
• 清晰定義
名詞與範圍需清楚統一。例如：
 - 「營收成長 30%」＝Gross sales or Net sales？
 - 時間區間＝今年 vs 去年同期？全年 vs 上半年？
• 目標拆解
 - 公司層級 KPI → 部門 KPI → 個人行動目標
• 遊戲規則
 - 成功要素由 Decision Maker + Stakeholders 定義
 - 必須理解「通過門檻條件」才能被認定為成功
</t>
  </si>
  <si>
    <t xml:space="preserve">• 定義
 - 指允許考慮的解決領域，以及不允許碰觸的範圍
• 避免浪費時間
 - 提前排除不可行方向（例：不能找代言人、供應商必須為台灣廠商）
• 範圍影響
 - 範圍愈大複雜度愈高
 - 必須與提出者先釐清範圍邊界
• 成長範圍示例
是否包含：
 - 新產品開發（R&amp;D）
 - 併購（M&amp;A）
 - 跨公司策略合作
</t>
  </si>
  <si>
    <t xml:space="preserve">• 定義
 - 分析問題與設計策略所需的知識與資料來源列表
• 資料類型
 - 公開資料（Google、ChatGPT、Perplexity）
 - 付費資料庫（市場研究、產業分析）
 - 專家網路（內部訪談、外部顧問、產業專家）
• 訪問多樣性
 - 絕不能只訪問一位專家
 - 每位專家都有偏見與盲點
 - 需取樣足夠（N 值大於 1）並交叉驗證
</t>
  </si>
  <si>
    <t xml:space="preserve">• Basic Question to be Resolved (基本待解決問題): 將「如何改善成長？」這類口語化的問題，用 SMART 原則改寫得更具體、可衡量 (例如：「如何在未來 12 個月內將營收成長率恢復到 10% 以上？」)。
Decision Maker and Stakeholders (決策者與利害關係人): 誰會決定是否實施這個「改善成長」的方案？
</t>
  </si>
  <si>
    <t xml:space="preserve">S – Specific（具體）：目標必須明確、具體，說明「要做什麼」。
M – Measurable（可衡量）：目標需要有量化標準，以便評估進度和成果。
A – Achievable（可達成）：目標應該是透過努力可以實現的，而不是不可能的。
R – Relevant（相關）：目標應與整體目標和個人或組織的願景相符。
T – Time-bound（有時限）：目標必須設定一個明確的截止日期，以增加緊迫感。
 </t>
  </si>
  <si>
    <t xml:space="preserve">• 定義
 - 明確識別最終決策者（Decision Maker）
 - 同時識別所有能影響決策的人（Stakeholders）
• 角色區分
 - 提案者未必是決策者（例如 CEO 特助 vs CEO／董事會）
• 策略執行基礎
 - 成功的策略至少不能被關鍵利害人反對
 -  理想狀態：讓多數決策人及影響者願意支持
• 利害關係人分析， 需理解每位 Stakeholder 的：
 - 背景
 - 決策偏好 (Time、Cost、Quality)
 -  風險偏好
 -  與他人的關係（合作、衝突、影響力層級）
</t>
  </si>
  <si>
    <t xml:space="preserve">• 定義
實施方案時的實際限制，例如：
 - 人力
 - 預算
 - 時間
• 與 Scope 的差異
 - Scope = 可以解決的主題
 - Constraints = 執行時的限制條件
• 優先排序
 - 必須釐清「快／好／便宜」的排序偏好
• 與成功要素的取捨
 - 若限制很嚴格，成功要素可能須降階調整 clearer 定義才能進入分析階段
</t>
  </si>
  <si>
    <t xml:space="preserve">• 標準的問題陳述流程 (Situation-Complication-Question) 如下，而您的範例完整涵蓋了 S 和 C：
 - Situation (現況/背景): 企業過去三年成長良好。
 - Complication (複雜性/轉折): 但今年初開始停滯。
 - Question (問題): 應如何改善成長？ (這就是 Basic Question to be Resolved)
</t>
  </si>
  <si>
    <r>
      <t xml:space="preserve">• 核心定義與要點
 - 指最初通常較口語化的問題（例：「我想要增加營收」）
 - 尚未達到可執行／可解決的層級 = 無法進行分析
</t>
    </r>
    <r>
      <rPr>
        <b/>
        <sz val="11"/>
        <color theme="1"/>
        <rFont val="新細明體"/>
        <family val="2"/>
        <scheme val="minor"/>
      </rPr>
      <t xml:space="preserve"> - 需依 Context clearer 定義才能進入分析階段</t>
    </r>
    <r>
      <rPr>
        <sz val="11"/>
        <color theme="1"/>
        <rFont val="新細明體"/>
        <family val="2"/>
        <scheme val="minor"/>
      </rPr>
      <t xml:space="preserve">
</t>
    </r>
  </si>
  <si>
    <r>
      <t>• 核心定義與要點Context（上下文）
 - 探討過去的</t>
    </r>
    <r>
      <rPr>
        <b/>
        <sz val="11"/>
        <color theme="1"/>
        <rFont val="新細明體"/>
        <family val="2"/>
        <scheme val="minor"/>
      </rPr>
      <t>事件</t>
    </r>
    <r>
      <rPr>
        <sz val="11"/>
        <color theme="1"/>
        <rFont val="新細明體"/>
        <family val="2"/>
        <scheme val="minor"/>
      </rPr>
      <t>與</t>
    </r>
    <r>
      <rPr>
        <b/>
        <sz val="11"/>
        <color theme="1"/>
        <rFont val="新細明體"/>
        <family val="2"/>
        <scheme val="minor"/>
      </rPr>
      <t>背景</t>
    </r>
    <r>
      <rPr>
        <sz val="11"/>
        <color theme="1"/>
        <rFont val="新細明體"/>
        <family val="2"/>
        <scheme val="minor"/>
      </rPr>
      <t>，理解問題「為何」浮現
 - 範例：
企業過去三年成長良好，但今年初開始停滯，因此開始問「如何改善成長？」</t>
    </r>
  </si>
  <si>
    <t>* 需要手動取消fiter</t>
  </si>
  <si>
    <t>HL2_WTG_FOU</t>
  </si>
  <si>
    <t>HL3_WTG_FOU</t>
  </si>
  <si>
    <t>H3_WTG_FOU</t>
  </si>
  <si>
    <t>Today_Marker</t>
  </si>
  <si>
    <t>Today_Base</t>
  </si>
  <si>
    <t>Today_Label</t>
  </si>
  <si>
    <t>儲罐設計與製造圖面不符合、船廠能力評估不足、地面乘載力不足</t>
  </si>
  <si>
    <t>Cable StorageTank Fabrication Error 過程中產生不合規製造或延誤</t>
  </si>
  <si>
    <t>1. 合約應要求提供完整船舶維保計畫（如 PMS）與最近一年內 每季保養紀錄
2. 作業前須完成關鍵設備點檢（如繞盤、液壓系統、DP 系統）
3. 發生故障後須於 24 小時內提供 RCA 報告與恢復時程</t>
  </si>
  <si>
    <t>1. 電纜設計階段即應與拋石設計團隊協調，考量石材尺寸、落石方式與分層作業影響
2. 如使用 rock bag / ROV dumping，應確認對電纜&amp;CPS設計機械強度的影響評估報告
3. 納入 CBRA 風險模擬與鋪設後巡檢程序（如 MBES/ROV）</t>
  </si>
  <si>
    <t>(blank)</t>
  </si>
  <si>
    <t>y</t>
  </si>
  <si>
    <t>SW7-NCR-000018</t>
  </si>
  <si>
    <t>TW0001 MBR infringement of cable laid for WB150 E01
[ Reference =  EMPL-RFTI-000599 ]</t>
  </si>
  <si>
    <t xml:space="preserve">On 28/9, upon completion of DAC Testing on H-String, partial discharge was detected at H02. SW7 team then stripped down the terminations on XB2 and XB3 for investigation.
After removing the insulating plug and washer/nut on H02 XB3, the t-boot was found stuck and difficult to remove.
The team finally managed to free the t-boot from the bushing after hours of trying and noticed that the grease on t-boot and bushing was not applied sufficiently. </t>
  </si>
  <si>
    <t>Use-as-is</t>
  </si>
  <si>
    <t xml:space="preserve">DAC test result concluded that the three phases of this inter-array cable string have passed the withstand test at the maximum test voltage
level. The inter-array cable string can be energized for network operation.
(Please refer to attached report:TW0001-ASB-HL2-A-04-04f_Impedance &amp; Damped AC Testing) </t>
  </si>
  <si>
    <t xml:space="preserve">ONsite HV Solutions </t>
  </si>
  <si>
    <t xml:space="preserve">Complacency by the termination jointer led to insufficient dielectric grease application at the T-boot/bushing interface, compromising the insulation and causing partial discharge at H02. </t>
  </si>
  <si>
    <t xml:space="preserve">To remove any ambiguity on the application of T-Boot grease going forward, the following corrective and preventive actions has been proposed and taken:
1 – Documentation &amp; Photo Protocol iAuditor
Additions to photo checklist: (i) grease applied to inner cone before installation, (ii) grease applied to bushing cone, (iii) final installation before excess grease is removed.
2- Training Refresher
Refresher toolbox talk on grease application and ensuring full and even coverage.
3 - Complacency team brief
Teams briefed on complacency creep. Awareness and mitigations discussed. </t>
  </si>
  <si>
    <t xml:space="preserve">
TBT with respect to Safety Alert on avoidance of complacency had been held on 8/11/2025. (Refer to attached TBT report from Ventus, Report No. 25-1185-TBT-REP-005) </t>
  </si>
  <si>
    <t xml:space="preserve">SW7 project Engineer. </t>
  </si>
  <si>
    <t xml:space="preserve">The DAC test result concluded that the three phases of this inter-array cable string have passed the withstand test at the maximum test voltage level. The inter-array cable string can be energized for network operation. </t>
  </si>
  <si>
    <t xml:space="preserve">The PP yarn was damaged on HEC-HL2-800C-05-C and HEC-HL2-800C-05-B. 
Ref. Procedure: Hai Long Subsea Cables – IAC Load-out procedure
HLG02-05-01 – Cable Transfer from CTV to shore storage [TW0001-4300342781-G02-002 Rev 03]
Transpooling was stopped,11th July 2024 - Berth #44 Taichung Harbour, as two sections of cable with evidence of burn damage to the serving were observed during the transpooling operations. “HEC-HL2-800C-05C
1. Description and findings of event
10:38 Cable transfer speed was adjusted from 6mtr/min to 8m/min
10:46 BCE operator (from vessel side BCE) observed cable landing point to deviate towards shore cable tank. In order to correct, transfer speed was adjusted without effect, and slippage was concluded. Instantly an all stop was raised by BCE operator.
11:04 Resumed cable transfer with 2mtr/min in order to investigate cable on ground level. Found BCE to resume transfer as required without problems nor observations.
11:05 Speed up to 6 mtr/min
11:06 Speed up to 8 mtr/min
11:08 Controlled stop in order to investigate.
2. Additional and supporting information
Please find pictures attached within WIND attached report. Wear and tear of PP outer yarn serving found on two locations where the cable had come into contact with BCE wheels. No damage observed in catenary towards or from BCE as it stands.
Further investigation will follow with MOC.
Subsequent to initial damage event, a secondary location of damage has been observed on cable within the storage tank. “HEC-HL2-800C-05B. The damage is not as severe as the original event reported [Secondary event pictures attached to this case].
During transpooling of the HL2 IAC cables from the MV Alanis to static tanks onshore Taichung port berth 44, damage on PP outer serving yarn was observed on the section of HEC-HL2-800C-05-C and HEC-HL2-800C-05-B. </t>
  </si>
  <si>
    <t>Use-as-is after rectification</t>
  </si>
  <si>
    <t xml:space="preserve">The WIND investigation report is attached. WIND have proposed and implemented the following actions as part of return-to-work protocol: Two persons each shift with radio and paddle in cable tank on the vessel to continuously observe cable moving freely. They will free up the cable if required with paddle or order an all stop if more time is required to free up the cable. Persons will be clearly instructed by the supervisor with TBT for safety precautions:- Apply friction tape on plastic markers to ensure continuous grip.
Elevate BCE 2mtrs to optimize angle from cable inner ring to BCE.
Lower cable speed to 4m/min on inner ring to have sufficient time to monitor cable pick up point or free cable if required.
After last cable end; land BCE quayside for full inspection and function -check.
Every 12hrs BCE wheel pressure will be recorded/logged.
On site assessment for optimizing and/or adding CCTV cameras in Vessel hold.
This has been captured within WIND-MOC-001 and approved by all parties - Seaway7, Hai Long and MWS.
Repair the damage section as per HL-IAC-HELLENIC-ENG-PRC-00011(1.0) Submarine Cable Serving Repair Procedure </t>
  </si>
  <si>
    <t xml:space="preserve">Repair was completed to acceptance standard and approved by HL CR. </t>
  </si>
  <si>
    <t xml:space="preserve">
Leon &amp; Anthony Brown </t>
  </si>
  <si>
    <t xml:space="preserve">Repair Works on cable 05C were successfully completed. Refer to Inspection report IVR-HL-001 Rev 2.
Deviations to the Hellenic Repair Procedure are captured within Management of Change HL-IAC-MOC-01, approved by all parties - Seaway7 , Hai Long and MWS.
Additional 05B outer damage found - reported on 11th July, damage located in storage area. WIND have been notified and this section of damage shall be assessed and remediated.
Temporary repair actions TBC
 Adequacy of Controls, equipment and personal adequacy to monitor and communicate free movement of cable whilst cable pulling and all stop call if BCE wheel slippage observed
 Ensure that readiness reviews, risk assessments, toolbox talks etc. have considered risks and consequences of this event. </t>
  </si>
  <si>
    <t xml:space="preserve">Damage to Cable 05B was noted post Transpooling, observed in the stooge tank. The probability of other damages to cable below this section cannot be fully discounted. Inspection during next Transpooling operation to be undertaken and repair kits available. Operations team to advise where this action will be recorded as the next spooling operation for this cable is not until 2025.
Provide the Pre-termination reports (reference in SW7-GNC-003344 &amp; SW7-GNC-003352) to support the integration of the cables. </t>
  </si>
  <si>
    <t xml:space="preserve">HEC-HL2-800C-05B already energized and used in String A and J. </t>
  </si>
  <si>
    <t>供應商 Nexans T-連接器部件（應力釋放錐內部）製造缺陷，8D 報告技術標準不清晰。缺陷發生在多批次、400mm² 和 800mm² 規格上。</t>
  </si>
  <si>
    <t>大量應力釋放錐（已確認 36 件，且 HL2 已安裝連接器 潛在受影響）因模具標記等缺陷被視為不可用。</t>
  </si>
  <si>
    <t>(1) HL3 終端處理工作關鍵路徑延誤 至少 8 週。(2) 需啟動 分批併網 方案，每串額外增加約 1 週 的複雜作業時間與成本。(3) HL2 已安裝連接器 面臨檢查/返工風險，對專案時程衝擊最大。(4) 現場檢查工作停滯，面臨 濕氣二次損壞 風險。</t>
  </si>
  <si>
    <t>1. Nexans 拒絕或延遲 派遣工程師到場。2. Nexans 拒絕縮短 8 週交期。3. NKT/Tyco 技術評估失敗，無法作為替代供應商。4. SW7 庫存檢查證實 備品耗盡。</t>
  </si>
  <si>
    <t>MoC</t>
  </si>
  <si>
    <t>TECO-NCR-000117</t>
  </si>
  <si>
    <t>TECO-NCR-000120</t>
  </si>
  <si>
    <t>TECO-NCR-000121</t>
  </si>
  <si>
    <t xml:space="preserve">Electical </t>
  </si>
  <si>
    <t>Civil</t>
  </si>
  <si>
    <t>ITR</t>
  </si>
  <si>
    <t xml:space="preserve">Communication needs improvement Lack of knowledge and / or training Standard / specification/drawing needs improvement Controls, equipment and personal adequacy to monitor and communicate free movement of cable whilst cable pulling and all stop call if BCE wheel slippage observed. (Please refer to attached QLMT report for further details) </t>
  </si>
  <si>
    <t>SW7-NCR-000019</t>
  </si>
  <si>
    <t>SW7-NCR-000020</t>
  </si>
  <si>
    <t xml:space="preserve">HL-CTI-EMPL-CIN-CON-00024 </t>
  </si>
  <si>
    <t xml:space="preserve">On August 8, during the processing of the as found data for WB150 (OSS→E01), it was discovered that the cable was buried with an S‑bend configuration that compromised MBR. </t>
  </si>
  <si>
    <t>HL2 OSS to E01</t>
  </si>
  <si>
    <r>
      <rPr>
        <b/>
        <sz val="11"/>
        <color rgb="FF000000"/>
        <rFont val="Calibri"/>
        <family val="2"/>
      </rPr>
      <t xml:space="preserve">Incorrect Processing of Survey Data- MBR breach </t>
    </r>
    <r>
      <rPr>
        <sz val="11"/>
        <color rgb="FF000000"/>
        <rFont val="Calibri"/>
        <family val="2"/>
      </rPr>
      <t>of Cable Laid</t>
    </r>
  </si>
  <si>
    <t>Spare EXC outer yarn damaged by BCE</t>
  </si>
  <si>
    <t xml:space="preserve">Damage of the outer yarn of spare EXC at around 9m from the first end was found during the cable offloading operation from Skandi Connector to the OCE1 carousel at Taichung Port Berth 44 on Friday, 19th December 2025. </t>
  </si>
  <si>
    <t>Taichung Port Berth 44 </t>
  </si>
  <si>
    <t xml:space="preserve">Seaway 7 </t>
  </si>
  <si>
    <t>預防 / 減輕 (Prevent / Mitigate)</t>
  </si>
  <si>
    <t>Connex Box 密封失效導致進水在高壓電纜終端與設備介面（法蘭/墊片處）檢測到水氣滲入，並進入箱體內部</t>
  </si>
  <si>
    <t>1. 電氣故障：引發局部放電 (PD)、表面追蹤 (Surface Tracking) 或絕緣擊穿。2. 設備損壞：接頭燒毀需更換，造成非計畫性停機。3. 運維成本：需執行額外的清潔、乾燥、拆裝與測試工作</t>
  </si>
  <si>
    <t>1. 物理檢測：試紙測試 (Paper towel check) 顯示法蘭介面有濕氣。2. 外觀異常：法蘭周圍出現鏽蝕痕跡或鹽分堆積。3. 電氣數值：線上 PD 監測數值異常升高或絕緣電阻值下降</t>
  </si>
  <si>
    <t>1. 安裝前檢查 (Pre-installation Check)：詳細檢查法蘭面平整度及墊片完整性，確保無刮痕或老化。
2. 標準化扭力施作：嚴格依據原廠規範使用校準過的扭力扳手鎖固，並進行扭力複查 (Double-check)。
3. 落實 MOC 程序：執行 MOC-0021 定義的緩解措施（如更換新墊片而非重複使用舊墊片）</t>
  </si>
  <si>
    <t>1. 安裝扭力問題：固定螺栓扭力不足或分佈不均。
2. 材料缺陷：墊片 (Gasket) 老化、硬化或在安裝時受損。
3. 介面公差：法蘭接觸面不平整或加工精度不足，導致無法有效密封</t>
  </si>
  <si>
    <r>
      <t xml:space="preserve">1. </t>
    </r>
    <r>
      <rPr>
        <sz val="12"/>
        <color rgb="FFFF0000"/>
        <rFont val="DFKai-SB"/>
        <family val="4"/>
      </rPr>
      <t>🔴</t>
    </r>
    <r>
      <rPr>
        <sz val="12"/>
        <color theme="1"/>
        <rFont val="DFKai-SB"/>
        <family val="4"/>
      </rPr>
      <t xml:space="preserve"> 強制供應商現場支援： 立即發出 Aconex 官方指令，要求 Nexans 立即派遣工程師到場 釐清技術標準，並指導開箱/密封程序。
2. </t>
    </r>
    <r>
      <rPr>
        <sz val="12"/>
        <color rgb="FFFF0000"/>
        <rFont val="DFKai-SB"/>
        <family val="4"/>
      </rPr>
      <t>🔴</t>
    </r>
    <r>
      <rPr>
        <sz val="12"/>
        <color theme="1"/>
        <rFont val="DFKai-SB"/>
        <family val="4"/>
      </rPr>
      <t xml:space="preserve"> 供應鏈加速與多元化： 要求 Nexans 承諾最短加速交期，同時推進 NKT/Tyco 型式測試相容性 評估。
3. 量化衝擊： 計算 HL2 返工 和 HL3 分批併網 的排程與成本衝擊。</t>
    </r>
  </si>
  <si>
    <t>L (m) ±0.3%</t>
  </si>
  <si>
    <t>Standard/Code</t>
  </si>
  <si>
    <t>or Guidelines</t>
  </si>
  <si>
    <t>Acceptance</t>
  </si>
  <si>
    <t>Nonconformity</t>
  </si>
  <si>
    <t>Treatment</t>
  </si>
  <si>
    <t>Verification Point H, W, R, MS</t>
  </si>
  <si>
    <t>D13 / D16</t>
  </si>
  <si>
    <t>PCC-01661 PCC-03210</t>
  </si>
  <si>
    <t>Drawing number</t>
  </si>
  <si>
    <t>Diameter per CNS 560; length Per drawing</t>
  </si>
  <si>
    <t>Tolerance ±10mm per DWG-XXXX</t>
  </si>
  <si>
    <t>D13 @ 150</t>
  </si>
  <si>
    <t>7.5 ± 0.6cm</t>
  </si>
  <si>
    <t>PCC-03210</t>
  </si>
  <si>
    <t>B5</t>
  </si>
  <si>
    <t>B6</t>
  </si>
  <si>
    <t>B7</t>
  </si>
  <si>
    <t>B8</t>
  </si>
  <si>
    <t>B9</t>
  </si>
  <si>
    <t>Material-Rebar
材料</t>
  </si>
  <si>
    <t>Material Certificate
材料證明</t>
  </si>
  <si>
    <t>Rebar Sampling for physical test
鋼筋物理試驗取樣</t>
  </si>
  <si>
    <t>Extension Test 
拉拔試驗
Bending Test
彎曲試驗</t>
  </si>
  <si>
    <t>TAF laboratory
TAF 實驗室</t>
  </si>
  <si>
    <t>Re-Sample
重新取樣</t>
  </si>
  <si>
    <t>TAF Testing Report
TAF 測試報告</t>
  </si>
  <si>
    <t>Storage status
材料暫存狀態</t>
  </si>
  <si>
    <t>5cm off the ground
離地 5 公分</t>
  </si>
  <si>
    <t>Visual 
目視檢查</t>
  </si>
  <si>
    <t>Dimension
尺寸</t>
  </si>
  <si>
    <t>During construction
施工中</t>
  </si>
  <si>
    <t>Caliper
卡尺</t>
  </si>
  <si>
    <t>Reject and Replace
拒收並更換</t>
  </si>
  <si>
    <t>Stakeout
放樣</t>
  </si>
  <si>
    <t>Meet design requirement
符合設計要求</t>
  </si>
  <si>
    <t>Re-stakeout
重新放樣</t>
  </si>
  <si>
    <t>Rebar Spacing
鋼筋間距</t>
  </si>
  <si>
    <t>Before pouring
施工前</t>
  </si>
  <si>
    <t>Adjust spacing
調整間距</t>
  </si>
  <si>
    <t>Tie Spacing
綁筋間距</t>
  </si>
  <si>
    <t>Tie at each crossing point
每處交接點</t>
  </si>
  <si>
    <t>Add more tiring points
補綁紮點</t>
  </si>
  <si>
    <t>Protection cover
保護層</t>
  </si>
  <si>
    <t>Adjust to meeting requirement
調整至符合要求</t>
  </si>
  <si>
    <t>Spacer distance
水泥墊塊間距</t>
  </si>
  <si>
    <t>Overlap length
搭接長度</t>
  </si>
  <si>
    <t>Approved Drawings
核准圖說</t>
  </si>
  <si>
    <t>Over or conform to approved drawings
超過或符合核准圖說</t>
  </si>
  <si>
    <t>Before pouring
灌漿前</t>
  </si>
  <si>
    <t>Embedment
預埋件</t>
  </si>
  <si>
    <t>Check if any Embedment
確認是否有預埋件</t>
  </si>
  <si>
    <t>Assemble embedment
預埋件組立</t>
  </si>
  <si>
    <t>Anchorage
錨定長度</t>
  </si>
  <si>
    <t>Reject and reassemble
拒收並重新組立</t>
  </si>
  <si>
    <t>Hook length
彎鉤長度</t>
  </si>
  <si>
    <t>Assembly Rebar Appearance
鋼筋外觀</t>
  </si>
  <si>
    <t>No scaling allowed
不允許鏽蝕層。</t>
  </si>
  <si>
    <t>Clean and recheck
清潔並複查</t>
  </si>
  <si>
    <t>Rebar assembly integration
鋼筋組立</t>
  </si>
  <si>
    <t>As per design drawing
符合設計圖</t>
  </si>
  <si>
    <t>No collapse or deform
無坍塌或變形</t>
  </si>
  <si>
    <t>Tap Measure
捲尺</t>
  </si>
  <si>
    <t>Add support
增加支撐</t>
  </si>
  <si>
    <t>設計圖提供控制點資訊、坐標基準</t>
  </si>
  <si>
    <t>測量前</t>
  </si>
  <si>
    <t>全測站儀回測</t>
  </si>
  <si>
    <t>每次測量前</t>
  </si>
  <si>
    <t>重新設置控制點並回測</t>
  </si>
  <si>
    <t>控制點移交表、回測紀錄</t>
  </si>
  <si>
    <t>測量作業規範</t>
  </si>
  <si>
    <t>目視＋定位查核</t>
  </si>
  <si>
    <t>恢復保護或重設控制點</t>
  </si>
  <si>
    <t>Survey Guideline</t>
  </si>
  <si>
    <t>重新設點並回測</t>
  </si>
  <si>
    <t>臨時控制點紀錄</t>
  </si>
  <si>
    <t>測量中</t>
  </si>
  <si>
    <t>全測站儀</t>
  </si>
  <si>
    <t>重測</t>
  </si>
  <si>
    <t>導線成果報告</t>
  </si>
  <si>
    <t>Leveling Standards</t>
  </si>
  <si>
    <t>水準成果表</t>
  </si>
  <si>
    <t>重架站再測</t>
  </si>
  <si>
    <t>測量規範</t>
  </si>
  <si>
    <t>開挖後</t>
  </si>
  <si>
    <t>修正後重測</t>
  </si>
  <si>
    <t>放樣定位後</t>
  </si>
  <si>
    <t>測量成果審查準則</t>
  </si>
  <si>
    <t>測量後</t>
  </si>
  <si>
    <t>成果表</t>
  </si>
  <si>
    <t>導線成果表</t>
  </si>
  <si>
    <t>水準審查準則</t>
  </si>
  <si>
    <t>高程成果表</t>
  </si>
  <si>
    <t>C3</t>
  </si>
  <si>
    <t>As-built Guideline</t>
  </si>
  <si>
    <t>完工後</t>
  </si>
  <si>
    <t>1pc/25tons or fraction per type/lot.
 每 25 噸取 1 支，不足 25噸取 1 支(每類)。</t>
  </si>
  <si>
    <t>Each Batch 每批</t>
  </si>
  <si>
    <t>Add spacer 墊高</t>
  </si>
  <si>
    <t>Before pouring 灌漿前</t>
  </si>
  <si>
    <t>#3：&lt; 60cm
#4：&lt; 80cm
#5 or larger：&lt;100cm。</t>
  </si>
  <si>
    <r>
      <t xml:space="preserve">• 閉合差 ≦ </t>
    </r>
    <r>
      <rPr>
        <b/>
        <sz val="10"/>
        <color rgb="FF000000"/>
        <rFont val="新細明體"/>
        <family val="2"/>
        <scheme val="minor"/>
      </rPr>
      <t>±4√K mm</t>
    </r>
    <r>
      <rPr>
        <sz val="10"/>
        <color rgb="FF000000"/>
        <rFont val="新細明體"/>
        <family val="2"/>
        <scheme val="minor"/>
      </rPr>
      <t xml:space="preserve">
• 高差誤差 ≦ 8mm / 100m</t>
    </r>
  </si>
  <si>
    <t>控制點確認 Control Point Verification</t>
  </si>
  <si>
    <t>• N/E/Z 誤差 ±1cm 以內
• 控制點穩固、標示清楚、未受損</t>
  </si>
  <si>
    <t>控制點保護確認 Control Point Protection</t>
  </si>
  <si>
    <t>• 控制點周邊未被破壞
• 點位可見、可使用
• 有必要時加裝保護架/警示</t>
  </si>
  <si>
    <t>臨時控制點設置 Temporary Benchmark Setup</t>
  </si>
  <si>
    <t>• 臨時點與主控制點誤差 ±1cm
• 固定良好、可追溯</t>
  </si>
  <si>
    <t>導線測量 Traverse Survey</t>
  </si>
  <si>
    <r>
      <t xml:space="preserve">閉合差 ≦ </t>
    </r>
    <r>
      <rPr>
        <b/>
        <sz val="10"/>
        <color rgb="FF000000"/>
        <rFont val="新細明體"/>
        <family val="2"/>
        <scheme val="minor"/>
      </rPr>
      <t>1/5000</t>
    </r>
    <r>
      <rPr>
        <sz val="10"/>
        <color rgb="FF000000"/>
        <rFont val="新細明體"/>
        <family val="2"/>
        <scheme val="minor"/>
      </rPr>
      <t>（全程要求）</t>
    </r>
  </si>
  <si>
    <t>水準測量 Leveling Survey</t>
  </si>
  <si>
    <t>設站距離檢測 Station Distance Check</t>
  </si>
  <si>
    <t>座標回測 Coordinate Back-check</t>
  </si>
  <si>
    <t>控制點 N/E/Z 誤差 ≤ ±1cm</t>
  </si>
  <si>
    <t>土方放樣測量 Earthwork Setting-out</t>
  </si>
  <si>
    <t>Civil Work Standard／施工圖</t>
  </si>
  <si>
    <t>• 開挖面：0 ～ −5cm（一般）
• 開挖面（基礎底板）：0 ～ −3cm
• 填方面（無結構）：0 ～ +
• 填方面（有結構）：0 ～ −3cm</t>
  </si>
  <si>
    <t>結構/設備放樣 Structure/Equipment Setting-out</t>
  </si>
  <si>
    <t>Installation Guideline／施工圖</t>
  </si>
  <si>
    <r>
      <t>• 一般結構：</t>
    </r>
    <r>
      <rPr>
        <b/>
        <sz val="10"/>
        <color rgb="FF000000"/>
        <rFont val="新細明體"/>
        <family val="2"/>
        <scheme val="minor"/>
      </rPr>
      <t>±20mm</t>
    </r>
    <r>
      <rPr>
        <sz val="10"/>
        <color rgb="FF000000"/>
        <rFont val="新細明體"/>
        <family val="2"/>
        <scheme val="minor"/>
      </rPr>
      <t xml:space="preserve">
• 預埋件／Anchor bolt：±5mm
• 變電站設備（GIS/Transformer）：±5～10mm</t>
    </r>
  </si>
  <si>
    <t>導線成果審查 Traverse Verification</t>
  </si>
  <si>
    <t>閉合差 ≦ 1/5000</t>
  </si>
  <si>
    <t>水準成果審查 Leveling Verification</t>
  </si>
  <si>
    <t>誤差 ≦ 20mm√K</t>
  </si>
  <si>
    <t>竣工測量 As-built Survey</t>
  </si>
  <si>
    <t>• 完工位置/標高與設計允許差內
• 結構中心線與設備定位符合要求</t>
  </si>
  <si>
    <t>As-built 圖、竣工測量表</t>
  </si>
  <si>
    <r>
      <t xml:space="preserve">距離相對誤差 ≤ </t>
    </r>
    <r>
      <rPr>
        <b/>
        <sz val="10"/>
        <color rgb="FF000000"/>
        <rFont val="新細明體"/>
        <family val="2"/>
        <scheme val="minor"/>
      </rPr>
      <t>1/3000</t>
    </r>
    <r>
      <rPr>
        <sz val="10"/>
        <color rgb="FF000000"/>
        <rFont val="新細明體"/>
        <family val="2"/>
        <scheme val="minor"/>
      </rPr>
      <t xml:space="preserve"> 
或 絕對誤差 ≤ </t>
    </r>
    <r>
      <rPr>
        <b/>
        <sz val="10"/>
        <color rgb="FF000000"/>
        <rFont val="新細明體"/>
        <family val="2"/>
        <scheme val="minor"/>
      </rPr>
      <t>10mm</t>
    </r>
  </si>
  <si>
    <t>Survey Control Report</t>
  </si>
  <si>
    <t>範圍無未辨識障礙物</t>
  </si>
  <si>
    <t>整理地面前</t>
  </si>
  <si>
    <t>必要時停工</t>
  </si>
  <si>
    <t>Contract Technical Specification</t>
  </si>
  <si>
    <t>清除不良表層土壤、雜草與廢棄物</t>
  </si>
  <si>
    <t>Total Station</t>
  </si>
  <si>
    <t>開挖中</t>
  </si>
  <si>
    <t>考古監看</t>
  </si>
  <si>
    <t>依全時監看</t>
  </si>
  <si>
    <t>發現文物：依程序立即停工與通報</t>
  </si>
  <si>
    <t>立即停工</t>
  </si>
  <si>
    <t>土石方清運</t>
  </si>
  <si>
    <t>Waste Disposal Regulation</t>
  </si>
  <si>
    <t>完成面高程</t>
  </si>
  <si>
    <t>排水</t>
  </si>
  <si>
    <t>臨時排水溝與抽水，確保場地可進行後續作業</t>
  </si>
  <si>
    <t xml:space="preserve">Add dewatering facility </t>
  </si>
  <si>
    <t>Utility Detection
地下管線探測</t>
  </si>
  <si>
    <t>Check the related as-built drawing
比對as-built圖面</t>
  </si>
  <si>
    <t>Before setting out
放樣前</t>
  </si>
  <si>
    <t>Visual 
目視</t>
  </si>
  <si>
    <t>Rework
重覆清除</t>
  </si>
  <si>
    <t>Benchmark Verification
基準點確認</t>
  </si>
  <si>
    <t>Before Excavating
開挖前</t>
  </si>
  <si>
    <t>Total Station
全測站儀</t>
  </si>
  <si>
    <t>Re-survey
重新確認</t>
  </si>
  <si>
    <t>Survey report
收測報告</t>
  </si>
  <si>
    <t>Setting out excavation scope and elevation
範圍及高程放樣</t>
  </si>
  <si>
    <t>超挖：要求加固
不足：補挖</t>
  </si>
  <si>
    <t>Visual
目視</t>
  </si>
  <si>
    <t>Improvement
立即改善</t>
  </si>
  <si>
    <t>Visal
目視</t>
  </si>
  <si>
    <t>Survey＆ Setting out 
測量與放樣</t>
  </si>
  <si>
    <t>開挖(無擋土設施)</t>
  </si>
  <si>
    <t>1. 開挖深度與整平精度
- 採階梯式開挖
-  開挖深度須&lt;1.5 m
-  基底整平允收誤差：±5 cm
2. 開挖坡度控制
- 坡度不得大於 33°
- 坡度允收誤差：±10°</t>
  </si>
  <si>
    <t>開挖(有擋土設施)</t>
  </si>
  <si>
    <t>1. 自上而下分層依序開挖，單層開挖深度 ≦ 1.5 m
2. 整平後基底容許誤差：±5 cm</t>
  </si>
  <si>
    <t>超挖：要求Plain Concrete加固
不足：補挖</t>
  </si>
  <si>
    <t>開挖(排水)</t>
  </si>
  <si>
    <t>1     設置排水／抽水設備
2     水位降至開挖面下 1.0 m，方可開挖</t>
  </si>
  <si>
    <t>1. 運至指定區堆置。
2. 暫置區距開挖與支撐 ≥ 2 m。
3 . 土堆高度 &lt; 2 m、坡度 &lt; 60°。
4. 覆蓋防塵網並灑水抑塵。</t>
  </si>
  <si>
    <t>完成面高程≤10 cm設計要求</t>
  </si>
  <si>
    <t>HL-ONS-TECO-CVL-DWG-01800</t>
  </si>
  <si>
    <t>HL-ONS-TECO-CVL-DWG-20002</t>
  </si>
  <si>
    <t>Fixed firmly without loosening 牢固不鬆脫</t>
  </si>
  <si>
    <t>Verification Point 
H, W, R, MS</t>
  </si>
  <si>
    <t>Standard/Code or Guidelines</t>
  </si>
  <si>
    <t>Acceptance Criteria</t>
  </si>
  <si>
    <t>Nonconformity Treatment</t>
  </si>
  <si>
    <t>Material
材料</t>
  </si>
  <si>
    <t>Formwork Type
模板型式</t>
  </si>
  <si>
    <t>Approved formwork type
經核可之模板型式</t>
  </si>
  <si>
    <t>Formwork assembly strength
模板組立強度</t>
  </si>
  <si>
    <t>Calculation report
強度計算書</t>
  </si>
  <si>
    <t>Approved calculation report
經核可之強度計算書</t>
  </si>
  <si>
    <t>Each time
每次組立</t>
  </si>
  <si>
    <t>Re-calculation
重新計算</t>
  </si>
  <si>
    <t>Meet approved drawing
符合設計圖說</t>
  </si>
  <si>
    <t>Each time
每次</t>
  </si>
  <si>
    <t>Re-Stakeout
重新放樣</t>
  </si>
  <si>
    <t>Formwork assembly size
模板組立尺寸</t>
  </si>
  <si>
    <t>During construction
施工時</t>
  </si>
  <si>
    <t>Before pouring 
灌漿前查驗</t>
  </si>
  <si>
    <t>Reassembly
重新組立</t>
  </si>
  <si>
    <r>
      <rPr>
        <u/>
        <sz val="10"/>
        <color theme="1"/>
        <rFont val="新細明體"/>
        <family val="2"/>
        <scheme val="minor"/>
      </rPr>
      <t xml:space="preserve">Tolerance </t>
    </r>
    <r>
      <rPr>
        <sz val="10"/>
        <color theme="1"/>
        <rFont val="新細明體"/>
        <family val="2"/>
        <scheme val="minor"/>
      </rPr>
      <t xml:space="preserve">
Vertical ±20mm/3m, 
Horizontal ±10mm/3m, 
Section size ±10mm 
Plane position ±25mm
</t>
    </r>
    <r>
      <rPr>
        <u/>
        <sz val="10"/>
        <color theme="1"/>
        <rFont val="新細明體"/>
        <family val="2"/>
        <scheme val="minor"/>
      </rPr>
      <t xml:space="preserve">容許誤差
</t>
    </r>
    <r>
      <rPr>
        <sz val="10"/>
        <color theme="1"/>
        <rFont val="新細明體"/>
        <family val="2"/>
        <scheme val="minor"/>
      </rPr>
      <t>垂直 ±20mm每3m,
水平 ±10mm每3m,
斷面尺寸 ±10mm
平面位置 ±25mm</t>
    </r>
  </si>
  <si>
    <t>Support Assembly
模板支撐組立</t>
  </si>
  <si>
    <t>Support distance ≤ 1.5m
支撐距離 ≤ 1.5m</t>
  </si>
  <si>
    <t>Add supports
添加支撐</t>
  </si>
  <si>
    <t>Ground status for support
地表支撐面</t>
  </si>
  <si>
    <t>Flat without subsidence
平坦無沉陷</t>
  </si>
  <si>
    <t>Laying steel plate
鋪設鋼板</t>
  </si>
  <si>
    <t>Cleanliness
清潔</t>
  </si>
  <si>
    <t>Clean hole for Each column, 1 for every wall
每面牆及柱 1 個</t>
  </si>
  <si>
    <t>Re-clean
重新清潔</t>
  </si>
  <si>
    <t>Horizontal tie
水平綁紮</t>
  </si>
  <si>
    <t>If Height&gt;3.5m, tie distance&lt;2m
若高度&gt;3.5m，則距離&lt; 2m</t>
  </si>
  <si>
    <t>During construction 
施工時</t>
  </si>
  <si>
    <t>Add tie points
添加支撐點</t>
  </si>
  <si>
    <t>Opening size
開口尺寸</t>
  </si>
  <si>
    <t>Tolerance
-5mm/ +13mm
容許誤差
-5mm/ +13mm</t>
  </si>
  <si>
    <t>Before pouring 灌漿前查驗</t>
  </si>
  <si>
    <t>Opening location
開口位置</t>
  </si>
  <si>
    <t>Tolerance &lt; 1cm
容許值 &lt; 1cm</t>
  </si>
  <si>
    <t>Construction Joint
施工縫</t>
  </si>
  <si>
    <t>Expansion joint
伸縮縫</t>
  </si>
  <si>
    <t>Fixed firmly without loosening, 1.5cm
1.5cm 且牢固不鬆脫</t>
  </si>
  <si>
    <t>RCA</t>
  </si>
  <si>
    <t>Immediate action</t>
  </si>
  <si>
    <t>Corrective action</t>
  </si>
  <si>
    <t>Preventive action</t>
  </si>
  <si>
    <t>TECO-NCR-000107
may need design drawing change</t>
  </si>
  <si>
    <t>TECO-NCR-000088
wall crack</t>
  </si>
  <si>
    <t>TECO-NCR-000060
UPS eye wash</t>
  </si>
  <si>
    <t>TECO-NCR-000089
concrete cract near door</t>
  </si>
  <si>
    <t>TECO-NCR-000090
concrete cract near door</t>
  </si>
  <si>
    <t>TECO-NCR-000109
partition wall damage</t>
  </si>
  <si>
    <t>TECO-NCR-000114
What TQ no?</t>
  </si>
  <si>
    <t>TECO-NCR-000116
Reactor Interlock</t>
  </si>
  <si>
    <t>TECO-NCR-000118
SCADA Indication</t>
  </si>
  <si>
    <t>TECO-NCR-000119
AC in SCADA room</t>
  </si>
  <si>
    <t>TECO-NCR-000120
POW schematic</t>
  </si>
  <si>
    <t>TECO-NCR-000121
HL2A transformer faulty pump</t>
  </si>
  <si>
    <t>TECO-NCR-000122
AVR auto/manual selector</t>
  </si>
  <si>
    <t>TECO-NCR-000009
West side wall damaged.</t>
  </si>
  <si>
    <t>TECO-NCR-000064
Cable tray space</t>
  </si>
  <si>
    <t>TECO-NCR-000082
2A epoxy is damaged</t>
  </si>
  <si>
    <t xml:space="preserve">EMPL-NCR-000021
Flashover - general </t>
  </si>
  <si>
    <t>TECO-NCR-000123
 Test Failed (GIS161-2B ~ TPC</t>
  </si>
  <si>
    <t>TECO-NCR-000124
 no fuse at VT cubical</t>
  </si>
  <si>
    <t>TECO-NCR-000127
Busbar VT issue</t>
  </si>
  <si>
    <t>TECO-NCR-000128
damping resistor</t>
  </si>
  <si>
    <t>TECO-NCR-000129
HL-2A/B GIS wiring check</t>
  </si>
  <si>
    <t>TECO-NCR-000132
CTS, VTS not implemented</t>
  </si>
  <si>
    <t>TECO-NCR-000133
Software issue</t>
  </si>
  <si>
    <t>TECO-NCR-000134
GIS161-3A ~ MTR-3A fail</t>
  </si>
  <si>
    <t>TECO-NCR-000135
HF drainage</t>
  </si>
  <si>
    <t>TECO-NCR-000066
pipeline on the beam</t>
  </si>
  <si>
    <t>waiting for power off</t>
  </si>
  <si>
    <t>waiting for power off
check the schedule to discuss for RCA</t>
  </si>
  <si>
    <t>waiting for Carl back to site</t>
  </si>
  <si>
    <t>design has changed.</t>
  </si>
  <si>
    <t>mid of Jan will revise the drawing.(ICP)</t>
  </si>
  <si>
    <t>O&amp;M to align requriement with commissioning team for the R/L function</t>
  </si>
  <si>
    <t xml:space="preserve">completed the test and waiting for 3rd party's report, but x1 additional flashover occurred after invest.
</t>
  </si>
  <si>
    <t>waiting for power all
2B/3A/3B completed</t>
  </si>
  <si>
    <t>2nd side no fuse</t>
  </si>
  <si>
    <t>need to confirm
GIS 161kv ok
GIS 220kv NG</t>
  </si>
  <si>
    <t xml:space="preserve">waiting for power off
only for 2A </t>
  </si>
  <si>
    <t>add monitoring equipment</t>
  </si>
  <si>
    <t xml:space="preserve">Blug will provide the RCA report </t>
  </si>
  <si>
    <t>Site preparation
整地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</si>
</sst>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_(* #,##0.00_);_(* \(#,##0.00\);_(* &quot;-&quot;??_);_(@_)"/>
    <numFmt numFmtId="177" formatCode="&quot;Ver. &quot;0"/>
    <numFmt numFmtId="178" formatCode="&quot;Rev. &quot;0"/>
    <numFmt numFmtId="179" formatCode="0.0%"/>
    <numFmt numFmtId="180" formatCode="&quot;Rer. &quot;0"/>
    <numFmt numFmtId="181" formatCode="00"/>
    <numFmt numFmtId="182" formatCode="dd\-mmm\-yyyy"/>
    <numFmt numFmtId="183" formatCode="mm/dd/yyyy"/>
    <numFmt numFmtId="184" formatCode="[$-409]mmm\ d\,\ yyyy;@"/>
    <numFmt numFmtId="185" formatCode="m&quot;月&quot;d&quot;日&quot;"/>
    <numFmt numFmtId="186" formatCode="0.0_);[Red]\(0.0\)"/>
    <numFmt numFmtId="187" formatCode="0.00_);[Red]\(0.00\)"/>
    <numFmt numFmtId="188" formatCode="d\-mmm\-yyyy"/>
    <numFmt numFmtId="189" formatCode="[$-409]d\-mmm\-yyyy;@"/>
    <numFmt numFmtId="190" formatCode="[$-409]yyyy\-mmm\-dd;@"/>
    <numFmt numFmtId="191" formatCode="#,##0_);\(#,##0\)\ \'&quot;m&quot;\T\'"/>
    <numFmt numFmtId="192" formatCode="dd/mm/yyyy;@"/>
  </numFmts>
  <fonts count="165">
    <font>
      <sz val="11"/>
      <color theme="1"/>
      <name val="新細明體"/>
      <family val="2"/>
      <scheme val="minor"/>
    </font>
    <font>
      <sz val="11"/>
      <name val="Calibri"/>
      <family val="2"/>
    </font>
    <font>
      <sz val="11"/>
      <name val="Aptos Narrow"/>
      <family val="2"/>
    </font>
    <font>
      <sz val="11"/>
      <name val="Aptos Narrow"/>
      <family val="2"/>
    </font>
    <font>
      <sz val="11"/>
      <color theme="1"/>
      <name val="新細明體"/>
      <family val="2"/>
      <scheme val="minor"/>
    </font>
    <font>
      <sz val="11"/>
      <name val="Calibri"/>
      <family val="2"/>
    </font>
    <font>
      <sz val="11"/>
      <color theme="1"/>
      <name val="新細明體"/>
      <family val="2"/>
      <scheme val="minor"/>
    </font>
    <font>
      <sz val="11"/>
      <color rgb="FF006100"/>
      <name val="新細明體"/>
      <family val="2"/>
      <scheme val="minor"/>
    </font>
    <font>
      <b/>
      <sz val="11"/>
      <color theme="1"/>
      <name val="新細明體"/>
      <family val="2"/>
      <scheme val="minor"/>
    </font>
    <font>
      <sz val="11"/>
      <name val="新細明體"/>
      <family val="2"/>
      <scheme val="minor"/>
    </font>
    <font>
      <u/>
      <sz val="11"/>
      <color theme="10"/>
      <name val="新細明體"/>
      <family val="2"/>
      <scheme val="minor"/>
    </font>
    <font>
      <b/>
      <sz val="11"/>
      <color theme="0"/>
      <name val="新細明體"/>
      <family val="2"/>
      <scheme val="minor"/>
    </font>
    <font>
      <sz val="11"/>
      <color theme="0"/>
      <name val="新細明體"/>
      <family val="2"/>
      <scheme val="minor"/>
    </font>
    <font>
      <sz val="11"/>
      <color theme="1"/>
      <name val="Arial"/>
      <family val="2"/>
    </font>
    <font>
      <sz val="11"/>
      <name val="Arial"/>
      <family val="2"/>
    </font>
    <font>
      <sz val="12"/>
      <color theme="1"/>
      <name val="Arial"/>
      <family val="2"/>
    </font>
    <font>
      <sz val="12"/>
      <name val="Arial"/>
      <family val="2"/>
    </font>
    <font>
      <b/>
      <sz val="14"/>
      <color theme="0"/>
      <name val="Arial"/>
      <family val="2"/>
    </font>
    <font>
      <b/>
      <sz val="14"/>
      <color theme="1"/>
      <name val="Arial"/>
      <family val="2"/>
    </font>
    <font>
      <strike/>
      <sz val="12"/>
      <color theme="1"/>
      <name val="Arial"/>
      <family val="2"/>
    </font>
    <font>
      <b/>
      <sz val="14"/>
      <name val="Arial"/>
      <family val="2"/>
    </font>
    <font>
      <i/>
      <sz val="11"/>
      <color theme="1"/>
      <name val="Arial"/>
      <family val="2"/>
    </font>
    <font>
      <sz val="12"/>
      <name val="Calibri"/>
      <family val="2"/>
    </font>
    <font>
      <sz val="11"/>
      <name val="Calibri"/>
      <family val="2"/>
    </font>
    <font>
      <b/>
      <sz val="12"/>
      <color theme="0"/>
      <name val="Calibri"/>
      <family val="2"/>
    </font>
    <font>
      <sz val="12"/>
      <color theme="0"/>
      <name val="Calibri"/>
      <family val="2"/>
    </font>
    <font>
      <b/>
      <sz val="11"/>
      <name val="Arial"/>
      <family val="2"/>
    </font>
    <font>
      <b/>
      <sz val="12"/>
      <color theme="0"/>
      <name val="新細明體"/>
      <family val="2"/>
      <scheme val="minor"/>
    </font>
    <font>
      <sz val="10"/>
      <name val="Arial"/>
      <family val="2"/>
    </font>
    <font>
      <b/>
      <sz val="11"/>
      <name val="新細明體"/>
      <family val="2"/>
      <scheme val="minor"/>
    </font>
    <font>
      <sz val="10"/>
      <name val="Arial"/>
      <family val="2"/>
    </font>
    <font>
      <sz val="11"/>
      <color rgb="FF000000"/>
      <name val="新細明體"/>
      <family val="2"/>
      <scheme val="minor"/>
    </font>
    <font>
      <sz val="10"/>
      <color theme="1"/>
      <name val="Arial"/>
      <family val="2"/>
    </font>
    <font>
      <sz val="11"/>
      <color rgb="FF000000"/>
      <name val="Calibri"/>
      <family val="2"/>
    </font>
    <font>
      <sz val="10"/>
      <color rgb="FF000000"/>
      <name val="Arial"/>
      <family val="2"/>
    </font>
    <font>
      <sz val="11"/>
      <color theme="1"/>
      <name val="Calibri"/>
      <family val="2"/>
    </font>
    <font>
      <b/>
      <sz val="14"/>
      <color theme="1"/>
      <name val="新細明體"/>
      <family val="2"/>
      <scheme val="minor"/>
    </font>
    <font>
      <b/>
      <sz val="26"/>
      <color rgb="FFFFC000"/>
      <name val="新細明體"/>
      <family val="2"/>
      <scheme val="minor"/>
    </font>
    <font>
      <b/>
      <sz val="12"/>
      <name val="新細明體"/>
      <family val="2"/>
      <scheme val="minor"/>
    </font>
    <font>
      <strike/>
      <sz val="11"/>
      <name val="Calibri"/>
      <family val="2"/>
    </font>
    <font>
      <strike/>
      <sz val="11"/>
      <name val="新細明體"/>
      <family val="2"/>
      <scheme val="minor"/>
    </font>
    <font>
      <sz val="11"/>
      <color rgb="FFFF0000"/>
      <name val="新細明體"/>
      <family val="2"/>
      <scheme val="minor"/>
    </font>
    <font>
      <u/>
      <sz val="12"/>
      <color theme="10"/>
      <name val="新細明體"/>
      <family val="2"/>
      <scheme val="minor"/>
    </font>
    <font>
      <sz val="8"/>
      <name val="新細明體"/>
      <family val="2"/>
      <scheme val="minor"/>
    </font>
    <font>
      <sz val="16"/>
      <color theme="1"/>
      <name val="新細明體"/>
      <family val="2"/>
      <scheme val="minor"/>
    </font>
    <font>
      <sz val="11"/>
      <color theme="0" tint="-0.249977111117893"/>
      <name val="新細明體"/>
      <family val="2"/>
      <scheme val="minor"/>
    </font>
    <font>
      <u/>
      <sz val="11"/>
      <name val="Calibri"/>
      <family val="2"/>
    </font>
    <font>
      <u/>
      <sz val="14"/>
      <color theme="10"/>
      <name val="新細明體"/>
      <family val="2"/>
      <scheme val="minor"/>
    </font>
    <font>
      <sz val="14"/>
      <color theme="1"/>
      <name val="Arial"/>
      <family val="2"/>
    </font>
    <font>
      <sz val="12"/>
      <color rgb="FFFF0000"/>
      <name val="Arial"/>
      <family val="2"/>
    </font>
    <font>
      <sz val="11"/>
      <color theme="1"/>
      <name val="新細明體"/>
      <family val="2"/>
      <charset val="161"/>
      <scheme val="minor"/>
    </font>
    <font>
      <sz val="10"/>
      <color indexed="8"/>
      <name val="Helvetica Neue"/>
    </font>
    <font>
      <sz val="10"/>
      <color theme="1"/>
      <name val="Calibri"/>
      <family val="2"/>
    </font>
    <font>
      <u/>
      <sz val="10"/>
      <color theme="10"/>
      <name val="Calibri"/>
      <family val="2"/>
    </font>
    <font>
      <sz val="12"/>
      <color theme="1"/>
      <name val="新細明體"/>
      <family val="2"/>
      <scheme val="minor"/>
    </font>
    <font>
      <sz val="11"/>
      <color rgb="FF009900"/>
      <name val="新細明體"/>
      <family val="2"/>
      <scheme val="minor"/>
    </font>
    <font>
      <sz val="11"/>
      <color theme="1"/>
      <name val="Aptos"/>
      <family val="2"/>
      <charset val="1"/>
    </font>
    <font>
      <sz val="11"/>
      <color rgb="FF00B050"/>
      <name val="新細明體"/>
      <family val="2"/>
      <scheme val="minor"/>
    </font>
    <font>
      <strike/>
      <sz val="11"/>
      <color rgb="FF000000"/>
      <name val="Calibri"/>
      <family val="2"/>
    </font>
    <font>
      <sz val="12"/>
      <name val="宋体"/>
      <charset val="134"/>
    </font>
    <font>
      <sz val="12"/>
      <name val="新細明體"/>
      <family val="2"/>
      <scheme val="minor"/>
    </font>
    <font>
      <sz val="14"/>
      <name val="新細明體"/>
      <family val="2"/>
      <scheme val="minor"/>
    </font>
    <font>
      <b/>
      <sz val="14"/>
      <color theme="0"/>
      <name val="新細明體"/>
      <family val="2"/>
      <scheme val="minor"/>
    </font>
    <font>
      <sz val="14"/>
      <color theme="0"/>
      <name val="新細明體"/>
      <family val="2"/>
      <scheme val="minor"/>
    </font>
    <font>
      <sz val="12"/>
      <color indexed="55"/>
      <name val="新細明體"/>
      <family val="2"/>
      <scheme val="minor"/>
    </font>
    <font>
      <sz val="12"/>
      <color indexed="8"/>
      <name val="新細明體"/>
      <family val="2"/>
      <scheme val="minor"/>
    </font>
    <font>
      <sz val="12"/>
      <color rgb="FFFF0000"/>
      <name val="新細明體"/>
      <family val="2"/>
      <scheme val="minor"/>
    </font>
    <font>
      <strike/>
      <sz val="12"/>
      <name val="新細明體"/>
      <family val="2"/>
      <scheme val="minor"/>
    </font>
    <font>
      <sz val="10"/>
      <name val="calbri"/>
    </font>
    <font>
      <b/>
      <sz val="10"/>
      <name val="calbri"/>
    </font>
    <font>
      <sz val="10"/>
      <color rgb="FFFF0000"/>
      <name val="calbri"/>
    </font>
    <font>
      <sz val="10"/>
      <color indexed="55"/>
      <name val="calbri"/>
    </font>
    <font>
      <sz val="10"/>
      <name val="calbri"/>
      <family val="2"/>
    </font>
    <font>
      <sz val="10"/>
      <color rgb="FFFF0000"/>
      <name val="calbri"/>
      <family val="2"/>
    </font>
    <font>
      <strike/>
      <sz val="10"/>
      <name val="calbri"/>
    </font>
    <font>
      <strike/>
      <sz val="10"/>
      <name val="calbri"/>
      <family val="2"/>
    </font>
    <font>
      <sz val="10"/>
      <name val="Calibri"/>
      <family val="4"/>
    </font>
    <font>
      <sz val="10"/>
      <name val="calbri"/>
      <family val="4"/>
      <charset val="136"/>
    </font>
    <font>
      <sz val="10"/>
      <name val="標楷體"/>
      <family val="4"/>
      <charset val="136"/>
    </font>
    <font>
      <sz val="10"/>
      <name val="Calibri"/>
      <family val="2"/>
    </font>
    <font>
      <b/>
      <sz val="12"/>
      <name val="Calibri"/>
      <family val="2"/>
    </font>
    <font>
      <sz val="12"/>
      <name val="宋体"/>
      <charset val="134"/>
    </font>
    <font>
      <sz val="12"/>
      <name val="Calibri"/>
      <family val="4"/>
    </font>
    <font>
      <sz val="12"/>
      <name val="細明體"/>
      <family val="2"/>
      <charset val="136"/>
    </font>
    <font>
      <sz val="12"/>
      <name val="標楷體"/>
      <family val="4"/>
      <charset val="136"/>
    </font>
    <font>
      <sz val="12"/>
      <name val="Calibri"/>
      <family val="2"/>
      <charset val="136"/>
    </font>
    <font>
      <sz val="12"/>
      <name val="MingLiU"/>
      <family val="2"/>
      <charset val="136"/>
    </font>
    <font>
      <sz val="12"/>
      <color rgb="FFFF0000"/>
      <name val="MingLiU"/>
      <family val="3"/>
      <charset val="136"/>
    </font>
    <font>
      <sz val="11"/>
      <name val="標楷體"/>
      <family val="4"/>
      <charset val="136"/>
    </font>
    <font>
      <sz val="12"/>
      <name val="Mo"/>
    </font>
    <font>
      <sz val="12"/>
      <name val="Mo"/>
      <family val="2"/>
    </font>
    <font>
      <sz val="10"/>
      <color theme="0"/>
      <name val="Calibri"/>
      <family val="2"/>
    </font>
    <font>
      <sz val="12"/>
      <name val="新細明體"/>
      <family val="1"/>
      <charset val="136"/>
    </font>
    <font>
      <sz val="11"/>
      <color theme="1"/>
      <name val="標楷體"/>
      <family val="4"/>
      <charset val="136"/>
    </font>
    <font>
      <sz val="11"/>
      <color rgb="FF0000CC"/>
      <name val="Arial"/>
      <family val="2"/>
    </font>
    <font>
      <b/>
      <sz val="14"/>
      <color theme="1"/>
      <name val="標楷體"/>
      <family val="4"/>
      <charset val="136"/>
    </font>
    <font>
      <b/>
      <sz val="11"/>
      <color rgb="FF0000CC"/>
      <name val="Arial"/>
      <family val="2"/>
    </font>
    <font>
      <b/>
      <sz val="12"/>
      <color theme="1"/>
      <name val="Arial"/>
      <family val="2"/>
    </font>
    <font>
      <b/>
      <sz val="12"/>
      <color theme="1"/>
      <name val="標楷體"/>
      <family val="4"/>
      <charset val="136"/>
    </font>
    <font>
      <sz val="11"/>
      <color rgb="FF0000CC"/>
      <name val="標楷體"/>
      <family val="4"/>
      <charset val="136"/>
    </font>
    <font>
      <b/>
      <sz val="11"/>
      <color theme="1"/>
      <name val="Arial"/>
      <family val="2"/>
    </font>
    <font>
      <b/>
      <sz val="11"/>
      <color theme="1"/>
      <name val="標楷體"/>
      <family val="4"/>
      <charset val="136"/>
    </font>
    <font>
      <b/>
      <sz val="11"/>
      <name val="Calibri"/>
      <family val="2"/>
    </font>
    <font>
      <b/>
      <sz val="12"/>
      <color rgb="FF000000"/>
      <name val="Calibri"/>
      <family val="2"/>
    </font>
    <font>
      <sz val="10"/>
      <name val="新細明體"/>
      <family val="2"/>
      <scheme val="minor"/>
    </font>
    <font>
      <sz val="10"/>
      <color theme="1"/>
      <name val="新細明體"/>
      <family val="2"/>
      <scheme val="minor"/>
    </font>
    <font>
      <sz val="12"/>
      <color theme="0"/>
      <name val="新細明體"/>
      <family val="2"/>
      <scheme val="minor"/>
    </font>
    <font>
      <b/>
      <sz val="12"/>
      <color rgb="FFFFFFFF"/>
      <name val="Calibri"/>
      <family val="2"/>
    </font>
    <font>
      <b/>
      <sz val="11"/>
      <color rgb="FFFF0000"/>
      <name val="新細明體"/>
      <family val="2"/>
      <scheme val="minor"/>
    </font>
    <font>
      <b/>
      <sz val="10"/>
      <name val="新細明體"/>
      <family val="2"/>
      <scheme val="minor"/>
    </font>
    <font>
      <sz val="10"/>
      <color theme="0"/>
      <name val="新細明體"/>
      <family val="2"/>
      <scheme val="minor"/>
    </font>
    <font>
      <sz val="10"/>
      <color rgb="FFFF0000"/>
      <name val="新細明體"/>
      <family val="2"/>
      <scheme val="minor"/>
    </font>
    <font>
      <strike/>
      <sz val="10"/>
      <color rgb="FF000000"/>
      <name val="新細明體"/>
      <family val="2"/>
      <scheme val="minor"/>
    </font>
    <font>
      <b/>
      <sz val="11"/>
      <color theme="0"/>
      <name val="Arial"/>
      <family val="2"/>
    </font>
    <font>
      <sz val="11"/>
      <color theme="1"/>
      <name val="DFKai-SB"/>
      <family val="4"/>
    </font>
    <font>
      <b/>
      <sz val="11"/>
      <color theme="5" tint="0.39997558519241921"/>
      <name val="新細明體"/>
      <family val="2"/>
      <scheme val="minor"/>
    </font>
    <font>
      <strike/>
      <sz val="11"/>
      <name val="Arial"/>
      <family val="2"/>
    </font>
    <font>
      <sz val="11"/>
      <name val="calbri"/>
    </font>
    <font>
      <strike/>
      <sz val="11"/>
      <name val="calbri"/>
    </font>
    <font>
      <sz val="11"/>
      <color theme="4"/>
      <name val="新細明體"/>
      <family val="2"/>
      <scheme val="minor"/>
    </font>
    <font>
      <sz val="11"/>
      <color theme="9" tint="-0.249977111117893"/>
      <name val="新細明體"/>
      <family val="2"/>
      <scheme val="minor"/>
    </font>
    <font>
      <u val="double"/>
      <sz val="14"/>
      <color theme="1"/>
      <name val="新細明體"/>
      <family val="2"/>
      <scheme val="minor"/>
    </font>
    <font>
      <b/>
      <u/>
      <sz val="11"/>
      <name val="Calibri"/>
      <family val="2"/>
    </font>
    <font>
      <b/>
      <u/>
      <sz val="11"/>
      <color rgb="FFFF0000"/>
      <name val="Calibri"/>
      <family val="2"/>
    </font>
    <font>
      <b/>
      <sz val="11"/>
      <color rgb="FFFF0000"/>
      <name val="Calibri"/>
      <family val="2"/>
    </font>
    <font>
      <u/>
      <sz val="11"/>
      <color rgb="FFFF0000"/>
      <name val="Calibri"/>
      <family val="2"/>
    </font>
    <font>
      <sz val="11"/>
      <color rgb="FFFF0000"/>
      <name val="Calibri"/>
      <family val="2"/>
    </font>
    <font>
      <vertAlign val="subscript"/>
      <sz val="11"/>
      <color rgb="FF000000"/>
      <name val="Calibri"/>
      <family val="2"/>
    </font>
    <font>
      <sz val="12"/>
      <color theme="1"/>
      <name val="Arial"/>
      <family val="2"/>
      <charset val="136"/>
    </font>
    <font>
      <sz val="12"/>
      <color theme="1"/>
      <name val="Calibri"/>
      <family val="2"/>
    </font>
    <font>
      <sz val="12"/>
      <color theme="1"/>
      <name val="標楷體"/>
      <family val="4"/>
      <charset val="136"/>
    </font>
    <font>
      <sz val="12"/>
      <color theme="1"/>
      <name val="Calibri"/>
      <family val="4"/>
      <charset val="136"/>
    </font>
    <font>
      <sz val="12"/>
      <color theme="1"/>
      <name val="Calibri"/>
      <family val="4"/>
    </font>
    <font>
      <b/>
      <sz val="14"/>
      <color rgb="FFFF0000"/>
      <name val="新細明體"/>
      <family val="2"/>
      <scheme val="minor"/>
    </font>
    <font>
      <b/>
      <sz val="11"/>
      <color theme="0"/>
      <name val="Calibri"/>
      <family val="2"/>
    </font>
    <font>
      <b/>
      <sz val="11"/>
      <color theme="1"/>
      <name val="Calibri"/>
      <family val="2"/>
    </font>
    <font>
      <strike/>
      <sz val="11"/>
      <color rgb="FF000000"/>
      <name val="新細明體"/>
      <family val="2"/>
      <scheme val="minor"/>
    </font>
    <font>
      <u/>
      <sz val="11"/>
      <color rgb="FF000000"/>
      <name val="Calibri"/>
      <family val="2"/>
    </font>
    <font>
      <u/>
      <sz val="11"/>
      <color rgb="FF000000"/>
      <name val="新細明體"/>
      <family val="2"/>
      <scheme val="minor"/>
    </font>
    <font>
      <strike/>
      <sz val="11"/>
      <color rgb="FFFF0000"/>
      <name val="新細明體"/>
      <family val="2"/>
      <scheme val="minor"/>
    </font>
    <font>
      <strike/>
      <sz val="11"/>
      <color rgb="FF00B050"/>
      <name val="新細明體"/>
      <family val="2"/>
      <scheme val="minor"/>
    </font>
    <font>
      <b/>
      <sz val="22"/>
      <color theme="0"/>
      <name val="新細明體"/>
      <family val="2"/>
      <scheme val="minor"/>
    </font>
    <font>
      <sz val="10"/>
      <color theme="1"/>
      <name val="Arial Unicode MS"/>
    </font>
    <font>
      <sz val="14"/>
      <color theme="1"/>
      <name val="新細明體"/>
      <family val="2"/>
      <scheme val="minor"/>
    </font>
    <font>
      <sz val="11"/>
      <color indexed="8"/>
      <name val="新細明體"/>
      <family val="2"/>
      <scheme val="minor"/>
    </font>
    <font>
      <u/>
      <sz val="11"/>
      <name val="新細明體"/>
      <family val="2"/>
      <scheme val="minor"/>
    </font>
    <font>
      <sz val="10"/>
      <name val="DFBiaoKaiShu-B5"/>
      <family val="4"/>
    </font>
    <font>
      <b/>
      <sz val="12"/>
      <color theme="1"/>
      <name val="新細明體"/>
      <family val="2"/>
      <scheme val="minor"/>
    </font>
    <font>
      <b/>
      <sz val="11"/>
      <color rgb="FF00B050"/>
      <name val="Calibri"/>
      <family val="2"/>
    </font>
    <font>
      <b/>
      <sz val="11"/>
      <color rgb="FFFFFFFF"/>
      <name val="Calibri"/>
      <family val="2"/>
    </font>
    <font>
      <b/>
      <sz val="11"/>
      <color rgb="FF000000"/>
      <name val="新細明體"/>
      <family val="2"/>
      <scheme val="minor"/>
    </font>
    <font>
      <b/>
      <sz val="11"/>
      <color rgb="FF00B050"/>
      <name val="新細明體"/>
      <family val="2"/>
      <scheme val="minor"/>
    </font>
    <font>
      <b/>
      <i/>
      <sz val="11"/>
      <color rgb="FF000000"/>
      <name val="新細明體"/>
      <family val="2"/>
      <scheme val="minor"/>
    </font>
    <font>
      <sz val="16"/>
      <color rgb="FFED7D31"/>
      <name val="Calibri"/>
      <family val="2"/>
    </font>
    <font>
      <sz val="10"/>
      <color indexed="8"/>
      <name val="新細明體"/>
      <family val="2"/>
      <scheme val="minor"/>
    </font>
    <font>
      <b/>
      <sz val="10"/>
      <color theme="1"/>
      <name val="新細明體"/>
      <family val="2"/>
      <scheme val="minor"/>
    </font>
    <font>
      <b/>
      <sz val="11"/>
      <color rgb="FF000000"/>
      <name val="Calibri"/>
      <family val="2"/>
    </font>
    <font>
      <sz val="10"/>
      <color rgb="FF000000"/>
      <name val="Times New Roman"/>
      <family val="1"/>
    </font>
    <font>
      <sz val="12"/>
      <color theme="1"/>
      <name val="DFKai-SB"/>
      <family val="4"/>
    </font>
    <font>
      <sz val="12"/>
      <color rgb="FFFF0000"/>
      <name val="DFKai-SB"/>
      <family val="4"/>
    </font>
    <font>
      <b/>
      <sz val="10"/>
      <color rgb="FF000000"/>
      <name val="新細明體"/>
      <family val="2"/>
      <scheme val="minor"/>
    </font>
    <font>
      <sz val="10"/>
      <color rgb="FF000000"/>
      <name val="新細明體"/>
      <family val="2"/>
      <scheme val="minor"/>
    </font>
    <font>
      <sz val="10"/>
      <color rgb="FFEE0000"/>
      <name val="新細明體"/>
      <family val="2"/>
      <scheme val="minor"/>
    </font>
    <font>
      <u/>
      <sz val="10"/>
      <color theme="1"/>
      <name val="新細明體"/>
      <family val="2"/>
      <scheme val="minor"/>
    </font>
    <font>
      <sz val="9"/>
      <name val="新細明體"/>
      <family val="3"/>
      <charset val="136"/>
      <scheme val="minor"/>
    </font>
  </fonts>
  <fills count="38">
    <fill>
      <patternFill patternType="none"/>
    </fill>
    <fill>
      <patternFill patternType="gray125"/>
    </fill>
    <fill>
      <patternFill patternType="solid">
        <fgColor rgb="FFC6EFCE"/>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tint="-0.249977111117893"/>
        <bgColor indexed="64"/>
      </patternFill>
    </fill>
    <fill>
      <patternFill patternType="solid">
        <fgColor theme="4" tint="-0.24997711111789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0"/>
        <bgColor rgb="FF000000"/>
      </patternFill>
    </fill>
    <fill>
      <patternFill patternType="solid">
        <fgColor theme="1" tint="0.14999847407452621"/>
        <bgColor indexed="64"/>
      </patternFill>
    </fill>
    <fill>
      <patternFill patternType="solid">
        <fgColor theme="9" tint="0.79998168889431442"/>
        <bgColor indexed="64"/>
      </patternFill>
    </fill>
    <fill>
      <patternFill patternType="solid">
        <fgColor theme="0"/>
        <bgColor indexed="64"/>
      </patternFill>
    </fill>
    <fill>
      <patternFill patternType="solid">
        <fgColor rgb="FFC6EFCE"/>
        <bgColor indexed="64"/>
      </patternFill>
    </fill>
    <fill>
      <patternFill patternType="solid">
        <fgColor rgb="FF7030A0"/>
        <bgColor indexed="64"/>
      </patternFill>
    </fill>
    <fill>
      <patternFill patternType="solid">
        <fgColor theme="8" tint="0.79998168889431442"/>
        <bgColor indexed="64"/>
      </patternFill>
    </fill>
    <fill>
      <patternFill patternType="solid">
        <fgColor rgb="FFCCFFCC"/>
        <bgColor indexed="64"/>
      </patternFill>
    </fill>
    <fill>
      <patternFill patternType="solid">
        <fgColor theme="3"/>
        <bgColor indexed="64"/>
      </patternFill>
    </fill>
    <fill>
      <patternFill patternType="solid">
        <fgColor theme="3" tint="-0.249977111117893"/>
        <bgColor indexed="64"/>
      </patternFill>
    </fill>
    <fill>
      <patternFill patternType="solid">
        <fgColor rgb="FF153D64"/>
        <bgColor indexed="64"/>
      </patternFill>
    </fill>
    <fill>
      <patternFill patternType="solid">
        <fgColor theme="1"/>
        <bgColor indexed="64"/>
      </patternFill>
    </fill>
    <fill>
      <patternFill patternType="solid">
        <fgColor rgb="FFCCFFCC"/>
        <bgColor rgb="FF000000"/>
      </patternFill>
    </fill>
    <fill>
      <patternFill patternType="solid">
        <fgColor rgb="FFAADCFF"/>
        <bgColor indexed="64"/>
      </patternFill>
    </fill>
    <fill>
      <patternFill patternType="solid">
        <fgColor theme="4" tint="-0.499984740745262"/>
        <bgColor indexed="64"/>
      </patternFill>
    </fill>
    <fill>
      <patternFill patternType="solid">
        <fgColor theme="4"/>
        <bgColor indexed="64"/>
      </patternFill>
    </fill>
    <fill>
      <patternFill patternType="solid">
        <fgColor theme="2"/>
        <bgColor indexed="64"/>
      </patternFill>
    </fill>
    <fill>
      <patternFill patternType="solid">
        <fgColor rgb="FF92D050"/>
        <bgColor indexed="64"/>
      </patternFill>
    </fill>
    <fill>
      <patternFill patternType="solid">
        <fgColor rgb="FF00C800"/>
        <bgColor indexed="64"/>
      </patternFill>
    </fill>
    <fill>
      <patternFill patternType="solid">
        <fgColor theme="3" tint="0.249977111117893"/>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00958F"/>
        <bgColor indexed="64"/>
      </patternFill>
    </fill>
    <fill>
      <patternFill patternType="solid">
        <fgColor rgb="FF305496"/>
        <bgColor rgb="FF000000"/>
      </patternFill>
    </fill>
    <fill>
      <patternFill patternType="solid">
        <fgColor rgb="FF009900"/>
        <bgColor indexed="64"/>
      </patternFill>
    </fill>
    <fill>
      <patternFill patternType="solid">
        <fgColor theme="7" tint="0.59999389629810485"/>
        <bgColor indexed="64"/>
      </patternFill>
    </fill>
    <fill>
      <patternFill patternType="solid">
        <fgColor rgb="FFD9D9D9"/>
        <bgColor indexed="64"/>
      </patternFill>
    </fill>
  </fills>
  <borders count="15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medium">
        <color indexed="64"/>
      </right>
      <top style="thin">
        <color indexed="64"/>
      </top>
      <bottom/>
      <diagonal/>
    </border>
    <border>
      <left/>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thin">
        <color indexed="64"/>
      </left>
      <right style="medium">
        <color indexed="64"/>
      </right>
      <top/>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style="dotted">
        <color indexed="64"/>
      </top>
      <bottom style="dotted">
        <color indexed="64"/>
      </bottom>
      <diagonal/>
    </border>
    <border>
      <left style="thin">
        <color indexed="64"/>
      </left>
      <right style="medium">
        <color indexed="64"/>
      </right>
      <top style="dotted">
        <color indexed="64"/>
      </top>
      <bottom style="medium">
        <color indexed="64"/>
      </bottom>
      <diagonal/>
    </border>
    <border>
      <left style="thin">
        <color indexed="64"/>
      </left>
      <right style="medium">
        <color indexed="64"/>
      </right>
      <top/>
      <bottom style="dotted">
        <color indexed="64"/>
      </bottom>
      <diagonal/>
    </border>
    <border>
      <left/>
      <right style="thin">
        <color indexed="64"/>
      </right>
      <top style="dotted">
        <color indexed="64"/>
      </top>
      <bottom style="dotted">
        <color indexed="64"/>
      </bottom>
      <diagonal/>
    </border>
    <border>
      <left/>
      <right style="thin">
        <color indexed="64"/>
      </right>
      <top style="dotted">
        <color indexed="64"/>
      </top>
      <bottom style="medium">
        <color indexed="64"/>
      </bottom>
      <diagonal/>
    </border>
    <border>
      <left/>
      <right style="thin">
        <color indexed="64"/>
      </right>
      <top/>
      <bottom/>
      <diagonal/>
    </border>
    <border diagonalDown="1">
      <left/>
      <right style="thin">
        <color indexed="64"/>
      </right>
      <top style="thin">
        <color indexed="64"/>
      </top>
      <bottom style="thin">
        <color indexed="64"/>
      </bottom>
      <diagonal style="thin">
        <color indexed="64"/>
      </diagonal>
    </border>
    <border>
      <left style="thin">
        <color indexed="64"/>
      </left>
      <right style="thin">
        <color indexed="64"/>
      </right>
      <top style="medium">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dotted">
        <color indexed="64"/>
      </bottom>
      <diagonal/>
    </border>
    <border>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thin">
        <color indexed="64"/>
      </right>
      <top/>
      <bottom style="dotted">
        <color indexed="64"/>
      </bottom>
      <diagonal/>
    </border>
    <border>
      <left style="medium">
        <color indexed="64"/>
      </left>
      <right style="thin">
        <color indexed="64"/>
      </right>
      <top/>
      <bottom style="dotted">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indexed="64"/>
      </left>
      <right style="thin">
        <color theme="0"/>
      </right>
      <top/>
      <bottom style="thin">
        <color indexed="64"/>
      </bottom>
      <diagonal/>
    </border>
    <border>
      <left style="thin">
        <color theme="0"/>
      </left>
      <right style="thin">
        <color theme="0"/>
      </right>
      <top/>
      <bottom style="thin">
        <color indexed="64"/>
      </bottom>
      <diagonal/>
    </border>
    <border>
      <left style="medium">
        <color auto="1"/>
      </left>
      <right style="thin">
        <color auto="1"/>
      </right>
      <top style="hair">
        <color auto="1"/>
      </top>
      <bottom style="hair">
        <color auto="1"/>
      </bottom>
      <diagonal/>
    </border>
    <border>
      <left style="thin">
        <color indexed="64"/>
      </left>
      <right style="thin">
        <color indexed="64"/>
      </right>
      <top style="hair">
        <color indexed="64"/>
      </top>
      <bottom style="hair">
        <color indexed="64"/>
      </bottom>
      <diagonal/>
    </border>
    <border>
      <left style="thick">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medium">
        <color indexed="64"/>
      </bottom>
      <diagonal/>
    </border>
    <border>
      <left style="thin">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thin">
        <color indexed="64"/>
      </right>
      <top/>
      <bottom/>
      <diagonal/>
    </border>
    <border>
      <left style="thin">
        <color indexed="64"/>
      </left>
      <right style="thick">
        <color indexed="64"/>
      </right>
      <top/>
      <bottom/>
      <diagonal/>
    </border>
    <border>
      <left style="thick">
        <color indexed="64"/>
      </left>
      <right style="thin">
        <color indexed="64"/>
      </right>
      <top style="medium">
        <color indexed="64"/>
      </top>
      <bottom style="medium">
        <color indexed="64"/>
      </bottom>
      <diagonal/>
    </border>
    <border>
      <left style="thin">
        <color indexed="64"/>
      </left>
      <right style="thick">
        <color indexed="64"/>
      </right>
      <top style="medium">
        <color indexed="64"/>
      </top>
      <bottom style="medium">
        <color indexed="64"/>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thick">
        <color indexed="64"/>
      </right>
      <top style="medium">
        <color indexed="64"/>
      </top>
      <bottom style="thick">
        <color indexed="64"/>
      </bottom>
      <diagonal/>
    </border>
    <border>
      <left style="medium">
        <color indexed="64"/>
      </left>
      <right style="medium">
        <color theme="0"/>
      </right>
      <top style="medium">
        <color indexed="64"/>
      </top>
      <bottom style="medium">
        <color theme="0"/>
      </bottom>
      <diagonal/>
    </border>
    <border>
      <left style="medium">
        <color theme="0"/>
      </left>
      <right style="medium">
        <color theme="0"/>
      </right>
      <top style="medium">
        <color indexed="64"/>
      </top>
      <bottom style="medium">
        <color theme="0"/>
      </bottom>
      <diagonal/>
    </border>
    <border>
      <left style="medium">
        <color theme="0"/>
      </left>
      <right style="medium">
        <color indexed="64"/>
      </right>
      <top style="medium">
        <color indexed="64"/>
      </top>
      <bottom style="medium">
        <color theme="0"/>
      </bottom>
      <diagonal/>
    </border>
    <border>
      <left style="medium">
        <color indexed="64"/>
      </left>
      <right style="medium">
        <color theme="0"/>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style="medium">
        <color theme="0"/>
      </left>
      <right style="medium">
        <color indexed="64"/>
      </right>
      <top style="medium">
        <color theme="0"/>
      </top>
      <bottom style="medium">
        <color indexed="64"/>
      </bottom>
      <diagonal/>
    </border>
    <border>
      <left style="medium">
        <color theme="0"/>
      </left>
      <right style="medium">
        <color theme="0"/>
      </right>
      <top style="medium">
        <color indexed="64"/>
      </top>
      <bottom/>
      <diagonal/>
    </border>
    <border>
      <left style="medium">
        <color theme="0"/>
      </left>
      <right style="medium">
        <color theme="0"/>
      </right>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dotted">
        <color indexed="64"/>
      </top>
      <bottom/>
      <diagonal/>
    </border>
    <border>
      <left style="thin">
        <color indexed="64"/>
      </left>
      <right style="medium">
        <color indexed="64"/>
      </right>
      <top style="dotted">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style="thin">
        <color theme="4" tint="0.39997558519241921"/>
      </top>
      <bottom/>
      <diagonal/>
    </border>
    <border>
      <left/>
      <right/>
      <top style="thin">
        <color indexed="64"/>
      </top>
      <bottom style="medium">
        <color indexed="64"/>
      </bottom>
      <diagonal/>
    </border>
    <border>
      <left style="thin">
        <color theme="0"/>
      </left>
      <right style="thin">
        <color theme="0"/>
      </right>
      <top style="thin">
        <color theme="0"/>
      </top>
      <bottom/>
      <diagonal/>
    </border>
    <border>
      <left style="thin">
        <color theme="0"/>
      </left>
      <right/>
      <top style="thin">
        <color theme="0"/>
      </top>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bottom/>
      <diagonal/>
    </border>
    <border>
      <left style="thin">
        <color indexed="64"/>
      </left>
      <right/>
      <top style="thin">
        <color indexed="64"/>
      </top>
      <bottom/>
      <diagonal/>
    </border>
    <border>
      <left style="thin">
        <color theme="0"/>
      </left>
      <right/>
      <top style="thin">
        <color indexed="64"/>
      </top>
      <bottom/>
      <diagonal/>
    </border>
    <border>
      <left/>
      <right style="thin">
        <color theme="0"/>
      </right>
      <top style="thin">
        <color indexed="64"/>
      </top>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right style="thin">
        <color indexed="64"/>
      </right>
      <top style="medium">
        <color indexed="64"/>
      </top>
      <bottom style="medium">
        <color indexed="64"/>
      </bottom>
      <diagonal/>
    </border>
    <border>
      <left style="medium">
        <color rgb="FF000000"/>
      </left>
      <right style="thin">
        <color rgb="FF000000"/>
      </right>
      <top style="thin">
        <color rgb="FF000000"/>
      </top>
      <bottom style="thin">
        <color rgb="FF000000"/>
      </bottom>
      <diagonal/>
    </border>
    <border>
      <left style="medium">
        <color indexed="64"/>
      </left>
      <right style="thin">
        <color indexed="64"/>
      </right>
      <top/>
      <bottom style="thin">
        <color indexed="64"/>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50">
    <xf numFmtId="0" fontId="0" fillId="0" borderId="0"/>
    <xf numFmtId="0" fontId="7" fillId="2" borderId="0" applyNumberFormat="0" applyBorder="0" applyAlignment="0" applyProtection="0"/>
    <xf numFmtId="9" fontId="6" fillId="0" borderId="0" applyFont="0" applyFill="0" applyBorder="0" applyAlignment="0" applyProtection="0"/>
    <xf numFmtId="0" fontId="10" fillId="0" borderId="0" applyNumberFormat="0" applyFill="0" applyBorder="0" applyAlignment="0" applyProtection="0"/>
    <xf numFmtId="0" fontId="15" fillId="0" borderId="0"/>
    <xf numFmtId="0" fontId="28" fillId="0" borderId="0"/>
    <xf numFmtId="0" fontId="30" fillId="0" borderId="0"/>
    <xf numFmtId="0" fontId="6" fillId="0" borderId="0"/>
    <xf numFmtId="0" fontId="6" fillId="0" borderId="0"/>
    <xf numFmtId="0" fontId="34" fillId="0" borderId="0"/>
    <xf numFmtId="0" fontId="51" fillId="0" borderId="0" applyNumberFormat="0" applyFill="0" applyBorder="0" applyProtection="0">
      <alignment vertical="top" wrapText="1"/>
    </xf>
    <xf numFmtId="0" fontId="13" fillId="0" borderId="0"/>
    <xf numFmtId="0" fontId="52" fillId="0" borderId="0"/>
    <xf numFmtId="0" fontId="50" fillId="0" borderId="0"/>
    <xf numFmtId="0" fontId="28" fillId="0" borderId="0"/>
    <xf numFmtId="0" fontId="50" fillId="0" borderId="0"/>
    <xf numFmtId="0" fontId="52" fillId="0" borderId="0"/>
    <xf numFmtId="0" fontId="6" fillId="0" borderId="0"/>
    <xf numFmtId="0" fontId="53" fillId="0" borderId="0" applyNumberFormat="0" applyFill="0" applyBorder="0" applyAlignment="0" applyProtection="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9" fillId="0" borderId="0">
      <alignment vertical="center"/>
    </xf>
    <xf numFmtId="0" fontId="54" fillId="0" borderId="0"/>
    <xf numFmtId="0" fontId="28" fillId="0" borderId="0"/>
    <xf numFmtId="0" fontId="4" fillId="0" borderId="0"/>
    <xf numFmtId="0" fontId="92" fillId="0" borderId="0"/>
    <xf numFmtId="176" fontId="4" fillId="0" borderId="0" applyFont="0" applyFill="0" applyBorder="0" applyAlignment="0" applyProtection="0"/>
    <xf numFmtId="0" fontId="4" fillId="0" borderId="0"/>
    <xf numFmtId="0" fontId="4" fillId="0" borderId="0"/>
    <xf numFmtId="0" fontId="4" fillId="0" borderId="0"/>
    <xf numFmtId="0" fontId="4" fillId="0" borderId="0"/>
    <xf numFmtId="0" fontId="128" fillId="0" borderId="0">
      <alignment vertical="center"/>
    </xf>
    <xf numFmtId="0" fontId="144" fillId="0" borderId="0"/>
    <xf numFmtId="0" fontId="157" fillId="0" borderId="0"/>
    <xf numFmtId="0" fontId="28" fillId="0" borderId="0"/>
    <xf numFmtId="0" fontId="28" fillId="0" borderId="0"/>
    <xf numFmtId="9" fontId="4" fillId="0" borderId="0" applyFont="0" applyFill="0" applyBorder="0" applyAlignment="0" applyProtection="0"/>
    <xf numFmtId="176" fontId="4" fillId="0" borderId="0" applyFont="0" applyFill="0" applyBorder="0" applyAlignment="0" applyProtection="0">
      <alignment vertical="center"/>
    </xf>
  </cellStyleXfs>
  <cellXfs count="1273">
    <xf numFmtId="0" fontId="0" fillId="0" borderId="0" xfId="0"/>
    <xf numFmtId="0" fontId="0" fillId="0" borderId="0" xfId="0" applyAlignment="1">
      <alignment vertical="center"/>
    </xf>
    <xf numFmtId="0" fontId="0" fillId="0" borderId="0" xfId="0" applyAlignment="1">
      <alignment horizontal="center"/>
    </xf>
    <xf numFmtId="0" fontId="13" fillId="0" borderId="0" xfId="0" applyFont="1" applyAlignment="1">
      <alignment vertical="center" wrapText="1"/>
    </xf>
    <xf numFmtId="0" fontId="14" fillId="0" borderId="0" xfId="0" applyFont="1" applyAlignment="1">
      <alignment horizontal="center" vertical="center" wrapText="1"/>
    </xf>
    <xf numFmtId="0" fontId="14" fillId="0" borderId="0" xfId="0" applyFont="1" applyAlignment="1">
      <alignment vertical="center" wrapText="1"/>
    </xf>
    <xf numFmtId="0" fontId="13" fillId="0" borderId="0" xfId="0" applyFont="1" applyAlignment="1">
      <alignment horizontal="center" vertical="center" wrapText="1"/>
    </xf>
    <xf numFmtId="0" fontId="15" fillId="0" borderId="1" xfId="0" applyFont="1" applyBorder="1" applyAlignment="1">
      <alignment horizontal="center" vertical="center" wrapText="1"/>
    </xf>
    <xf numFmtId="0" fontId="15" fillId="0" borderId="0" xfId="0" applyFont="1" applyAlignment="1">
      <alignment vertical="center" wrapText="1"/>
    </xf>
    <xf numFmtId="0" fontId="18" fillId="0" borderId="0" xfId="0" applyFont="1" applyAlignment="1">
      <alignment horizontal="center" vertical="center" wrapText="1"/>
    </xf>
    <xf numFmtId="0" fontId="16" fillId="0" borderId="1" xfId="3" applyFont="1" applyFill="1" applyBorder="1" applyAlignment="1">
      <alignment horizontal="left" vertical="center" wrapText="1" indent="1"/>
    </xf>
    <xf numFmtId="0" fontId="16" fillId="0" borderId="1" xfId="0" applyFont="1" applyBorder="1" applyAlignment="1">
      <alignment horizontal="left" vertical="center" wrapText="1" indent="1"/>
    </xf>
    <xf numFmtId="0" fontId="15" fillId="0" borderId="1" xfId="0" applyFont="1" applyBorder="1" applyAlignment="1">
      <alignment horizontal="left" vertical="center" wrapText="1" indent="1"/>
    </xf>
    <xf numFmtId="0" fontId="16" fillId="9" borderId="1" xfId="0" applyFont="1" applyFill="1" applyBorder="1" applyAlignment="1">
      <alignment horizontal="left" vertical="center" wrapText="1" indent="1"/>
    </xf>
    <xf numFmtId="9" fontId="15" fillId="0" borderId="1" xfId="2" applyFont="1" applyBorder="1" applyAlignment="1">
      <alignment horizontal="center" vertical="center" wrapText="1"/>
    </xf>
    <xf numFmtId="0" fontId="20" fillId="0" borderId="0" xfId="0" applyFont="1" applyAlignment="1">
      <alignment horizontal="center" vertical="center" wrapText="1"/>
    </xf>
    <xf numFmtId="0" fontId="13" fillId="0" borderId="0" xfId="0" applyFont="1" applyAlignment="1">
      <alignment horizontal="left" vertical="center" wrapText="1"/>
    </xf>
    <xf numFmtId="0" fontId="21" fillId="0" borderId="0" xfId="0" applyFont="1" applyAlignment="1">
      <alignment horizontal="left" vertical="center" wrapText="1"/>
    </xf>
    <xf numFmtId="177" fontId="15" fillId="0" borderId="1" xfId="0" applyNumberFormat="1" applyFont="1" applyBorder="1" applyAlignment="1">
      <alignment horizontal="center" vertical="center" wrapText="1"/>
    </xf>
    <xf numFmtId="0" fontId="15" fillId="4" borderId="1" xfId="0" applyFont="1" applyFill="1" applyBorder="1" applyAlignment="1">
      <alignment horizontal="left" vertical="center" wrapText="1" indent="1"/>
    </xf>
    <xf numFmtId="0" fontId="20" fillId="0" borderId="0" xfId="0" applyFont="1" applyAlignment="1">
      <alignment horizontal="left" vertical="center" wrapText="1"/>
    </xf>
    <xf numFmtId="0" fontId="15" fillId="7" borderId="1" xfId="0" applyFont="1" applyFill="1" applyBorder="1" applyAlignment="1">
      <alignment horizontal="left" vertical="center" wrapText="1" indent="1"/>
    </xf>
    <xf numFmtId="0" fontId="15" fillId="9" borderId="1" xfId="0" applyFont="1" applyFill="1" applyBorder="1" applyAlignment="1">
      <alignment horizontal="center" vertical="center" wrapText="1"/>
    </xf>
    <xf numFmtId="9" fontId="15" fillId="0" borderId="1" xfId="2" applyFont="1" applyFill="1" applyBorder="1" applyAlignment="1">
      <alignment horizontal="center" vertical="center" wrapText="1"/>
    </xf>
    <xf numFmtId="0" fontId="9" fillId="0" borderId="1" xfId="0" applyFont="1" applyBorder="1" applyAlignment="1">
      <alignment vertical="center" wrapText="1"/>
    </xf>
    <xf numFmtId="9" fontId="22" fillId="0" borderId="1" xfId="2" applyFont="1" applyFill="1" applyBorder="1" applyAlignment="1">
      <alignment horizontal="center" vertical="center"/>
    </xf>
    <xf numFmtId="0" fontId="22" fillId="0" borderId="1" xfId="3" applyFont="1" applyFill="1" applyBorder="1" applyAlignment="1">
      <alignment vertical="center"/>
    </xf>
    <xf numFmtId="0" fontId="25" fillId="8" borderId="1" xfId="0" applyFont="1" applyFill="1" applyBorder="1" applyAlignment="1">
      <alignment horizontal="center" vertical="center"/>
    </xf>
    <xf numFmtId="0" fontId="24" fillId="8" borderId="1" xfId="0" applyFont="1" applyFill="1" applyBorder="1" applyAlignment="1">
      <alignment horizontal="center" vertical="center"/>
    </xf>
    <xf numFmtId="9" fontId="24" fillId="8" borderId="1" xfId="2" applyFont="1" applyFill="1" applyBorder="1" applyAlignment="1">
      <alignment horizontal="center" vertical="center"/>
    </xf>
    <xf numFmtId="0" fontId="9" fillId="0" borderId="1" xfId="0" applyFont="1" applyBorder="1" applyAlignment="1">
      <alignment horizontal="center" vertical="center"/>
    </xf>
    <xf numFmtId="0" fontId="9" fillId="0" borderId="1" xfId="0" applyFont="1" applyBorder="1" applyAlignment="1">
      <alignment horizontal="center"/>
    </xf>
    <xf numFmtId="0" fontId="0" fillId="0" borderId="1" xfId="0" applyBorder="1" applyAlignment="1">
      <alignment horizontal="center" vertical="center"/>
    </xf>
    <xf numFmtId="0" fontId="0" fillId="0" borderId="0" xfId="0" applyAlignment="1">
      <alignment horizontal="center" vertical="center"/>
    </xf>
    <xf numFmtId="0" fontId="12" fillId="8" borderId="1" xfId="0" applyFont="1" applyFill="1" applyBorder="1" applyAlignment="1">
      <alignment horizontal="center" vertical="center"/>
    </xf>
    <xf numFmtId="0" fontId="28" fillId="11" borderId="1" xfId="0" applyFont="1" applyFill="1" applyBorder="1"/>
    <xf numFmtId="0" fontId="28" fillId="0" borderId="1" xfId="0" applyFont="1" applyBorder="1"/>
    <xf numFmtId="0" fontId="11" fillId="8" borderId="1" xfId="0" applyFont="1" applyFill="1" applyBorder="1" applyAlignment="1">
      <alignment horizontal="center" vertical="center" wrapText="1"/>
    </xf>
    <xf numFmtId="0" fontId="11" fillId="8" borderId="1" xfId="0" applyFont="1" applyFill="1" applyBorder="1" applyAlignment="1">
      <alignment horizontal="center" vertical="center"/>
    </xf>
    <xf numFmtId="0" fontId="9" fillId="0" borderId="0" xfId="0" applyFont="1" applyAlignment="1">
      <alignment horizontal="center"/>
    </xf>
    <xf numFmtId="0" fontId="9" fillId="0" borderId="0" xfId="0" applyFont="1"/>
    <xf numFmtId="178" fontId="9" fillId="0" borderId="1" xfId="0" applyNumberFormat="1" applyFont="1" applyBorder="1" applyAlignment="1">
      <alignment horizontal="center" vertical="center" wrapText="1"/>
    </xf>
    <xf numFmtId="0" fontId="29" fillId="0" borderId="0" xfId="0" applyFont="1" applyAlignment="1">
      <alignment horizontal="center" vertical="center"/>
    </xf>
    <xf numFmtId="0" fontId="11" fillId="8" borderId="2" xfId="0" applyFont="1" applyFill="1" applyBorder="1" applyAlignment="1">
      <alignment horizontal="center" vertical="center"/>
    </xf>
    <xf numFmtId="0" fontId="12" fillId="8" borderId="7" xfId="0" applyFont="1" applyFill="1" applyBorder="1" applyAlignment="1">
      <alignment horizontal="left" vertical="center"/>
    </xf>
    <xf numFmtId="0" fontId="0" fillId="10" borderId="1" xfId="2" applyNumberFormat="1" applyFont="1" applyFill="1" applyBorder="1" applyAlignment="1">
      <alignment horizontal="center"/>
    </xf>
    <xf numFmtId="0" fontId="0" fillId="0" borderId="23" xfId="0" applyBorder="1" applyAlignment="1">
      <alignment vertical="center"/>
    </xf>
    <xf numFmtId="0" fontId="28" fillId="0" borderId="1" xfId="5" applyBorder="1" applyAlignment="1" applyProtection="1">
      <alignment vertical="center"/>
      <protection locked="0"/>
    </xf>
    <xf numFmtId="0" fontId="0" fillId="12" borderId="0" xfId="0" applyFill="1"/>
    <xf numFmtId="9" fontId="0" fillId="0" borderId="0" xfId="2" applyFont="1" applyAlignment="1">
      <alignment horizontal="center" vertical="center"/>
    </xf>
    <xf numFmtId="0" fontId="12" fillId="8" borderId="1" xfId="0" applyFont="1" applyFill="1" applyBorder="1" applyAlignment="1">
      <alignment horizontal="left" vertical="center"/>
    </xf>
    <xf numFmtId="0" fontId="28" fillId="0" borderId="0" xfId="0" applyFont="1" applyAlignment="1">
      <alignment wrapText="1"/>
    </xf>
    <xf numFmtId="178" fontId="9" fillId="0" borderId="1" xfId="0" applyNumberFormat="1" applyFont="1" applyBorder="1" applyAlignment="1">
      <alignment horizontal="center"/>
    </xf>
    <xf numFmtId="178" fontId="9" fillId="0" borderId="1" xfId="0" applyNumberFormat="1" applyFont="1" applyBorder="1" applyAlignment="1">
      <alignment horizontal="center" vertical="center"/>
    </xf>
    <xf numFmtId="0" fontId="28" fillId="0" borderId="0" xfId="5" applyAlignment="1">
      <alignment wrapText="1"/>
    </xf>
    <xf numFmtId="0" fontId="32" fillId="0" borderId="1" xfId="5" applyFont="1" applyBorder="1" applyAlignment="1" applyProtection="1">
      <alignment vertical="center"/>
      <protection locked="0"/>
    </xf>
    <xf numFmtId="178" fontId="0" fillId="0" borderId="1" xfId="0" applyNumberFormat="1" applyBorder="1" applyAlignment="1">
      <alignment horizontal="center" vertical="center" wrapText="1"/>
    </xf>
    <xf numFmtId="0" fontId="28" fillId="15" borderId="1" xfId="0" applyFont="1" applyFill="1" applyBorder="1"/>
    <xf numFmtId="0" fontId="10" fillId="0" borderId="1" xfId="3" applyBorder="1" applyAlignment="1">
      <alignment horizontal="left" vertical="center" wrapText="1" indent="1"/>
    </xf>
    <xf numFmtId="9" fontId="0" fillId="0" borderId="0" xfId="0" applyNumberFormat="1" applyAlignment="1">
      <alignment horizontal="center"/>
    </xf>
    <xf numFmtId="0" fontId="33" fillId="0" borderId="0" xfId="0" applyFont="1"/>
    <xf numFmtId="0" fontId="0" fillId="0" borderId="0" xfId="0" applyAlignment="1">
      <alignment wrapText="1"/>
    </xf>
    <xf numFmtId="0" fontId="32" fillId="0" borderId="1" xfId="0" applyFont="1" applyBorder="1" applyAlignment="1">
      <alignment vertical="center" wrapText="1"/>
    </xf>
    <xf numFmtId="0" fontId="28" fillId="0" borderId="1" xfId="0" applyFont="1" applyBorder="1" applyAlignment="1">
      <alignment vertical="center" wrapText="1"/>
    </xf>
    <xf numFmtId="0" fontId="0" fillId="0" borderId="0" xfId="0" applyAlignment="1">
      <alignment horizontal="left" vertical="center"/>
    </xf>
    <xf numFmtId="2" fontId="0" fillId="0" borderId="0" xfId="0" applyNumberFormat="1" applyAlignment="1">
      <alignment vertical="center"/>
    </xf>
    <xf numFmtId="0" fontId="15" fillId="15" borderId="1" xfId="0" applyFont="1" applyFill="1" applyBorder="1" applyAlignment="1">
      <alignment horizontal="center" vertical="center" wrapText="1"/>
    </xf>
    <xf numFmtId="177" fontId="15" fillId="15" borderId="1" xfId="0" applyNumberFormat="1" applyFont="1" applyFill="1" applyBorder="1" applyAlignment="1">
      <alignment horizontal="center" vertical="center" wrapText="1"/>
    </xf>
    <xf numFmtId="0" fontId="16" fillId="15" borderId="1" xfId="3" applyFont="1" applyFill="1" applyBorder="1" applyAlignment="1">
      <alignment horizontal="left" vertical="center" wrapText="1" indent="1"/>
    </xf>
    <xf numFmtId="9" fontId="15" fillId="15" borderId="1" xfId="2" applyFont="1" applyFill="1" applyBorder="1" applyAlignment="1">
      <alignment horizontal="center" vertical="center" wrapText="1"/>
    </xf>
    <xf numFmtId="0" fontId="34" fillId="0" borderId="1" xfId="5" applyFont="1" applyBorder="1" applyAlignment="1" applyProtection="1">
      <alignment vertical="center" wrapText="1"/>
      <protection locked="0"/>
    </xf>
    <xf numFmtId="0" fontId="15" fillId="0" borderId="1" xfId="0" applyFont="1" applyBorder="1" applyAlignment="1">
      <alignment horizontal="center" vertical="center" wrapText="1" indent="1"/>
    </xf>
    <xf numFmtId="49" fontId="24" fillId="8" borderId="1" xfId="0" applyNumberFormat="1" applyFont="1" applyFill="1" applyBorder="1" applyAlignment="1">
      <alignment horizontal="center" vertical="center"/>
    </xf>
    <xf numFmtId="49" fontId="22" fillId="0" borderId="1" xfId="0" applyNumberFormat="1" applyFont="1" applyBorder="1" applyAlignment="1">
      <alignment horizontal="left" vertical="center"/>
    </xf>
    <xf numFmtId="0" fontId="0" fillId="0" borderId="0" xfId="0" applyAlignment="1">
      <alignment horizontal="left"/>
    </xf>
    <xf numFmtId="0" fontId="0" fillId="0" borderId="0" xfId="0" pivotButton="1"/>
    <xf numFmtId="0" fontId="36" fillId="0" borderId="0" xfId="0" applyFont="1" applyAlignment="1">
      <alignment vertical="center"/>
    </xf>
    <xf numFmtId="0" fontId="12" fillId="12" borderId="0" xfId="0" applyFont="1" applyFill="1"/>
    <xf numFmtId="0" fontId="11" fillId="12" borderId="0" xfId="0" applyFont="1" applyFill="1"/>
    <xf numFmtId="0" fontId="20" fillId="9" borderId="9" xfId="0" applyFont="1" applyFill="1" applyBorder="1" applyAlignment="1">
      <alignment horizontal="left" vertical="center" wrapText="1"/>
    </xf>
    <xf numFmtId="0" fontId="16" fillId="0" borderId="31" xfId="3" applyFont="1" applyFill="1" applyBorder="1" applyAlignment="1">
      <alignment horizontal="center" vertical="center" wrapText="1"/>
    </xf>
    <xf numFmtId="9" fontId="15" fillId="0" borderId="21" xfId="2" applyFont="1" applyFill="1" applyBorder="1" applyAlignment="1">
      <alignment horizontal="center" vertical="center" wrapText="1"/>
    </xf>
    <xf numFmtId="9" fontId="15" fillId="0" borderId="25" xfId="2" applyFont="1" applyFill="1" applyBorder="1" applyAlignment="1">
      <alignment horizontal="center" vertical="center" wrapText="1"/>
    </xf>
    <xf numFmtId="9" fontId="15" fillId="0" borderId="38" xfId="2" applyFont="1" applyFill="1" applyBorder="1" applyAlignment="1">
      <alignment horizontal="center" vertical="center" wrapText="1"/>
    </xf>
    <xf numFmtId="9" fontId="15" fillId="0" borderId="35" xfId="2" applyFont="1" applyFill="1" applyBorder="1" applyAlignment="1">
      <alignment horizontal="center" vertical="center" wrapText="1"/>
    </xf>
    <xf numFmtId="9" fontId="15" fillId="0" borderId="38" xfId="2" applyFont="1" applyFill="1" applyBorder="1" applyAlignment="1">
      <alignment horizontal="left" vertical="top" wrapText="1"/>
    </xf>
    <xf numFmtId="0" fontId="16" fillId="0" borderId="3" xfId="3" applyFont="1" applyFill="1" applyBorder="1" applyAlignment="1">
      <alignment horizontal="left" vertical="center" wrapText="1" indent="1"/>
    </xf>
    <xf numFmtId="0" fontId="15" fillId="0" borderId="3" xfId="0" applyFont="1" applyBorder="1" applyAlignment="1">
      <alignment horizontal="left" vertical="center" wrapText="1" indent="1"/>
    </xf>
    <xf numFmtId="0" fontId="15" fillId="0" borderId="3" xfId="0" applyFont="1" applyBorder="1" applyAlignment="1">
      <alignment horizontal="center" vertical="center" wrapText="1"/>
    </xf>
    <xf numFmtId="177" fontId="15" fillId="0" borderId="3" xfId="0" applyNumberFormat="1" applyFont="1" applyBorder="1" applyAlignment="1">
      <alignment horizontal="center" vertical="center" wrapText="1"/>
    </xf>
    <xf numFmtId="9" fontId="15" fillId="0" borderId="3" xfId="2" applyFont="1" applyBorder="1" applyAlignment="1">
      <alignment horizontal="center" vertical="center" wrapText="1"/>
    </xf>
    <xf numFmtId="9" fontId="15" fillId="0" borderId="36" xfId="2" applyFont="1" applyFill="1" applyBorder="1" applyAlignment="1">
      <alignment horizontal="center" vertical="center" wrapText="1"/>
    </xf>
    <xf numFmtId="0" fontId="20" fillId="9" borderId="16" xfId="0" applyFont="1" applyFill="1" applyBorder="1" applyAlignment="1">
      <alignment horizontal="left" vertical="center" wrapText="1"/>
    </xf>
    <xf numFmtId="0" fontId="17" fillId="8" borderId="11" xfId="1" applyFont="1" applyFill="1" applyBorder="1" applyAlignment="1">
      <alignment horizontal="center" vertical="center" wrapText="1"/>
    </xf>
    <xf numFmtId="0" fontId="17" fillId="8" borderId="12" xfId="1" applyFont="1" applyFill="1" applyBorder="1" applyAlignment="1">
      <alignment horizontal="center" vertical="center" wrapText="1"/>
    </xf>
    <xf numFmtId="9" fontId="17" fillId="8" borderId="12" xfId="2" applyFont="1" applyFill="1" applyBorder="1" applyAlignment="1">
      <alignment horizontal="center" vertical="center" wrapText="1"/>
    </xf>
    <xf numFmtId="9" fontId="17" fillId="8" borderId="14" xfId="2" applyFont="1" applyFill="1" applyBorder="1" applyAlignment="1">
      <alignment horizontal="center" vertical="center" wrapText="1"/>
    </xf>
    <xf numFmtId="0" fontId="9" fillId="0" borderId="32" xfId="0" applyFont="1" applyBorder="1" applyAlignment="1">
      <alignment horizontal="center" vertical="center" wrapText="1"/>
    </xf>
    <xf numFmtId="0" fontId="9" fillId="0" borderId="1" xfId="0" applyFont="1" applyBorder="1" applyAlignment="1">
      <alignment horizontal="center" vertical="center" wrapText="1"/>
    </xf>
    <xf numFmtId="0" fontId="10" fillId="0" borderId="0" xfId="3" applyBorder="1" applyAlignment="1">
      <alignment horizontal="left" vertical="center"/>
    </xf>
    <xf numFmtId="0" fontId="9" fillId="0" borderId="0" xfId="0" applyFont="1" applyAlignment="1">
      <alignment horizontal="center" vertical="center"/>
    </xf>
    <xf numFmtId="0" fontId="15" fillId="0" borderId="1" xfId="0" applyFont="1" applyBorder="1" applyAlignment="1">
      <alignment horizontal="left" vertical="top" wrapText="1" indent="1"/>
    </xf>
    <xf numFmtId="0" fontId="9" fillId="0" borderId="0" xfId="0" applyFont="1" applyAlignment="1">
      <alignment horizontal="left" vertical="center"/>
    </xf>
    <xf numFmtId="0" fontId="9" fillId="0" borderId="0" xfId="0" applyFont="1" applyAlignment="1">
      <alignment horizontal="left"/>
    </xf>
    <xf numFmtId="0" fontId="41" fillId="0" borderId="0" xfId="0" applyFont="1"/>
    <xf numFmtId="0" fontId="12" fillId="0" borderId="0" xfId="0" applyFont="1" applyAlignment="1">
      <alignment horizontal="center" vertical="center"/>
    </xf>
    <xf numFmtId="180" fontId="15" fillId="0" borderId="1" xfId="0" applyNumberFormat="1" applyFont="1" applyBorder="1" applyAlignment="1">
      <alignment horizontal="center" vertical="center" wrapText="1"/>
    </xf>
    <xf numFmtId="0" fontId="0" fillId="0" borderId="0" xfId="0" applyAlignment="1">
      <alignment vertical="center" wrapText="1"/>
    </xf>
    <xf numFmtId="0" fontId="9" fillId="0" borderId="0" xfId="0" applyFont="1" applyAlignment="1">
      <alignment vertical="center" wrapText="1"/>
    </xf>
    <xf numFmtId="0" fontId="0" fillId="0" borderId="17" xfId="0" applyBorder="1" applyAlignment="1">
      <alignment horizontal="center" vertical="center"/>
    </xf>
    <xf numFmtId="0" fontId="28" fillId="11" borderId="17" xfId="0" applyFont="1" applyFill="1" applyBorder="1"/>
    <xf numFmtId="178" fontId="9" fillId="0" borderId="17" xfId="0" applyNumberFormat="1" applyFont="1" applyBorder="1" applyAlignment="1">
      <alignment horizontal="center"/>
    </xf>
    <xf numFmtId="0" fontId="9" fillId="0" borderId="17" xfId="0" applyFont="1" applyBorder="1" applyAlignment="1">
      <alignment horizontal="center"/>
    </xf>
    <xf numFmtId="0" fontId="0" fillId="0" borderId="0" xfId="0" applyAlignment="1">
      <alignment horizontal="left" vertical="center" wrapText="1"/>
    </xf>
    <xf numFmtId="177" fontId="10" fillId="0" borderId="1" xfId="3" applyNumberFormat="1" applyBorder="1" applyAlignment="1">
      <alignment horizontal="center" vertical="center" wrapText="1"/>
    </xf>
    <xf numFmtId="177" fontId="47" fillId="0" borderId="1" xfId="3" applyNumberFormat="1" applyFont="1" applyBorder="1" applyAlignment="1">
      <alignment horizontal="center" vertical="center" wrapText="1"/>
    </xf>
    <xf numFmtId="177" fontId="48" fillId="0" borderId="1" xfId="0" applyNumberFormat="1" applyFont="1" applyBorder="1" applyAlignment="1">
      <alignment horizontal="center" vertical="center" wrapText="1"/>
    </xf>
    <xf numFmtId="0" fontId="0" fillId="0" borderId="0" xfId="0" applyAlignment="1">
      <alignment vertical="top"/>
    </xf>
    <xf numFmtId="0" fontId="0" fillId="0" borderId="47" xfId="0" applyBorder="1" applyAlignment="1">
      <alignment vertical="center"/>
    </xf>
    <xf numFmtId="0" fontId="11" fillId="8" borderId="26" xfId="0" applyFont="1" applyFill="1" applyBorder="1" applyAlignment="1">
      <alignment horizontal="center" vertical="center"/>
    </xf>
    <xf numFmtId="15" fontId="0" fillId="0" borderId="26" xfId="0" applyNumberFormat="1" applyBorder="1" applyAlignment="1">
      <alignment horizontal="center"/>
    </xf>
    <xf numFmtId="0" fontId="9" fillId="0" borderId="26" xfId="0" applyFont="1" applyBorder="1" applyAlignment="1">
      <alignment horizontal="center"/>
    </xf>
    <xf numFmtId="0" fontId="5" fillId="0" borderId="0" xfId="0" applyFont="1" applyAlignment="1">
      <alignment vertical="center"/>
    </xf>
    <xf numFmtId="0" fontId="5" fillId="0" borderId="1" xfId="0" applyFont="1" applyBorder="1" applyAlignment="1">
      <alignment horizontal="center" vertical="center"/>
    </xf>
    <xf numFmtId="49" fontId="5" fillId="0" borderId="1" xfId="0" applyNumberFormat="1" applyFont="1" applyBorder="1" applyAlignment="1">
      <alignment horizontal="left" vertical="center"/>
    </xf>
    <xf numFmtId="9" fontId="5" fillId="0" borderId="1" xfId="2" applyFont="1" applyFill="1" applyBorder="1" applyAlignment="1">
      <alignment horizontal="center" vertical="center"/>
    </xf>
    <xf numFmtId="0" fontId="5" fillId="0" borderId="1" xfId="0" applyFont="1" applyBorder="1" applyAlignment="1">
      <alignment vertical="center"/>
    </xf>
    <xf numFmtId="0" fontId="5" fillId="0" borderId="1" xfId="3" applyFont="1" applyFill="1" applyBorder="1" applyAlignment="1">
      <alignment vertical="center"/>
    </xf>
    <xf numFmtId="180" fontId="49" fillId="0" borderId="1" xfId="0" applyNumberFormat="1" applyFont="1" applyBorder="1" applyAlignment="1">
      <alignment horizontal="center" vertical="center" wrapText="1"/>
    </xf>
    <xf numFmtId="0" fontId="49" fillId="0" borderId="1" xfId="0" applyFont="1" applyBorder="1" applyAlignment="1">
      <alignment horizontal="left" vertical="top" wrapText="1" indent="1"/>
    </xf>
    <xf numFmtId="182" fontId="41" fillId="0" borderId="0" xfId="0" applyNumberFormat="1" applyFont="1" applyAlignment="1">
      <alignment horizontal="center" vertical="center"/>
    </xf>
    <xf numFmtId="0" fontId="41" fillId="0" borderId="0" xfId="0" applyFont="1" applyAlignment="1">
      <alignment horizontal="center"/>
    </xf>
    <xf numFmtId="0" fontId="28" fillId="14" borderId="1" xfId="0" applyFont="1" applyFill="1" applyBorder="1"/>
    <xf numFmtId="0" fontId="0" fillId="0" borderId="26" xfId="0" applyBorder="1" applyAlignment="1">
      <alignment horizontal="center" vertical="center"/>
    </xf>
    <xf numFmtId="0" fontId="28" fillId="11" borderId="7" xfId="0" applyFont="1" applyFill="1" applyBorder="1"/>
    <xf numFmtId="0" fontId="54" fillId="0" borderId="1" xfId="0" applyFont="1" applyBorder="1" applyAlignment="1">
      <alignment horizontal="left" vertical="center" indent="1"/>
    </xf>
    <xf numFmtId="0" fontId="15" fillId="9" borderId="1" xfId="0" applyFont="1" applyFill="1" applyBorder="1" applyAlignment="1">
      <alignment horizontal="left" vertical="center" wrapText="1" indent="1"/>
    </xf>
    <xf numFmtId="9" fontId="49" fillId="0" borderId="1" xfId="2" applyFont="1" applyFill="1" applyBorder="1" applyAlignment="1">
      <alignment horizontal="center" vertical="center" wrapText="1"/>
    </xf>
    <xf numFmtId="0" fontId="42" fillId="0" borderId="1" xfId="3" applyFont="1" applyBorder="1" applyAlignment="1">
      <alignment horizontal="left" vertical="center" wrapText="1" indent="1"/>
    </xf>
    <xf numFmtId="0" fontId="15" fillId="0" borderId="1" xfId="0" applyFont="1" applyBorder="1" applyAlignment="1">
      <alignment horizontal="center" vertical="top" wrapText="1"/>
    </xf>
    <xf numFmtId="0" fontId="55" fillId="12" borderId="0" xfId="0" applyFont="1" applyFill="1"/>
    <xf numFmtId="0" fontId="28" fillId="11" borderId="26" xfId="0" applyFont="1" applyFill="1" applyBorder="1"/>
    <xf numFmtId="0" fontId="56" fillId="0" borderId="26" xfId="0" applyFont="1" applyBorder="1"/>
    <xf numFmtId="178" fontId="9" fillId="0" borderId="26" xfId="0" applyNumberFormat="1" applyFont="1" applyBorder="1" applyAlignment="1">
      <alignment horizontal="center"/>
    </xf>
    <xf numFmtId="0" fontId="28" fillId="15" borderId="17" xfId="0" applyFont="1" applyFill="1" applyBorder="1"/>
    <xf numFmtId="178" fontId="40" fillId="0" borderId="1" xfId="0" applyNumberFormat="1" applyFont="1" applyBorder="1" applyAlignment="1">
      <alignment horizontal="center"/>
    </xf>
    <xf numFmtId="0" fontId="0" fillId="0" borderId="0" xfId="0" applyAlignment="1">
      <alignment horizontal="left" vertical="top" wrapText="1"/>
    </xf>
    <xf numFmtId="0" fontId="28" fillId="18" borderId="1" xfId="0" applyFont="1" applyFill="1" applyBorder="1"/>
    <xf numFmtId="0" fontId="8" fillId="0" borderId="0" xfId="0" applyFont="1" applyAlignment="1">
      <alignment vertical="center"/>
    </xf>
    <xf numFmtId="0" fontId="57" fillId="12" borderId="0" xfId="0" applyFont="1" applyFill="1"/>
    <xf numFmtId="0" fontId="0" fillId="18" borderId="1" xfId="0" applyFill="1" applyBorder="1" applyAlignment="1">
      <alignment horizontal="center" vertical="center"/>
    </xf>
    <xf numFmtId="0" fontId="28" fillId="15" borderId="26" xfId="0" applyFont="1" applyFill="1" applyBorder="1"/>
    <xf numFmtId="15" fontId="0" fillId="0" borderId="1" xfId="0" applyNumberFormat="1" applyBorder="1" applyAlignment="1">
      <alignment horizontal="center"/>
    </xf>
    <xf numFmtId="0" fontId="12" fillId="16" borderId="26" xfId="0" applyFont="1" applyFill="1" applyBorder="1" applyAlignment="1">
      <alignment vertical="center" wrapText="1"/>
    </xf>
    <xf numFmtId="0" fontId="12" fillId="16" borderId="26" xfId="0" applyFont="1" applyFill="1" applyBorder="1" applyAlignment="1">
      <alignment horizontal="center" vertical="center" wrapText="1"/>
    </xf>
    <xf numFmtId="0" fontId="9" fillId="0" borderId="26" xfId="0" applyFont="1" applyBorder="1" applyAlignment="1">
      <alignment vertical="center" wrapText="1"/>
    </xf>
    <xf numFmtId="0" fontId="9" fillId="0" borderId="26" xfId="0" applyFont="1" applyBorder="1" applyAlignment="1">
      <alignment horizontal="left" vertical="center" wrapText="1"/>
    </xf>
    <xf numFmtId="0" fontId="9" fillId="0" borderId="26" xfId="0" applyFont="1" applyBorder="1" applyAlignment="1">
      <alignment horizontal="center" vertical="center" wrapText="1"/>
    </xf>
    <xf numFmtId="0" fontId="0" fillId="0" borderId="26" xfId="0" applyBorder="1" applyAlignment="1">
      <alignment horizontal="left" vertical="center" wrapText="1"/>
    </xf>
    <xf numFmtId="0" fontId="0" fillId="0" borderId="26" xfId="0" applyBorder="1" applyAlignment="1">
      <alignment vertical="center" wrapText="1"/>
    </xf>
    <xf numFmtId="0" fontId="0" fillId="0" borderId="26" xfId="0" applyBorder="1" applyAlignment="1">
      <alignment horizontal="center" vertical="center" wrapText="1"/>
    </xf>
    <xf numFmtId="0" fontId="31" fillId="0" borderId="26" xfId="0" applyFont="1" applyBorder="1" applyAlignment="1">
      <alignment horizontal="left" vertical="center" wrapText="1"/>
    </xf>
    <xf numFmtId="0" fontId="31" fillId="0" borderId="26" xfId="0" applyFont="1" applyBorder="1" applyAlignment="1">
      <alignment horizontal="center" vertical="center" wrapText="1"/>
    </xf>
    <xf numFmtId="0" fontId="45" fillId="0" borderId="26" xfId="0" applyFont="1" applyBorder="1" applyAlignment="1">
      <alignment horizontal="center" vertical="center" wrapText="1"/>
    </xf>
    <xf numFmtId="0" fontId="41" fillId="0" borderId="26" xfId="0" applyFont="1" applyBorder="1" applyAlignment="1">
      <alignment vertical="center" wrapText="1"/>
    </xf>
    <xf numFmtId="0" fontId="41" fillId="0" borderId="26" xfId="0" applyFont="1" applyBorder="1" applyAlignment="1">
      <alignment horizontal="left" vertical="center" wrapText="1"/>
    </xf>
    <xf numFmtId="0" fontId="12" fillId="8" borderId="26" xfId="0" applyFont="1" applyFill="1" applyBorder="1" applyAlignment="1">
      <alignment horizontal="center" vertical="center" wrapText="1"/>
    </xf>
    <xf numFmtId="0" fontId="12" fillId="8" borderId="26" xfId="0" applyFont="1" applyFill="1" applyBorder="1" applyAlignment="1">
      <alignment vertical="center" wrapText="1"/>
    </xf>
    <xf numFmtId="181" fontId="12" fillId="8" borderId="26" xfId="0" applyNumberFormat="1" applyFont="1" applyFill="1" applyBorder="1" applyAlignment="1">
      <alignment horizontal="center" vertical="center" wrapText="1"/>
    </xf>
    <xf numFmtId="181" fontId="9" fillId="0" borderId="26" xfId="0" applyNumberFormat="1" applyFont="1" applyBorder="1" applyAlignment="1">
      <alignment horizontal="center" vertical="center" wrapText="1"/>
    </xf>
    <xf numFmtId="181" fontId="0" fillId="0" borderId="26" xfId="0" applyNumberFormat="1" applyBorder="1" applyAlignment="1">
      <alignment horizontal="center" vertical="center" wrapText="1"/>
    </xf>
    <xf numFmtId="0" fontId="31" fillId="0" borderId="26" xfId="0" applyFont="1" applyBorder="1" applyAlignment="1">
      <alignment vertical="center" wrapText="1"/>
    </xf>
    <xf numFmtId="181" fontId="31" fillId="0" borderId="26" xfId="0" applyNumberFormat="1" applyFont="1" applyBorder="1" applyAlignment="1">
      <alignment horizontal="center" vertical="center" wrapText="1"/>
    </xf>
    <xf numFmtId="181" fontId="45" fillId="0" borderId="26" xfId="0" applyNumberFormat="1" applyFont="1" applyBorder="1" applyAlignment="1">
      <alignment horizontal="center" vertical="center" wrapText="1"/>
    </xf>
    <xf numFmtId="181" fontId="0" fillId="0" borderId="0" xfId="0" applyNumberFormat="1" applyAlignment="1">
      <alignment horizontal="center" vertical="center" wrapText="1"/>
    </xf>
    <xf numFmtId="0" fontId="44" fillId="0" borderId="0" xfId="0" applyFont="1" applyAlignment="1">
      <alignment horizontal="center" vertical="center" wrapText="1"/>
    </xf>
    <xf numFmtId="0" fontId="9" fillId="0" borderId="49" xfId="0" applyFont="1" applyBorder="1" applyAlignment="1">
      <alignment horizontal="left" vertical="center" wrapText="1"/>
    </xf>
    <xf numFmtId="0" fontId="12" fillId="16" borderId="26" xfId="0" applyFont="1" applyFill="1" applyBorder="1" applyAlignment="1">
      <alignment horizontal="center" vertical="top" wrapText="1"/>
    </xf>
    <xf numFmtId="0" fontId="9" fillId="0" borderId="26" xfId="0" applyFont="1" applyBorder="1" applyAlignment="1">
      <alignment horizontal="left" vertical="top" wrapText="1"/>
    </xf>
    <xf numFmtId="0" fontId="0" fillId="0" borderId="26" xfId="0" applyBorder="1" applyAlignment="1">
      <alignment horizontal="left" vertical="top" wrapText="1"/>
    </xf>
    <xf numFmtId="0" fontId="31" fillId="0" borderId="26" xfId="0" applyFont="1" applyBorder="1" applyAlignment="1">
      <alignment horizontal="left" vertical="top" wrapText="1"/>
    </xf>
    <xf numFmtId="0" fontId="45" fillId="0" borderId="26" xfId="0" applyFont="1" applyBorder="1" applyAlignment="1">
      <alignment horizontal="left" vertical="top" wrapText="1"/>
    </xf>
    <xf numFmtId="0" fontId="9" fillId="0" borderId="51" xfId="0" applyFont="1" applyBorder="1" applyAlignment="1">
      <alignment horizontal="center" vertical="center" wrapText="1"/>
    </xf>
    <xf numFmtId="0" fontId="0" fillId="0" borderId="28" xfId="0" applyBorder="1" applyAlignment="1">
      <alignment horizontal="left" vertical="center" wrapText="1"/>
    </xf>
    <xf numFmtId="0" fontId="9" fillId="0" borderId="28" xfId="0" applyFont="1" applyBorder="1" applyAlignment="1">
      <alignment horizontal="left" vertical="center" wrapText="1"/>
    </xf>
    <xf numFmtId="0" fontId="4" fillId="0" borderId="0" xfId="0" applyFont="1" applyAlignment="1">
      <alignment wrapText="1"/>
    </xf>
    <xf numFmtId="178" fontId="9" fillId="0" borderId="1" xfId="0" quotePrefix="1" applyNumberFormat="1" applyFont="1" applyBorder="1" applyAlignment="1">
      <alignment horizontal="center"/>
    </xf>
    <xf numFmtId="0" fontId="0" fillId="14" borderId="17" xfId="0" applyFill="1" applyBorder="1" applyAlignment="1">
      <alignment horizontal="center" vertical="center"/>
    </xf>
    <xf numFmtId="0" fontId="60" fillId="0" borderId="0" xfId="33" applyFont="1" applyAlignment="1" applyProtection="1">
      <alignment horizontal="center" vertical="center" wrapText="1"/>
      <protection locked="0"/>
    </xf>
    <xf numFmtId="0" fontId="60" fillId="0" borderId="0" xfId="33" applyFont="1" applyAlignment="1" applyProtection="1">
      <alignment horizontal="left" vertical="top" wrapText="1"/>
      <protection locked="0"/>
    </xf>
    <xf numFmtId="0" fontId="60" fillId="0" borderId="0" xfId="33" applyFont="1" applyAlignment="1" applyProtection="1">
      <alignment horizontal="left" vertical="center" wrapText="1"/>
      <protection locked="0"/>
    </xf>
    <xf numFmtId="0" fontId="63" fillId="0" borderId="0" xfId="33" applyFont="1" applyAlignment="1" applyProtection="1">
      <alignment horizontal="center" vertical="center" wrapText="1"/>
      <protection locked="0"/>
    </xf>
    <xf numFmtId="183" fontId="62" fillId="19" borderId="17" xfId="33" applyNumberFormat="1" applyFont="1" applyFill="1" applyBorder="1" applyAlignment="1" applyProtection="1">
      <alignment horizontal="center" vertical="center" wrapText="1"/>
      <protection locked="0"/>
    </xf>
    <xf numFmtId="0" fontId="60" fillId="0" borderId="54" xfId="33" applyFont="1" applyBorder="1" applyAlignment="1">
      <alignment horizontal="center" vertical="center" wrapText="1"/>
    </xf>
    <xf numFmtId="0" fontId="60" fillId="0" borderId="55" xfId="33" applyFont="1" applyBorder="1" applyAlignment="1">
      <alignment horizontal="center" vertical="center" wrapText="1"/>
    </xf>
    <xf numFmtId="0" fontId="60" fillId="0" borderId="56" xfId="33" applyFont="1" applyBorder="1" applyAlignment="1" applyProtection="1">
      <alignment horizontal="center" vertical="center" wrapText="1"/>
      <protection locked="0"/>
    </xf>
    <xf numFmtId="0" fontId="60" fillId="0" borderId="56" xfId="34" applyFont="1" applyBorder="1" applyAlignment="1">
      <alignment horizontal="left" vertical="top" wrapText="1"/>
    </xf>
    <xf numFmtId="0" fontId="60" fillId="0" borderId="56" xfId="34" applyFont="1" applyBorder="1" applyAlignment="1" applyProtection="1">
      <alignment horizontal="left" vertical="top" wrapText="1"/>
      <protection locked="0"/>
    </xf>
    <xf numFmtId="0" fontId="60" fillId="0" borderId="56" xfId="33" applyFont="1" applyBorder="1" applyAlignment="1" applyProtection="1">
      <alignment horizontal="left" vertical="top" wrapText="1"/>
      <protection locked="0"/>
    </xf>
    <xf numFmtId="0" fontId="60" fillId="0" borderId="56" xfId="34" applyFont="1" applyBorder="1" applyAlignment="1" applyProtection="1">
      <alignment horizontal="left" vertical="center"/>
      <protection locked="0"/>
    </xf>
    <xf numFmtId="14" fontId="60" fillId="0" borderId="56" xfId="34" applyNumberFormat="1" applyFont="1" applyBorder="1" applyAlignment="1" applyProtection="1">
      <alignment horizontal="center" vertical="center"/>
      <protection locked="0"/>
    </xf>
    <xf numFmtId="0" fontId="60" fillId="0" borderId="56" xfId="33" applyFont="1" applyBorder="1" applyAlignment="1">
      <alignment horizontal="center" vertical="center" wrapText="1"/>
    </xf>
    <xf numFmtId="14" fontId="60" fillId="0" borderId="56" xfId="33" applyNumberFormat="1" applyFont="1" applyBorder="1" applyAlignment="1">
      <alignment horizontal="center" vertical="center" wrapText="1"/>
    </xf>
    <xf numFmtId="14" fontId="60" fillId="0" borderId="57" xfId="33" applyNumberFormat="1" applyFont="1" applyBorder="1" applyAlignment="1">
      <alignment horizontal="left" vertical="center" wrapText="1"/>
    </xf>
    <xf numFmtId="0" fontId="60" fillId="0" borderId="58" xfId="33" applyFont="1" applyBorder="1" applyAlignment="1">
      <alignment horizontal="center" vertical="center" wrapText="1"/>
    </xf>
    <xf numFmtId="0" fontId="60" fillId="0" borderId="44" xfId="33" applyFont="1" applyBorder="1" applyAlignment="1">
      <alignment horizontal="center" vertical="center" wrapText="1"/>
    </xf>
    <xf numFmtId="0" fontId="60" fillId="0" borderId="59" xfId="33" applyFont="1" applyBorder="1" applyAlignment="1" applyProtection="1">
      <alignment horizontal="center" vertical="center" wrapText="1"/>
      <protection locked="0"/>
    </xf>
    <xf numFmtId="0" fontId="60" fillId="0" borderId="59" xfId="34" applyFont="1" applyBorder="1" applyAlignment="1">
      <alignment horizontal="left" vertical="top" wrapText="1"/>
    </xf>
    <xf numFmtId="0" fontId="60" fillId="0" borderId="59" xfId="34" applyFont="1" applyBorder="1" applyAlignment="1" applyProtection="1">
      <alignment horizontal="left" vertical="top" wrapText="1"/>
      <protection locked="0"/>
    </xf>
    <xf numFmtId="0" fontId="60" fillId="0" borderId="59" xfId="33" applyFont="1" applyBorder="1" applyAlignment="1" applyProtection="1">
      <alignment horizontal="left" vertical="top" wrapText="1"/>
      <protection locked="0"/>
    </xf>
    <xf numFmtId="0" fontId="60" fillId="0" borderId="59" xfId="34" applyFont="1" applyBorder="1" applyAlignment="1" applyProtection="1">
      <alignment horizontal="left" vertical="center"/>
      <protection locked="0"/>
    </xf>
    <xf numFmtId="14" fontId="60" fillId="0" borderId="59" xfId="34" applyNumberFormat="1" applyFont="1" applyBorder="1" applyAlignment="1" applyProtection="1">
      <alignment horizontal="center" vertical="center"/>
      <protection locked="0"/>
    </xf>
    <xf numFmtId="0" fontId="60" fillId="0" borderId="59" xfId="33" applyFont="1" applyBorder="1" applyAlignment="1">
      <alignment horizontal="center" vertical="center" wrapText="1"/>
    </xf>
    <xf numFmtId="14" fontId="60" fillId="0" borderId="59" xfId="33" applyNumberFormat="1" applyFont="1" applyBorder="1" applyAlignment="1">
      <alignment horizontal="center" vertical="center" wrapText="1"/>
    </xf>
    <xf numFmtId="14" fontId="60" fillId="0" borderId="41" xfId="33" applyNumberFormat="1" applyFont="1" applyBorder="1" applyAlignment="1">
      <alignment horizontal="left" vertical="center" wrapText="1"/>
    </xf>
    <xf numFmtId="0" fontId="64" fillId="0" borderId="59" xfId="33" applyFont="1" applyBorder="1" applyAlignment="1" applyProtection="1">
      <alignment horizontal="center" vertical="center" wrapText="1"/>
      <protection locked="0"/>
    </xf>
    <xf numFmtId="0" fontId="64" fillId="0" borderId="59" xfId="34" applyFont="1" applyBorder="1" applyAlignment="1">
      <alignment horizontal="left" vertical="top" wrapText="1"/>
    </xf>
    <xf numFmtId="0" fontId="64" fillId="0" borderId="59" xfId="34" applyFont="1" applyBorder="1" applyAlignment="1" applyProtection="1">
      <alignment horizontal="left" vertical="top" wrapText="1"/>
      <protection locked="0"/>
    </xf>
    <xf numFmtId="0" fontId="64" fillId="0" borderId="59" xfId="33" applyFont="1" applyBorder="1" applyAlignment="1" applyProtection="1">
      <alignment horizontal="left" vertical="top" wrapText="1"/>
      <protection locked="0"/>
    </xf>
    <xf numFmtId="0" fontId="64" fillId="0" borderId="59" xfId="33" applyFont="1" applyBorder="1" applyAlignment="1" applyProtection="1">
      <alignment horizontal="left" vertical="center" wrapText="1"/>
      <protection locked="0"/>
    </xf>
    <xf numFmtId="14" fontId="64" fillId="0" borderId="59" xfId="34" applyNumberFormat="1" applyFont="1" applyBorder="1" applyAlignment="1" applyProtection="1">
      <alignment horizontal="center" vertical="center"/>
      <protection locked="0"/>
    </xf>
    <xf numFmtId="0" fontId="64" fillId="0" borderId="59" xfId="33" applyFont="1" applyBorder="1" applyAlignment="1">
      <alignment horizontal="center" vertical="center" wrapText="1"/>
    </xf>
    <xf numFmtId="14" fontId="64" fillId="0" borderId="41" xfId="33" applyNumberFormat="1" applyFont="1" applyBorder="1" applyAlignment="1">
      <alignment horizontal="left" vertical="center" wrapText="1"/>
    </xf>
    <xf numFmtId="0" fontId="64" fillId="0" borderId="0" xfId="33" applyFont="1" applyAlignment="1">
      <alignment horizontal="center" vertical="center" wrapText="1"/>
    </xf>
    <xf numFmtId="14" fontId="64" fillId="0" borderId="41" xfId="33" applyNumberFormat="1" applyFont="1" applyBorder="1" applyAlignment="1" applyProtection="1">
      <alignment horizontal="left" vertical="center" wrapText="1"/>
      <protection locked="0"/>
    </xf>
    <xf numFmtId="0" fontId="60" fillId="0" borderId="59" xfId="33" applyFont="1" applyBorder="1" applyAlignment="1" applyProtection="1">
      <alignment horizontal="left" vertical="center" wrapText="1"/>
      <protection locked="0"/>
    </xf>
    <xf numFmtId="0" fontId="60" fillId="0" borderId="41" xfId="33" applyFont="1" applyBorder="1" applyAlignment="1">
      <alignment horizontal="left" vertical="center" wrapText="1"/>
    </xf>
    <xf numFmtId="14" fontId="65" fillId="0" borderId="59" xfId="34" applyNumberFormat="1" applyFont="1" applyBorder="1" applyAlignment="1" applyProtection="1">
      <alignment horizontal="center" vertical="center"/>
      <protection locked="0"/>
    </xf>
    <xf numFmtId="14" fontId="60" fillId="0" borderId="59" xfId="33" applyNumberFormat="1" applyFont="1" applyBorder="1" applyAlignment="1" applyProtection="1">
      <alignment horizontal="left" vertical="top" wrapText="1"/>
      <protection locked="0"/>
    </xf>
    <xf numFmtId="14" fontId="60" fillId="0" borderId="41" xfId="33" applyNumberFormat="1" applyFont="1" applyBorder="1" applyAlignment="1" applyProtection="1">
      <alignment horizontal="left" vertical="center" wrapText="1"/>
      <protection locked="0"/>
    </xf>
    <xf numFmtId="0" fontId="60" fillId="0" borderId="41" xfId="33" applyFont="1" applyBorder="1" applyAlignment="1" applyProtection="1">
      <alignment horizontal="left" vertical="center" wrapText="1"/>
      <protection locked="0"/>
    </xf>
    <xf numFmtId="0" fontId="64" fillId="0" borderId="41" xfId="33" applyFont="1" applyBorder="1" applyAlignment="1" applyProtection="1">
      <alignment horizontal="left" vertical="center" wrapText="1"/>
      <protection locked="0"/>
    </xf>
    <xf numFmtId="0" fontId="64" fillId="0" borderId="0" xfId="33" applyFont="1" applyAlignment="1" applyProtection="1">
      <alignment horizontal="center" vertical="center" wrapText="1"/>
      <protection locked="0"/>
    </xf>
    <xf numFmtId="14" fontId="64" fillId="0" borderId="41" xfId="33" applyNumberFormat="1" applyFont="1" applyBorder="1" applyAlignment="1" applyProtection="1">
      <alignment horizontal="center" vertical="center" wrapText="1"/>
      <protection locked="0"/>
    </xf>
    <xf numFmtId="14" fontId="64" fillId="0" borderId="59" xfId="33" applyNumberFormat="1" applyFont="1" applyBorder="1" applyAlignment="1" applyProtection="1">
      <alignment horizontal="left" vertical="top" wrapText="1"/>
      <protection locked="0"/>
    </xf>
    <xf numFmtId="183" fontId="60" fillId="0" borderId="59" xfId="33" applyNumberFormat="1" applyFont="1" applyBorder="1" applyAlignment="1" applyProtection="1">
      <alignment horizontal="center" vertical="center" wrapText="1"/>
      <protection locked="0"/>
    </xf>
    <xf numFmtId="14" fontId="60" fillId="0" borderId="41" xfId="33" applyNumberFormat="1" applyFont="1" applyBorder="1" applyAlignment="1" applyProtection="1">
      <alignment horizontal="center" vertical="center" wrapText="1"/>
      <protection locked="0"/>
    </xf>
    <xf numFmtId="183" fontId="64" fillId="0" borderId="59" xfId="33" applyNumberFormat="1" applyFont="1" applyBorder="1" applyAlignment="1" applyProtection="1">
      <alignment horizontal="center" vertical="center" wrapText="1"/>
      <protection locked="0"/>
    </xf>
    <xf numFmtId="14" fontId="66" fillId="0" borderId="59" xfId="33" applyNumberFormat="1" applyFont="1" applyBorder="1" applyAlignment="1" applyProtection="1">
      <alignment horizontal="left" vertical="top" wrapText="1"/>
      <protection locked="0"/>
    </xf>
    <xf numFmtId="14" fontId="60" fillId="0" borderId="41" xfId="33" applyNumberFormat="1" applyFont="1" applyBorder="1" applyAlignment="1" applyProtection="1">
      <alignment vertical="center" wrapText="1"/>
      <protection locked="0"/>
    </xf>
    <xf numFmtId="0" fontId="66" fillId="0" borderId="59" xfId="33" applyFont="1" applyBorder="1" applyAlignment="1" applyProtection="1">
      <alignment horizontal="left" vertical="top" wrapText="1"/>
      <protection locked="0"/>
    </xf>
    <xf numFmtId="14" fontId="60" fillId="0" borderId="59" xfId="33" applyNumberFormat="1" applyFont="1" applyBorder="1" applyAlignment="1" applyProtection="1">
      <alignment horizontal="left" vertical="center" wrapText="1"/>
      <protection locked="0"/>
    </xf>
    <xf numFmtId="0" fontId="67" fillId="0" borderId="0" xfId="33" applyFont="1" applyAlignment="1" applyProtection="1">
      <alignment horizontal="center" vertical="center" wrapText="1"/>
      <protection locked="0"/>
    </xf>
    <xf numFmtId="0" fontId="60" fillId="0" borderId="59" xfId="33" applyFont="1" applyBorder="1" applyProtection="1">
      <alignment vertical="center"/>
      <protection locked="0"/>
    </xf>
    <xf numFmtId="0" fontId="60" fillId="0" borderId="59" xfId="33" applyFont="1" applyBorder="1" applyAlignment="1" applyProtection="1">
      <alignment vertical="top"/>
      <protection locked="0"/>
    </xf>
    <xf numFmtId="14" fontId="67" fillId="0" borderId="59" xfId="33" applyNumberFormat="1" applyFont="1" applyBorder="1" applyAlignment="1" applyProtection="1">
      <alignment horizontal="left" vertical="center" wrapText="1"/>
      <protection locked="0"/>
    </xf>
    <xf numFmtId="14" fontId="67" fillId="0" borderId="59" xfId="33" applyNumberFormat="1" applyFont="1" applyBorder="1" applyAlignment="1" applyProtection="1">
      <alignment horizontal="left" vertical="top" wrapText="1"/>
      <protection locked="0"/>
    </xf>
    <xf numFmtId="183" fontId="67" fillId="0" borderId="59" xfId="33" applyNumberFormat="1" applyFont="1" applyBorder="1" applyAlignment="1" applyProtection="1">
      <alignment horizontal="center" vertical="center" wrapText="1"/>
      <protection locked="0"/>
    </xf>
    <xf numFmtId="0" fontId="67" fillId="0" borderId="59" xfId="33" applyFont="1" applyBorder="1" applyAlignment="1" applyProtection="1">
      <alignment horizontal="center" vertical="center" wrapText="1"/>
      <protection locked="0"/>
    </xf>
    <xf numFmtId="14" fontId="67" fillId="0" borderId="41" xfId="33" applyNumberFormat="1" applyFont="1" applyBorder="1" applyAlignment="1" applyProtection="1">
      <alignment horizontal="left" vertical="center" wrapText="1"/>
      <protection locked="0"/>
    </xf>
    <xf numFmtId="0" fontId="60" fillId="0" borderId="59" xfId="33" applyFont="1" applyBorder="1" applyAlignment="1" applyProtection="1">
      <alignment vertical="center" wrapText="1"/>
      <protection locked="0"/>
    </xf>
    <xf numFmtId="0" fontId="60" fillId="0" borderId="59" xfId="33" applyFont="1" applyBorder="1" applyAlignment="1" applyProtection="1">
      <alignment vertical="top" wrapText="1"/>
      <protection locked="0"/>
    </xf>
    <xf numFmtId="0" fontId="60" fillId="0" borderId="41" xfId="33" applyFont="1" applyBorder="1" applyAlignment="1" applyProtection="1">
      <alignment horizontal="center" vertical="center" wrapText="1"/>
      <protection locked="0"/>
    </xf>
    <xf numFmtId="0" fontId="60" fillId="0" borderId="60" xfId="33" applyFont="1" applyBorder="1" applyAlignment="1">
      <alignment horizontal="center" vertical="center" wrapText="1"/>
    </xf>
    <xf numFmtId="0" fontId="60" fillId="0" borderId="45" xfId="33" applyFont="1" applyBorder="1" applyAlignment="1">
      <alignment horizontal="center" vertical="center" wrapText="1"/>
    </xf>
    <xf numFmtId="0" fontId="60" fillId="0" borderId="61" xfId="33" applyFont="1" applyBorder="1" applyAlignment="1" applyProtection="1">
      <alignment horizontal="left" vertical="center" wrapText="1"/>
      <protection locked="0"/>
    </xf>
    <xf numFmtId="0" fontId="60" fillId="0" borderId="61" xfId="33" applyFont="1" applyBorder="1" applyAlignment="1" applyProtection="1">
      <alignment horizontal="left" vertical="top" wrapText="1"/>
      <protection locked="0"/>
    </xf>
    <xf numFmtId="183" fontId="60" fillId="0" borderId="61" xfId="33" applyNumberFormat="1" applyFont="1" applyBorder="1" applyAlignment="1" applyProtection="1">
      <alignment horizontal="center" vertical="center" wrapText="1"/>
      <protection locked="0"/>
    </xf>
    <xf numFmtId="0" fontId="60" fillId="0" borderId="61" xfId="33" applyFont="1" applyBorder="1" applyAlignment="1" applyProtection="1">
      <alignment horizontal="center" vertical="center" wrapText="1"/>
      <protection locked="0"/>
    </xf>
    <xf numFmtId="14" fontId="60" fillId="0" borderId="61" xfId="33" applyNumberFormat="1" applyFont="1" applyBorder="1" applyAlignment="1">
      <alignment horizontal="center" vertical="center" wrapText="1"/>
    </xf>
    <xf numFmtId="14" fontId="60" fillId="0" borderId="42" xfId="33" applyNumberFormat="1" applyFont="1" applyBorder="1" applyAlignment="1" applyProtection="1">
      <alignment horizontal="left" vertical="center" wrapText="1"/>
      <protection locked="0"/>
    </xf>
    <xf numFmtId="0" fontId="60" fillId="0" borderId="0" xfId="33" applyFont="1" applyAlignment="1">
      <alignment horizontal="center" vertical="center" wrapText="1"/>
    </xf>
    <xf numFmtId="183" fontId="60" fillId="0" borderId="0" xfId="33" applyNumberFormat="1" applyFont="1" applyAlignment="1" applyProtection="1">
      <alignment horizontal="center" vertical="center" wrapText="1"/>
      <protection locked="0"/>
    </xf>
    <xf numFmtId="14" fontId="60" fillId="0" borderId="0" xfId="33" applyNumberFormat="1" applyFont="1" applyAlignment="1">
      <alignment horizontal="center" vertical="center" wrapText="1"/>
    </xf>
    <xf numFmtId="14" fontId="60" fillId="0" borderId="0" xfId="33" applyNumberFormat="1" applyFont="1" applyAlignment="1" applyProtection="1">
      <alignment horizontal="left" vertical="center" wrapText="1"/>
      <protection locked="0"/>
    </xf>
    <xf numFmtId="0" fontId="25" fillId="0" borderId="0" xfId="33" applyFont="1" applyAlignment="1" applyProtection="1">
      <alignment horizontal="center" vertical="center" wrapText="1"/>
      <protection locked="0"/>
    </xf>
    <xf numFmtId="0" fontId="68" fillId="0" borderId="0" xfId="33" applyFont="1" applyAlignment="1" applyProtection="1">
      <alignment horizontal="center" vertical="center" wrapText="1"/>
      <protection locked="0"/>
    </xf>
    <xf numFmtId="0" fontId="71" fillId="0" borderId="0" xfId="33" applyFont="1" applyAlignment="1">
      <alignment horizontal="center" vertical="center" wrapText="1"/>
    </xf>
    <xf numFmtId="0" fontId="68" fillId="0" borderId="0" xfId="33" applyFont="1" applyAlignment="1">
      <alignment horizontal="center" vertical="center" wrapText="1"/>
    </xf>
    <xf numFmtId="0" fontId="71" fillId="0" borderId="0" xfId="33" applyFont="1" applyAlignment="1" applyProtection="1">
      <alignment horizontal="center" vertical="center" wrapText="1"/>
      <protection locked="0"/>
    </xf>
    <xf numFmtId="0" fontId="72" fillId="0" borderId="0" xfId="33" applyFont="1" applyAlignment="1" applyProtection="1">
      <alignment horizontal="center" vertical="center" wrapText="1"/>
      <protection locked="0"/>
    </xf>
    <xf numFmtId="0" fontId="75" fillId="0" borderId="0" xfId="33" applyFont="1" applyAlignment="1" applyProtection="1">
      <alignment horizontal="center" vertical="center" wrapText="1"/>
      <protection locked="0"/>
    </xf>
    <xf numFmtId="0" fontId="79" fillId="0" borderId="0" xfId="33" applyFont="1" applyAlignment="1" applyProtection="1">
      <alignment horizontal="center" vertical="center" wrapText="1"/>
      <protection locked="0"/>
    </xf>
    <xf numFmtId="0" fontId="79" fillId="0" borderId="0" xfId="33" applyFont="1" applyAlignment="1" applyProtection="1">
      <alignment horizontal="left" vertical="top" wrapText="1"/>
      <protection locked="0"/>
    </xf>
    <xf numFmtId="184" fontId="79" fillId="0" borderId="0" xfId="33" applyNumberFormat="1" applyFont="1" applyAlignment="1" applyProtection="1">
      <alignment horizontal="center" vertical="center" wrapText="1"/>
      <protection locked="0"/>
    </xf>
    <xf numFmtId="183" fontId="79" fillId="0" borderId="0" xfId="33" applyNumberFormat="1" applyFont="1" applyAlignment="1" applyProtection="1">
      <alignment horizontal="center" vertical="center" wrapText="1"/>
      <protection locked="0"/>
    </xf>
    <xf numFmtId="14" fontId="79" fillId="0" borderId="0" xfId="33" applyNumberFormat="1" applyFont="1" applyAlignment="1">
      <alignment horizontal="center" vertical="center" wrapText="1"/>
    </xf>
    <xf numFmtId="0" fontId="22" fillId="0" borderId="1" xfId="35" applyFont="1" applyBorder="1" applyAlignment="1">
      <alignment horizontal="center" vertical="center" wrapText="1"/>
    </xf>
    <xf numFmtId="0" fontId="5" fillId="0" borderId="1" xfId="35" applyFont="1" applyBorder="1" applyAlignment="1">
      <alignment horizontal="center" wrapText="1"/>
    </xf>
    <xf numFmtId="0" fontId="5" fillId="0" borderId="0" xfId="35" applyFont="1" applyAlignment="1">
      <alignment horizontal="center" wrapText="1"/>
    </xf>
    <xf numFmtId="0" fontId="22" fillId="0" borderId="0" xfId="33" applyFont="1" applyAlignment="1">
      <alignment horizontal="center" vertical="center"/>
    </xf>
    <xf numFmtId="0" fontId="22" fillId="0" borderId="0" xfId="33" applyFont="1" applyAlignment="1">
      <alignment vertical="center" wrapText="1"/>
    </xf>
    <xf numFmtId="0" fontId="22" fillId="0" borderId="0" xfId="33" applyFont="1">
      <alignment vertical="center"/>
    </xf>
    <xf numFmtId="0" fontId="59" fillId="0" borderId="0" xfId="33">
      <alignment vertical="center"/>
    </xf>
    <xf numFmtId="0" fontId="81" fillId="0" borderId="0" xfId="33" applyFont="1">
      <alignment vertical="center"/>
    </xf>
    <xf numFmtId="0" fontId="82" fillId="0" borderId="0" xfId="33" applyFont="1">
      <alignment vertical="center"/>
    </xf>
    <xf numFmtId="0" fontId="83" fillId="0" borderId="0" xfId="33" applyFont="1" applyAlignment="1">
      <alignment vertical="center" wrapText="1"/>
    </xf>
    <xf numFmtId="0" fontId="84" fillId="3" borderId="0" xfId="33" applyFont="1" applyFill="1">
      <alignment vertical="center"/>
    </xf>
    <xf numFmtId="0" fontId="83" fillId="0" borderId="0" xfId="33" applyFont="1">
      <alignment vertical="center"/>
    </xf>
    <xf numFmtId="0" fontId="22" fillId="3" borderId="0" xfId="33" applyFont="1" applyFill="1">
      <alignment vertical="center"/>
    </xf>
    <xf numFmtId="0" fontId="22" fillId="0" borderId="0" xfId="33" quotePrefix="1" applyFont="1">
      <alignment vertical="center"/>
    </xf>
    <xf numFmtId="0" fontId="85" fillId="0" borderId="0" xfId="33" applyFont="1" applyAlignment="1">
      <alignment horizontal="left" vertical="top" wrapText="1"/>
    </xf>
    <xf numFmtId="0" fontId="22" fillId="0" borderId="0" xfId="33" quotePrefix="1" applyFont="1" applyAlignment="1">
      <alignment vertical="center" wrapText="1"/>
    </xf>
    <xf numFmtId="0" fontId="86" fillId="0" borderId="0" xfId="33" applyFont="1" applyAlignment="1">
      <alignment vertical="center" wrapText="1"/>
    </xf>
    <xf numFmtId="0" fontId="59" fillId="0" borderId="0" xfId="33" applyAlignment="1">
      <alignment vertical="center" wrapText="1"/>
    </xf>
    <xf numFmtId="0" fontId="84" fillId="0" borderId="1" xfId="33" applyFont="1" applyBorder="1">
      <alignment vertical="center"/>
    </xf>
    <xf numFmtId="0" fontId="84" fillId="0" borderId="0" xfId="33" applyFont="1">
      <alignment vertical="center"/>
    </xf>
    <xf numFmtId="0" fontId="84" fillId="0" borderId="1" xfId="33" applyFont="1" applyBorder="1" applyAlignment="1">
      <alignment vertical="center" wrapText="1"/>
    </xf>
    <xf numFmtId="0" fontId="84" fillId="0" borderId="2" xfId="33" applyFont="1" applyBorder="1">
      <alignment vertical="center"/>
    </xf>
    <xf numFmtId="0" fontId="84" fillId="0" borderId="22" xfId="33" applyFont="1" applyBorder="1">
      <alignment vertical="center"/>
    </xf>
    <xf numFmtId="0" fontId="84" fillId="0" borderId="7" xfId="33" applyFont="1" applyBorder="1">
      <alignment vertical="center"/>
    </xf>
    <xf numFmtId="0" fontId="88" fillId="0" borderId="1" xfId="33" applyFont="1" applyBorder="1" applyAlignment="1">
      <alignment vertical="center" wrapText="1"/>
    </xf>
    <xf numFmtId="0" fontId="59" fillId="0" borderId="0" xfId="33" applyAlignment="1">
      <alignment horizontal="center" vertical="center"/>
    </xf>
    <xf numFmtId="0" fontId="59" fillId="0" borderId="0" xfId="33" applyAlignment="1">
      <alignment horizontal="center" vertical="center" wrapText="1"/>
    </xf>
    <xf numFmtId="0" fontId="90" fillId="0" borderId="0" xfId="33" applyFont="1">
      <alignment vertical="center"/>
    </xf>
    <xf numFmtId="0" fontId="90" fillId="0" borderId="0" xfId="33" applyFont="1" applyAlignment="1">
      <alignment horizontal="center" vertical="center"/>
    </xf>
    <xf numFmtId="0" fontId="90" fillId="0" borderId="0" xfId="33" applyFont="1" applyAlignment="1">
      <alignment vertical="center" wrapText="1"/>
    </xf>
    <xf numFmtId="0" fontId="35" fillId="9" borderId="11" xfId="36" applyFont="1" applyFill="1" applyBorder="1" applyAlignment="1">
      <alignment horizontal="center" vertical="center"/>
    </xf>
    <xf numFmtId="0" fontId="35" fillId="9" borderId="12" xfId="36" applyFont="1" applyFill="1" applyBorder="1" applyAlignment="1">
      <alignment horizontal="center" vertical="center" wrapText="1"/>
    </xf>
    <xf numFmtId="0" fontId="35" fillId="9" borderId="14" xfId="36" applyFont="1" applyFill="1" applyBorder="1" applyAlignment="1">
      <alignment horizontal="center" vertical="center" wrapText="1"/>
    </xf>
    <xf numFmtId="0" fontId="4" fillId="0" borderId="0" xfId="36"/>
    <xf numFmtId="0" fontId="35" fillId="0" borderId="63" xfId="36" applyFont="1" applyBorder="1" applyAlignment="1">
      <alignment horizontal="center" vertical="center"/>
    </xf>
    <xf numFmtId="0" fontId="35" fillId="0" borderId="62" xfId="36" applyFont="1" applyBorder="1" applyAlignment="1">
      <alignment vertical="center" wrapText="1"/>
    </xf>
    <xf numFmtId="0" fontId="35" fillId="0" borderId="43" xfId="36" applyFont="1" applyBorder="1" applyAlignment="1">
      <alignment vertical="center" wrapText="1"/>
    </xf>
    <xf numFmtId="0" fontId="35" fillId="0" borderId="58" xfId="36" applyFont="1" applyBorder="1" applyAlignment="1">
      <alignment horizontal="center" vertical="center"/>
    </xf>
    <xf numFmtId="0" fontId="35" fillId="0" borderId="59" xfId="36" applyFont="1" applyBorder="1" applyAlignment="1">
      <alignment vertical="center" wrapText="1"/>
    </xf>
    <xf numFmtId="0" fontId="35" fillId="0" borderId="41" xfId="36" applyFont="1" applyBorder="1" applyAlignment="1">
      <alignment vertical="center" wrapText="1"/>
    </xf>
    <xf numFmtId="0" fontId="35" fillId="0" borderId="60" xfId="36" applyFont="1" applyBorder="1" applyAlignment="1">
      <alignment horizontal="center" vertical="center"/>
    </xf>
    <xf numFmtId="0" fontId="35" fillId="0" borderId="61" xfId="36" applyFont="1" applyBorder="1" applyAlignment="1">
      <alignment vertical="center" wrapText="1"/>
    </xf>
    <xf numFmtId="0" fontId="35" fillId="0" borderId="42" xfId="36" applyFont="1" applyBorder="1" applyAlignment="1">
      <alignment vertical="center" wrapText="1"/>
    </xf>
    <xf numFmtId="0" fontId="4" fillId="0" borderId="0" xfId="36" applyAlignment="1">
      <alignment wrapText="1"/>
    </xf>
    <xf numFmtId="0" fontId="4" fillId="0" borderId="0" xfId="36" applyAlignment="1">
      <alignment horizontal="center"/>
    </xf>
    <xf numFmtId="0" fontId="79" fillId="0" borderId="0" xfId="33" applyFont="1">
      <alignment vertical="center"/>
    </xf>
    <xf numFmtId="0" fontId="91" fillId="20" borderId="0" xfId="33" applyFont="1" applyFill="1" applyAlignment="1">
      <alignment horizontal="center" vertical="center"/>
    </xf>
    <xf numFmtId="0" fontId="79" fillId="0" borderId="0" xfId="33" applyFont="1" applyAlignment="1"/>
    <xf numFmtId="0" fontId="91" fillId="20" borderId="0" xfId="33" applyFont="1" applyFill="1" applyAlignment="1">
      <alignment horizontal="left" vertical="center"/>
    </xf>
    <xf numFmtId="0" fontId="79" fillId="9" borderId="0" xfId="33" applyFont="1" applyFill="1" applyAlignment="1">
      <alignment horizontal="center" vertical="center"/>
    </xf>
    <xf numFmtId="0" fontId="79" fillId="9" borderId="0" xfId="33" applyFont="1" applyFill="1" applyAlignment="1">
      <alignment horizontal="left" vertical="center"/>
    </xf>
    <xf numFmtId="0" fontId="79" fillId="0" borderId="0" xfId="33" applyFont="1" applyAlignment="1">
      <alignment horizontal="center" vertical="center"/>
    </xf>
    <xf numFmtId="0" fontId="60" fillId="0" borderId="0" xfId="33" applyFont="1">
      <alignment vertical="center"/>
    </xf>
    <xf numFmtId="49" fontId="13" fillId="0" borderId="0" xfId="37" applyNumberFormat="1" applyFont="1" applyAlignment="1">
      <alignment horizontal="left" vertical="center"/>
    </xf>
    <xf numFmtId="49" fontId="13" fillId="0" borderId="0" xfId="37" applyNumberFormat="1" applyFont="1" applyAlignment="1">
      <alignment horizontal="left" vertical="center" wrapText="1"/>
    </xf>
    <xf numFmtId="186" fontId="13" fillId="0" borderId="0" xfId="37" applyNumberFormat="1" applyFont="1" applyAlignment="1">
      <alignment horizontal="left" vertical="center"/>
    </xf>
    <xf numFmtId="186" fontId="13" fillId="0" borderId="0" xfId="37" applyNumberFormat="1" applyFont="1" applyAlignment="1">
      <alignment horizontal="center" vertical="center"/>
    </xf>
    <xf numFmtId="186" fontId="13" fillId="0" borderId="0" xfId="37" applyNumberFormat="1" applyFont="1" applyAlignment="1">
      <alignment horizontal="center" vertical="center" wrapText="1"/>
    </xf>
    <xf numFmtId="49" fontId="94" fillId="0" borderId="0" xfId="37" applyNumberFormat="1" applyFont="1" applyAlignment="1">
      <alignment horizontal="left" vertical="center"/>
    </xf>
    <xf numFmtId="49" fontId="13" fillId="0" borderId="0" xfId="37" applyNumberFormat="1" applyFont="1" applyAlignment="1" applyProtection="1">
      <alignment horizontal="center" vertical="center"/>
      <protection locked="0"/>
    </xf>
    <xf numFmtId="49" fontId="13" fillId="0" borderId="0" xfId="37" applyNumberFormat="1" applyFont="1" applyAlignment="1" applyProtection="1">
      <alignment horizontal="left" vertical="center" wrapText="1"/>
      <protection locked="0"/>
    </xf>
    <xf numFmtId="186" fontId="13" fillId="0" borderId="0" xfId="37" applyNumberFormat="1" applyFont="1" applyAlignment="1" applyProtection="1">
      <alignment horizontal="right" vertical="center" wrapText="1"/>
      <protection locked="0"/>
    </xf>
    <xf numFmtId="186" fontId="13" fillId="0" borderId="0" xfId="37" applyNumberFormat="1" applyFont="1" applyAlignment="1" applyProtection="1">
      <alignment horizontal="center" vertical="center" wrapText="1"/>
      <protection locked="0"/>
    </xf>
    <xf numFmtId="49" fontId="13" fillId="0" borderId="0" xfId="37" applyNumberFormat="1" applyFont="1" applyAlignment="1" applyProtection="1">
      <alignment horizontal="left" vertical="center"/>
      <protection locked="0"/>
    </xf>
    <xf numFmtId="49" fontId="94" fillId="0" borderId="0" xfId="37" applyNumberFormat="1" applyFont="1" applyAlignment="1" applyProtection="1">
      <alignment horizontal="left" vertical="center"/>
      <protection locked="0"/>
    </xf>
    <xf numFmtId="49" fontId="18" fillId="9" borderId="73" xfId="37" applyNumberFormat="1" applyFont="1" applyFill="1" applyBorder="1" applyAlignment="1" applyProtection="1">
      <alignment horizontal="center" vertical="center" wrapText="1"/>
      <protection locked="0"/>
    </xf>
    <xf numFmtId="49" fontId="96" fillId="0" borderId="0" xfId="37" applyNumberFormat="1" applyFont="1" applyAlignment="1" applyProtection="1">
      <alignment horizontal="center" vertical="center"/>
      <protection locked="0"/>
    </xf>
    <xf numFmtId="49" fontId="18" fillId="0" borderId="0" xfId="37" applyNumberFormat="1" applyFont="1" applyAlignment="1" applyProtection="1">
      <alignment horizontal="center" vertical="center"/>
      <protection locked="0"/>
    </xf>
    <xf numFmtId="49" fontId="97" fillId="17" borderId="79" xfId="37" applyNumberFormat="1" applyFont="1" applyFill="1" applyBorder="1" applyAlignment="1" applyProtection="1">
      <alignment horizontal="center" vertical="center" wrapText="1"/>
      <protection locked="0"/>
    </xf>
    <xf numFmtId="49" fontId="94" fillId="0" borderId="0" xfId="37" applyNumberFormat="1" applyFont="1" applyAlignment="1" applyProtection="1">
      <alignment horizontal="center" vertical="center"/>
      <protection locked="0"/>
    </xf>
    <xf numFmtId="49" fontId="97" fillId="0" borderId="79" xfId="37" applyNumberFormat="1" applyFont="1" applyBorder="1" applyAlignment="1" applyProtection="1">
      <alignment horizontal="right" vertical="center" wrapText="1"/>
      <protection locked="0"/>
    </xf>
    <xf numFmtId="49" fontId="97" fillId="0" borderId="22" xfId="37" applyNumberFormat="1" applyFont="1" applyBorder="1" applyAlignment="1" applyProtection="1">
      <alignment horizontal="center" vertical="center" wrapText="1"/>
      <protection locked="0"/>
    </xf>
    <xf numFmtId="49" fontId="97" fillId="0" borderId="81" xfId="37" applyNumberFormat="1" applyFont="1" applyBorder="1" applyAlignment="1" applyProtection="1">
      <alignment horizontal="center" vertical="center" wrapText="1"/>
      <protection locked="0"/>
    </xf>
    <xf numFmtId="49" fontId="97" fillId="0" borderId="82" xfId="37" applyNumberFormat="1" applyFont="1" applyBorder="1" applyAlignment="1" applyProtection="1">
      <alignment horizontal="right" vertical="center" wrapText="1"/>
      <protection locked="0"/>
    </xf>
    <xf numFmtId="49" fontId="97" fillId="0" borderId="82" xfId="37" applyNumberFormat="1" applyFont="1" applyBorder="1" applyAlignment="1" applyProtection="1">
      <alignment horizontal="center" vertical="center" wrapText="1"/>
      <protection locked="0"/>
    </xf>
    <xf numFmtId="49" fontId="97" fillId="0" borderId="79" xfId="37" applyNumberFormat="1" applyFont="1" applyBorder="1" applyAlignment="1" applyProtection="1">
      <alignment horizontal="center" vertical="center" wrapText="1"/>
      <protection locked="0"/>
    </xf>
    <xf numFmtId="0" fontId="94" fillId="0" borderId="0" xfId="37" applyFont="1" applyAlignment="1">
      <alignment vertical="center" wrapText="1"/>
    </xf>
    <xf numFmtId="49" fontId="94" fillId="0" borderId="0" xfId="37" applyNumberFormat="1" applyFont="1" applyAlignment="1" applyProtection="1">
      <alignment horizontal="left" vertical="center" wrapText="1"/>
      <protection locked="0"/>
    </xf>
    <xf numFmtId="49" fontId="18" fillId="9" borderId="86" xfId="37" applyNumberFormat="1" applyFont="1" applyFill="1" applyBorder="1" applyAlignment="1" applyProtection="1">
      <alignment horizontal="center" vertical="center" wrapText="1"/>
      <protection locked="0"/>
    </xf>
    <xf numFmtId="49" fontId="13" fillId="0" borderId="90" xfId="37" applyNumberFormat="1" applyFont="1" applyBorder="1" applyAlignment="1" applyProtection="1">
      <alignment horizontal="center" vertical="center" wrapText="1"/>
      <protection locked="0"/>
    </xf>
    <xf numFmtId="49" fontId="13" fillId="0" borderId="19" xfId="37" applyNumberFormat="1" applyFont="1" applyBorder="1" applyAlignment="1" applyProtection="1">
      <alignment horizontal="center" vertical="center" wrapText="1"/>
      <protection locked="0"/>
    </xf>
    <xf numFmtId="186" fontId="13" fillId="0" borderId="19" xfId="37" applyNumberFormat="1" applyFont="1" applyBorder="1" applyAlignment="1" applyProtection="1">
      <alignment horizontal="center" vertical="center" wrapText="1"/>
      <protection locked="0"/>
    </xf>
    <xf numFmtId="49" fontId="13" fillId="0" borderId="91" xfId="37" applyNumberFormat="1" applyFont="1" applyBorder="1" applyAlignment="1">
      <alignment horizontal="center" vertical="center" wrapText="1"/>
    </xf>
    <xf numFmtId="49" fontId="100" fillId="9" borderId="92" xfId="37" applyNumberFormat="1" applyFont="1" applyFill="1" applyBorder="1" applyAlignment="1" applyProtection="1">
      <alignment horizontal="left" vertical="center"/>
      <protection locked="0"/>
    </xf>
    <xf numFmtId="49" fontId="100" fillId="9" borderId="12" xfId="37" applyNumberFormat="1" applyFont="1" applyFill="1" applyBorder="1" applyAlignment="1" applyProtection="1">
      <alignment horizontal="left" vertical="center" wrapText="1"/>
      <protection locked="0"/>
    </xf>
    <xf numFmtId="186" fontId="100" fillId="9" borderId="12" xfId="37" applyNumberFormat="1" applyFont="1" applyFill="1" applyBorder="1" applyAlignment="1" applyProtection="1">
      <alignment horizontal="right" vertical="center" wrapText="1"/>
      <protection locked="0"/>
    </xf>
    <xf numFmtId="179" fontId="100" fillId="9" borderId="12" xfId="37" applyNumberFormat="1" applyFont="1" applyFill="1" applyBorder="1" applyAlignment="1" applyProtection="1">
      <alignment horizontal="center" vertical="center" wrapText="1"/>
      <protection locked="0"/>
    </xf>
    <xf numFmtId="186" fontId="100" fillId="9" borderId="12" xfId="37" applyNumberFormat="1" applyFont="1" applyFill="1" applyBorder="1" applyAlignment="1" applyProtection="1">
      <alignment horizontal="center" vertical="center" wrapText="1"/>
      <protection locked="0"/>
    </xf>
    <xf numFmtId="49" fontId="100" fillId="9" borderId="12" xfId="37" applyNumberFormat="1" applyFont="1" applyFill="1" applyBorder="1" applyAlignment="1" applyProtection="1">
      <alignment horizontal="left" vertical="center"/>
      <protection locked="0"/>
    </xf>
    <xf numFmtId="49" fontId="100" fillId="3" borderId="93" xfId="37" applyNumberFormat="1" applyFont="1" applyFill="1" applyBorder="1" applyAlignment="1" applyProtection="1">
      <alignment horizontal="left" vertical="center" wrapText="1"/>
      <protection locked="0"/>
    </xf>
    <xf numFmtId="49" fontId="94" fillId="9" borderId="0" xfId="37" applyNumberFormat="1" applyFont="1" applyFill="1" applyAlignment="1" applyProtection="1">
      <alignment horizontal="left" vertical="center"/>
      <protection locked="0"/>
    </xf>
    <xf numFmtId="49" fontId="13" fillId="9" borderId="0" xfId="37" applyNumberFormat="1" applyFont="1" applyFill="1" applyAlignment="1" applyProtection="1">
      <alignment horizontal="left" vertical="center"/>
      <protection locked="0"/>
    </xf>
    <xf numFmtId="49" fontId="13" fillId="0" borderId="82" xfId="37" applyNumberFormat="1" applyFont="1" applyBorder="1" applyAlignment="1" applyProtection="1">
      <alignment horizontal="right" vertical="center"/>
      <protection locked="0"/>
    </xf>
    <xf numFmtId="0" fontId="13" fillId="0" borderId="5" xfId="37" applyFont="1" applyBorder="1" applyAlignment="1">
      <alignment horizontal="left" vertical="center" wrapText="1"/>
    </xf>
    <xf numFmtId="186" fontId="13" fillId="0" borderId="5" xfId="37" applyNumberFormat="1" applyFont="1" applyBorder="1" applyAlignment="1" applyProtection="1">
      <alignment horizontal="right" vertical="center" wrapText="1"/>
      <protection locked="0"/>
    </xf>
    <xf numFmtId="179" fontId="13" fillId="0" borderId="5" xfId="37" applyNumberFormat="1" applyFont="1" applyBorder="1" applyAlignment="1" applyProtection="1">
      <alignment horizontal="center" vertical="center" wrapText="1"/>
      <protection locked="0"/>
    </xf>
    <xf numFmtId="186" fontId="13" fillId="0" borderId="5" xfId="37" applyNumberFormat="1" applyFont="1" applyBorder="1" applyAlignment="1" applyProtection="1">
      <alignment horizontal="center" vertical="center" wrapText="1"/>
      <protection locked="0"/>
    </xf>
    <xf numFmtId="49" fontId="13" fillId="0" borderId="5" xfId="37" applyNumberFormat="1" applyFont="1" applyBorder="1" applyAlignment="1" applyProtection="1">
      <alignment horizontal="left" vertical="center" wrapText="1"/>
      <protection locked="0"/>
    </xf>
    <xf numFmtId="49" fontId="13" fillId="0" borderId="83" xfId="37" applyNumberFormat="1" applyFont="1" applyBorder="1" applyAlignment="1" applyProtection="1">
      <alignment horizontal="left" vertical="center" wrapText="1"/>
      <protection locked="0"/>
    </xf>
    <xf numFmtId="49" fontId="13" fillId="0" borderId="79" xfId="37" applyNumberFormat="1" applyFont="1" applyBorder="1" applyAlignment="1" applyProtection="1">
      <alignment horizontal="right" vertical="center"/>
      <protection locked="0"/>
    </xf>
    <xf numFmtId="0" fontId="13" fillId="0" borderId="1" xfId="37" applyFont="1" applyBorder="1" applyAlignment="1">
      <alignment horizontal="left" vertical="center" wrapText="1"/>
    </xf>
    <xf numFmtId="186" fontId="13" fillId="0" borderId="1" xfId="37" applyNumberFormat="1" applyFont="1" applyBorder="1" applyAlignment="1" applyProtection="1">
      <alignment horizontal="right" vertical="center" wrapText="1"/>
      <protection locked="0"/>
    </xf>
    <xf numFmtId="179" fontId="13" fillId="0" borderId="1" xfId="37" applyNumberFormat="1" applyFont="1" applyBorder="1" applyAlignment="1" applyProtection="1">
      <alignment horizontal="center" vertical="center" wrapText="1"/>
      <protection locked="0"/>
    </xf>
    <xf numFmtId="186" fontId="13" fillId="0" borderId="1" xfId="37" applyNumberFormat="1" applyFont="1" applyBorder="1" applyAlignment="1" applyProtection="1">
      <alignment horizontal="center" vertical="center" wrapText="1"/>
      <protection locked="0"/>
    </xf>
    <xf numFmtId="49" fontId="13" fillId="0" borderId="1" xfId="37" applyNumberFormat="1" applyFont="1" applyBorder="1" applyAlignment="1" applyProtection="1">
      <alignment horizontal="left" vertical="center" wrapText="1"/>
      <protection locked="0"/>
    </xf>
    <xf numFmtId="49" fontId="13" fillId="0" borderId="80" xfId="37" applyNumberFormat="1" applyFont="1" applyBorder="1" applyAlignment="1" applyProtection="1">
      <alignment horizontal="left" vertical="center" wrapText="1"/>
      <protection locked="0"/>
    </xf>
    <xf numFmtId="0" fontId="13" fillId="0" borderId="0" xfId="37" applyFont="1" applyAlignment="1">
      <alignment horizontal="left" vertical="center" wrapText="1"/>
    </xf>
    <xf numFmtId="49" fontId="13" fillId="0" borderId="7" xfId="37" applyNumberFormat="1" applyFont="1" applyBorder="1" applyAlignment="1" applyProtection="1">
      <alignment horizontal="left" vertical="center" wrapText="1"/>
      <protection locked="0"/>
    </xf>
    <xf numFmtId="49" fontId="100" fillId="9" borderId="79" xfId="37" applyNumberFormat="1" applyFont="1" applyFill="1" applyBorder="1" applyAlignment="1" applyProtection="1">
      <alignment horizontal="left" vertical="center"/>
      <protection locked="0"/>
    </xf>
    <xf numFmtId="49" fontId="100" fillId="9" borderId="1" xfId="37" applyNumberFormat="1" applyFont="1" applyFill="1" applyBorder="1" applyAlignment="1" applyProtection="1">
      <alignment horizontal="left" vertical="center" wrapText="1"/>
      <protection locked="0"/>
    </xf>
    <xf numFmtId="186" fontId="100" fillId="9" borderId="1" xfId="37" applyNumberFormat="1" applyFont="1" applyFill="1" applyBorder="1" applyAlignment="1">
      <alignment horizontal="right" vertical="center" wrapText="1"/>
    </xf>
    <xf numFmtId="179" fontId="100" fillId="9" borderId="1" xfId="37" applyNumberFormat="1" applyFont="1" applyFill="1" applyBorder="1" applyAlignment="1" applyProtection="1">
      <alignment horizontal="center" vertical="center" wrapText="1"/>
      <protection locked="0"/>
    </xf>
    <xf numFmtId="186" fontId="100" fillId="9" borderId="1" xfId="37" applyNumberFormat="1" applyFont="1" applyFill="1" applyBorder="1" applyAlignment="1" applyProtection="1">
      <alignment horizontal="center" vertical="center" wrapText="1"/>
      <protection locked="0"/>
    </xf>
    <xf numFmtId="49" fontId="100" fillId="9" borderId="1" xfId="37" applyNumberFormat="1" applyFont="1" applyFill="1" applyBorder="1" applyAlignment="1" applyProtection="1">
      <alignment horizontal="left" vertical="center"/>
      <protection locked="0"/>
    </xf>
    <xf numFmtId="49" fontId="100" fillId="9" borderId="80" xfId="37" applyNumberFormat="1" applyFont="1" applyFill="1" applyBorder="1" applyAlignment="1" applyProtection="1">
      <alignment horizontal="left" vertical="center" wrapText="1"/>
      <protection locked="0"/>
    </xf>
    <xf numFmtId="49" fontId="13" fillId="0" borderId="94" xfId="37" applyNumberFormat="1" applyFont="1" applyBorder="1" applyAlignment="1" applyProtection="1">
      <alignment horizontal="right" vertical="center"/>
      <protection locked="0"/>
    </xf>
    <xf numFmtId="49" fontId="13" fillId="0" borderId="17" xfId="37" applyNumberFormat="1" applyFont="1" applyBorder="1" applyAlignment="1" applyProtection="1">
      <alignment horizontal="left" vertical="center" wrapText="1"/>
      <protection locked="0"/>
    </xf>
    <xf numFmtId="186" fontId="13" fillId="0" borderId="17" xfId="37" applyNumberFormat="1" applyFont="1" applyBorder="1" applyAlignment="1" applyProtection="1">
      <alignment horizontal="right" vertical="center" wrapText="1"/>
      <protection locked="0"/>
    </xf>
    <xf numFmtId="179" fontId="13" fillId="0" borderId="17" xfId="37" applyNumberFormat="1" applyFont="1" applyBorder="1" applyAlignment="1" applyProtection="1">
      <alignment horizontal="center" vertical="center" wrapText="1"/>
      <protection locked="0"/>
    </xf>
    <xf numFmtId="186" fontId="13" fillId="0" borderId="17" xfId="37" applyNumberFormat="1" applyFont="1" applyBorder="1" applyAlignment="1" applyProtection="1">
      <alignment horizontal="center" vertical="center" wrapText="1"/>
      <protection locked="0"/>
    </xf>
    <xf numFmtId="49" fontId="13" fillId="0" borderId="52" xfId="37" applyNumberFormat="1" applyFont="1" applyBorder="1" applyAlignment="1" applyProtection="1">
      <alignment horizontal="left" vertical="center" wrapText="1"/>
      <protection locked="0"/>
    </xf>
    <xf numFmtId="49" fontId="13" fillId="0" borderId="95" xfId="37" applyNumberFormat="1" applyFont="1" applyBorder="1" applyAlignment="1" applyProtection="1">
      <alignment horizontal="left" vertical="center" wrapText="1"/>
      <protection locked="0"/>
    </xf>
    <xf numFmtId="186" fontId="100" fillId="9" borderId="12" xfId="37" applyNumberFormat="1" applyFont="1" applyFill="1" applyBorder="1" applyAlignment="1">
      <alignment horizontal="right" vertical="center" wrapText="1"/>
    </xf>
    <xf numFmtId="49" fontId="13" fillId="0" borderId="5" xfId="37" applyNumberFormat="1" applyFont="1" applyBorder="1" applyAlignment="1" applyProtection="1">
      <alignment horizontal="left" vertical="center"/>
      <protection locked="0"/>
    </xf>
    <xf numFmtId="49" fontId="13" fillId="0" borderId="1" xfId="37" applyNumberFormat="1" applyFont="1" applyBorder="1" applyAlignment="1" applyProtection="1">
      <alignment horizontal="left" vertical="center"/>
      <protection locked="0"/>
    </xf>
    <xf numFmtId="49" fontId="13" fillId="0" borderId="90" xfId="37" applyNumberFormat="1" applyFont="1" applyBorder="1" applyAlignment="1" applyProtection="1">
      <alignment horizontal="right" vertical="center"/>
      <protection locked="0"/>
    </xf>
    <xf numFmtId="49" fontId="13" fillId="0" borderId="19" xfId="37" applyNumberFormat="1" applyFont="1" applyBorder="1" applyAlignment="1" applyProtection="1">
      <alignment horizontal="left" vertical="center" wrapText="1"/>
      <protection locked="0"/>
    </xf>
    <xf numFmtId="186" fontId="13" fillId="0" borderId="19" xfId="37" applyNumberFormat="1" applyFont="1" applyBorder="1" applyAlignment="1" applyProtection="1">
      <alignment horizontal="right" vertical="center" wrapText="1"/>
      <protection locked="0"/>
    </xf>
    <xf numFmtId="49" fontId="13" fillId="0" borderId="91" xfId="37" applyNumberFormat="1" applyFont="1" applyBorder="1" applyAlignment="1" applyProtection="1">
      <alignment horizontal="left" vertical="center" wrapText="1"/>
      <protection locked="0"/>
    </xf>
    <xf numFmtId="49" fontId="96" fillId="9" borderId="0" xfId="37" applyNumberFormat="1" applyFont="1" applyFill="1" applyAlignment="1" applyProtection="1">
      <alignment horizontal="left" vertical="center"/>
      <protection locked="0"/>
    </xf>
    <xf numFmtId="49" fontId="100" fillId="9" borderId="0" xfId="37" applyNumberFormat="1" applyFont="1" applyFill="1" applyAlignment="1" applyProtection="1">
      <alignment horizontal="left" vertical="center"/>
      <protection locked="0"/>
    </xf>
    <xf numFmtId="49" fontId="13" fillId="0" borderId="6" xfId="37" applyNumberFormat="1" applyFont="1" applyBorder="1" applyAlignment="1" applyProtection="1">
      <alignment horizontal="left" vertical="center" wrapText="1"/>
      <protection locked="0"/>
    </xf>
    <xf numFmtId="0" fontId="13" fillId="0" borderId="1" xfId="37" applyFont="1" applyBorder="1" applyAlignment="1">
      <alignment vertical="center" wrapText="1"/>
    </xf>
    <xf numFmtId="49" fontId="13" fillId="0" borderId="46" xfId="37" applyNumberFormat="1" applyFont="1" applyBorder="1" applyAlignment="1" applyProtection="1">
      <alignment horizontal="left" vertical="center" wrapText="1"/>
      <protection locked="0"/>
    </xf>
    <xf numFmtId="49" fontId="13" fillId="0" borderId="19" xfId="37" applyNumberFormat="1" applyFont="1" applyBorder="1" applyAlignment="1" applyProtection="1">
      <alignment horizontal="left" vertical="center"/>
      <protection locked="0"/>
    </xf>
    <xf numFmtId="49" fontId="13" fillId="3" borderId="94" xfId="37" applyNumberFormat="1" applyFont="1" applyFill="1" applyBorder="1" applyAlignment="1" applyProtection="1">
      <alignment horizontal="right" vertical="center"/>
      <protection locked="0"/>
    </xf>
    <xf numFmtId="49" fontId="13" fillId="3" borderId="17" xfId="37" applyNumberFormat="1" applyFont="1" applyFill="1" applyBorder="1" applyAlignment="1" applyProtection="1">
      <alignment horizontal="left" vertical="center" wrapText="1"/>
      <protection locked="0"/>
    </xf>
    <xf numFmtId="186" fontId="13" fillId="3" borderId="17" xfId="37" applyNumberFormat="1" applyFont="1" applyFill="1" applyBorder="1" applyAlignment="1" applyProtection="1">
      <alignment horizontal="right" vertical="center" wrapText="1"/>
      <protection locked="0"/>
    </xf>
    <xf numFmtId="179" fontId="13" fillId="3" borderId="17" xfId="37" applyNumberFormat="1" applyFont="1" applyFill="1" applyBorder="1" applyAlignment="1" applyProtection="1">
      <alignment horizontal="center" vertical="center" wrapText="1"/>
      <protection locked="0"/>
    </xf>
    <xf numFmtId="186" fontId="13" fillId="3" borderId="17" xfId="37" applyNumberFormat="1" applyFont="1" applyFill="1" applyBorder="1" applyAlignment="1" applyProtection="1">
      <alignment horizontal="center" vertical="center" wrapText="1"/>
      <protection locked="0"/>
    </xf>
    <xf numFmtId="49" fontId="13" fillId="3" borderId="52" xfId="37" applyNumberFormat="1" applyFont="1" applyFill="1" applyBorder="1" applyAlignment="1" applyProtection="1">
      <alignment horizontal="left" vertical="center" wrapText="1"/>
      <protection locked="0"/>
    </xf>
    <xf numFmtId="49" fontId="13" fillId="3" borderId="95" xfId="37" applyNumberFormat="1" applyFont="1" applyFill="1" applyBorder="1" applyAlignment="1" applyProtection="1">
      <alignment horizontal="left" vertical="center" wrapText="1"/>
      <protection locked="0"/>
    </xf>
    <xf numFmtId="49" fontId="13" fillId="10" borderId="79" xfId="37" applyNumberFormat="1" applyFont="1" applyFill="1" applyBorder="1" applyAlignment="1" applyProtection="1">
      <alignment horizontal="right" vertical="center"/>
      <protection locked="0"/>
    </xf>
    <xf numFmtId="49" fontId="13" fillId="10" borderId="17" xfId="37" applyNumberFormat="1" applyFont="1" applyFill="1" applyBorder="1" applyAlignment="1" applyProtection="1">
      <alignment horizontal="left" vertical="center" wrapText="1"/>
      <protection locked="0"/>
    </xf>
    <xf numFmtId="186" fontId="13" fillId="10" borderId="1" xfId="37" applyNumberFormat="1" applyFont="1" applyFill="1" applyBorder="1" applyAlignment="1" applyProtection="1">
      <alignment horizontal="right" vertical="center" wrapText="1"/>
      <protection locked="0"/>
    </xf>
    <xf numFmtId="179" fontId="13" fillId="10" borderId="1" xfId="37" applyNumberFormat="1" applyFont="1" applyFill="1" applyBorder="1" applyAlignment="1" applyProtection="1">
      <alignment horizontal="center" vertical="center" wrapText="1"/>
      <protection locked="0"/>
    </xf>
    <xf numFmtId="186" fontId="13" fillId="10" borderId="1" xfId="37" applyNumberFormat="1" applyFont="1" applyFill="1" applyBorder="1" applyAlignment="1" applyProtection="1">
      <alignment horizontal="center" vertical="center" wrapText="1"/>
      <protection locked="0"/>
    </xf>
    <xf numFmtId="49" fontId="13" fillId="10" borderId="52" xfId="37" applyNumberFormat="1" applyFont="1" applyFill="1" applyBorder="1" applyAlignment="1" applyProtection="1">
      <alignment horizontal="left" vertical="center" wrapText="1"/>
      <protection locked="0"/>
    </xf>
    <xf numFmtId="49" fontId="13" fillId="10" borderId="1" xfId="37" applyNumberFormat="1" applyFont="1" applyFill="1" applyBorder="1" applyAlignment="1" applyProtection="1">
      <alignment horizontal="left" vertical="center" wrapText="1"/>
      <protection locked="0"/>
    </xf>
    <xf numFmtId="49" fontId="13" fillId="10" borderId="80" xfId="37" applyNumberFormat="1" applyFont="1" applyFill="1" applyBorder="1" applyAlignment="1" applyProtection="1">
      <alignment horizontal="left" vertical="center" wrapText="1"/>
      <protection locked="0"/>
    </xf>
    <xf numFmtId="49" fontId="13" fillId="10" borderId="94" xfId="37" applyNumberFormat="1" applyFont="1" applyFill="1" applyBorder="1" applyAlignment="1" applyProtection="1">
      <alignment horizontal="right" vertical="center"/>
      <protection locked="0"/>
    </xf>
    <xf numFmtId="49" fontId="13" fillId="10" borderId="95" xfId="37" applyNumberFormat="1" applyFont="1" applyFill="1" applyBorder="1" applyAlignment="1" applyProtection="1">
      <alignment horizontal="left" vertical="center" wrapText="1"/>
      <protection locked="0"/>
    </xf>
    <xf numFmtId="49" fontId="13" fillId="10" borderId="96" xfId="37" applyNumberFormat="1" applyFont="1" applyFill="1" applyBorder="1" applyAlignment="1" applyProtection="1">
      <alignment horizontal="right" vertical="center"/>
      <protection locked="0"/>
    </xf>
    <xf numFmtId="49" fontId="13" fillId="10" borderId="3" xfId="37" applyNumberFormat="1" applyFont="1" applyFill="1" applyBorder="1" applyAlignment="1" applyProtection="1">
      <alignment horizontal="left" vertical="center" wrapText="1"/>
      <protection locked="0"/>
    </xf>
    <xf numFmtId="49" fontId="13" fillId="10" borderId="97" xfId="37" applyNumberFormat="1" applyFont="1" applyFill="1" applyBorder="1" applyAlignment="1" applyProtection="1">
      <alignment horizontal="left" vertical="center" wrapText="1"/>
      <protection locked="0"/>
    </xf>
    <xf numFmtId="0" fontId="13" fillId="0" borderId="17" xfId="37" applyFont="1" applyBorder="1" applyAlignment="1">
      <alignment horizontal="left" vertical="center" wrapText="1"/>
    </xf>
    <xf numFmtId="49" fontId="13" fillId="0" borderId="17" xfId="37" applyNumberFormat="1" applyFont="1" applyBorder="1" applyAlignment="1" applyProtection="1">
      <alignment horizontal="left" vertical="center"/>
      <protection locked="0"/>
    </xf>
    <xf numFmtId="186" fontId="13" fillId="0" borderId="1" xfId="37" applyNumberFormat="1" applyFont="1" applyBorder="1" applyAlignment="1">
      <alignment horizontal="left" vertical="center" wrapText="1"/>
    </xf>
    <xf numFmtId="179" fontId="13" fillId="0" borderId="1" xfId="37" applyNumberFormat="1" applyFont="1" applyBorder="1" applyAlignment="1">
      <alignment horizontal="center" vertical="center" wrapText="1"/>
    </xf>
    <xf numFmtId="186" fontId="13" fillId="0" borderId="1" xfId="37" applyNumberFormat="1" applyFont="1" applyBorder="1" applyAlignment="1">
      <alignment horizontal="center" vertical="center" wrapText="1"/>
    </xf>
    <xf numFmtId="186" fontId="13" fillId="0" borderId="17" xfId="37" applyNumberFormat="1" applyFont="1" applyBorder="1" applyAlignment="1">
      <alignment horizontal="left" vertical="center" wrapText="1"/>
    </xf>
    <xf numFmtId="179" fontId="13" fillId="0" borderId="17" xfId="37" applyNumberFormat="1" applyFont="1" applyBorder="1" applyAlignment="1">
      <alignment horizontal="center" vertical="center" wrapText="1"/>
    </xf>
    <xf numFmtId="186" fontId="13" fillId="0" borderId="17" xfId="37" applyNumberFormat="1" applyFont="1" applyBorder="1" applyAlignment="1">
      <alignment horizontal="center" vertical="center" wrapText="1"/>
    </xf>
    <xf numFmtId="49" fontId="13" fillId="0" borderId="7" xfId="37" applyNumberFormat="1" applyFont="1" applyBorder="1" applyAlignment="1" applyProtection="1">
      <alignment horizontal="left" vertical="center"/>
      <protection locked="0"/>
    </xf>
    <xf numFmtId="187" fontId="13" fillId="0" borderId="1" xfId="37" applyNumberFormat="1" applyFont="1" applyBorder="1" applyAlignment="1" applyProtection="1">
      <alignment horizontal="center" vertical="center" wrapText="1"/>
      <protection locked="0"/>
    </xf>
    <xf numFmtId="0" fontId="13" fillId="0" borderId="7" xfId="37" applyFont="1" applyBorder="1" applyAlignment="1">
      <alignment horizontal="left" vertical="center" wrapText="1"/>
    </xf>
    <xf numFmtId="49" fontId="100" fillId="0" borderId="98" xfId="37" applyNumberFormat="1" applyFont="1" applyBorder="1" applyAlignment="1" applyProtection="1">
      <alignment horizontal="center" vertical="center"/>
      <protection locked="0"/>
    </xf>
    <xf numFmtId="49" fontId="100" fillId="0" borderId="99" xfId="37" applyNumberFormat="1" applyFont="1" applyBorder="1" applyAlignment="1" applyProtection="1">
      <alignment horizontal="left" vertical="center" wrapText="1"/>
      <protection locked="0"/>
    </xf>
    <xf numFmtId="186" fontId="100" fillId="0" borderId="99" xfId="37" applyNumberFormat="1" applyFont="1" applyBorder="1" applyAlignment="1" applyProtection="1">
      <alignment horizontal="right" vertical="center" wrapText="1"/>
      <protection locked="0"/>
    </xf>
    <xf numFmtId="179" fontId="100" fillId="0" borderId="99" xfId="37" applyNumberFormat="1" applyFont="1" applyBorder="1" applyAlignment="1" applyProtection="1">
      <alignment horizontal="center" vertical="center" wrapText="1"/>
      <protection locked="0"/>
    </xf>
    <xf numFmtId="186" fontId="100" fillId="0" borderId="99" xfId="37" applyNumberFormat="1" applyFont="1" applyBorder="1" applyAlignment="1" applyProtection="1">
      <alignment horizontal="center" vertical="center" wrapText="1"/>
      <protection locked="0"/>
    </xf>
    <xf numFmtId="49" fontId="100" fillId="0" borderId="99" xfId="37" applyNumberFormat="1" applyFont="1" applyBorder="1" applyAlignment="1" applyProtection="1">
      <alignment horizontal="left" vertical="center"/>
      <protection locked="0"/>
    </xf>
    <xf numFmtId="49" fontId="100" fillId="0" borderId="100" xfId="37" applyNumberFormat="1" applyFont="1" applyBorder="1" applyAlignment="1" applyProtection="1">
      <alignment horizontal="left" vertical="center" wrapText="1"/>
      <protection locked="0"/>
    </xf>
    <xf numFmtId="49" fontId="96" fillId="0" borderId="0" xfId="37" applyNumberFormat="1" applyFont="1" applyAlignment="1" applyProtection="1">
      <alignment horizontal="left" vertical="center"/>
      <protection locked="0"/>
    </xf>
    <xf numFmtId="49" fontId="100" fillId="0" borderId="0" xfId="37" applyNumberFormat="1" applyFont="1" applyAlignment="1" applyProtection="1">
      <alignment horizontal="left" vertical="center"/>
      <protection locked="0"/>
    </xf>
    <xf numFmtId="0" fontId="24" fillId="0" borderId="0" xfId="35" applyFont="1" applyAlignment="1">
      <alignment horizontal="left" vertical="center" wrapText="1"/>
    </xf>
    <xf numFmtId="0" fontId="5" fillId="0" borderId="1" xfId="35" applyFont="1" applyBorder="1" applyAlignment="1">
      <alignment horizontal="left" vertical="top" wrapText="1"/>
    </xf>
    <xf numFmtId="0" fontId="39" fillId="0" borderId="1" xfId="35" applyFont="1" applyBorder="1" applyAlignment="1">
      <alignment horizontal="left" vertical="top" wrapText="1"/>
    </xf>
    <xf numFmtId="0" fontId="5" fillId="0" borderId="0" xfId="35" applyFont="1" applyAlignment="1">
      <alignment horizontal="center" vertical="center" wrapText="1"/>
    </xf>
    <xf numFmtId="0" fontId="102" fillId="0" borderId="1" xfId="35" applyFont="1" applyBorder="1" applyAlignment="1">
      <alignment horizontal="left" vertical="top" wrapText="1"/>
    </xf>
    <xf numFmtId="0" fontId="22" fillId="0" borderId="0" xfId="35" applyFont="1" applyAlignment="1">
      <alignment horizontal="center" vertical="center" wrapText="1"/>
    </xf>
    <xf numFmtId="0" fontId="105" fillId="0" borderId="0" xfId="0" applyFont="1" applyAlignment="1">
      <alignment horizontal="center" vertical="center"/>
    </xf>
    <xf numFmtId="0" fontId="105" fillId="0" borderId="0" xfId="0" applyFont="1"/>
    <xf numFmtId="0" fontId="102" fillId="0" borderId="1" xfId="35" applyFont="1" applyBorder="1" applyAlignment="1">
      <alignment horizontal="center" vertical="center" wrapText="1"/>
    </xf>
    <xf numFmtId="0" fontId="28" fillId="23" borderId="1" xfId="0" applyFont="1" applyFill="1" applyBorder="1"/>
    <xf numFmtId="0" fontId="107" fillId="0" borderId="0" xfId="35" applyFont="1" applyAlignment="1">
      <alignment horizontal="left" vertical="center" wrapText="1"/>
    </xf>
    <xf numFmtId="14" fontId="0" fillId="0" borderId="0" xfId="0" applyNumberFormat="1" applyAlignment="1">
      <alignment horizontal="center" vertical="center"/>
    </xf>
    <xf numFmtId="9" fontId="0" fillId="0" borderId="0" xfId="0" applyNumberFormat="1" applyAlignment="1">
      <alignment horizontal="center" vertical="center"/>
    </xf>
    <xf numFmtId="184" fontId="24" fillId="25" borderId="105" xfId="33" applyNumberFormat="1" applyFont="1" applyFill="1" applyBorder="1" applyAlignment="1" applyProtection="1">
      <alignment horizontal="center" vertical="center" wrapText="1"/>
      <protection locked="0"/>
    </xf>
    <xf numFmtId="183" fontId="24" fillId="25" borderId="106" xfId="33" applyNumberFormat="1" applyFont="1" applyFill="1" applyBorder="1" applyAlignment="1" applyProtection="1">
      <alignment horizontal="center" vertical="center" wrapText="1"/>
      <protection locked="0"/>
    </xf>
    <xf numFmtId="0" fontId="68" fillId="0" borderId="109" xfId="33" applyFont="1" applyBorder="1" applyAlignment="1">
      <alignment horizontal="center" vertical="center" wrapText="1"/>
    </xf>
    <xf numFmtId="0" fontId="68" fillId="0" borderId="110" xfId="33" applyFont="1" applyBorder="1" applyAlignment="1">
      <alignment horizontal="center" vertical="center" wrapText="1"/>
    </xf>
    <xf numFmtId="0" fontId="68" fillId="0" borderId="110" xfId="33" applyFont="1" applyBorder="1" applyAlignment="1" applyProtection="1">
      <alignment horizontal="center" vertical="center" wrapText="1"/>
      <protection locked="0"/>
    </xf>
    <xf numFmtId="0" fontId="68" fillId="0" borderId="110" xfId="34" applyFont="1" applyBorder="1" applyAlignment="1">
      <alignment horizontal="left" vertical="top" wrapText="1"/>
    </xf>
    <xf numFmtId="0" fontId="68" fillId="0" borderId="110" xfId="34" applyFont="1" applyBorder="1" applyAlignment="1" applyProtection="1">
      <alignment horizontal="left" vertical="top" wrapText="1"/>
      <protection locked="0"/>
    </xf>
    <xf numFmtId="0" fontId="68" fillId="0" borderId="110" xfId="33" applyFont="1" applyBorder="1" applyAlignment="1" applyProtection="1">
      <alignment horizontal="left" vertical="top" wrapText="1"/>
      <protection locked="0"/>
    </xf>
    <xf numFmtId="0" fontId="68" fillId="0" borderId="110" xfId="34" applyFont="1" applyBorder="1" applyAlignment="1" applyProtection="1">
      <alignment horizontal="center" vertical="center" wrapText="1"/>
      <protection locked="0"/>
    </xf>
    <xf numFmtId="190" fontId="68" fillId="0" borderId="110" xfId="34" applyNumberFormat="1" applyFont="1" applyBorder="1" applyAlignment="1" applyProtection="1">
      <alignment horizontal="center" vertical="center"/>
      <protection locked="0"/>
    </xf>
    <xf numFmtId="190" fontId="68" fillId="0" borderId="111" xfId="34" applyNumberFormat="1" applyFont="1" applyBorder="1" applyAlignment="1" applyProtection="1">
      <alignment horizontal="center" vertical="center"/>
      <protection locked="0"/>
    </xf>
    <xf numFmtId="0" fontId="68" fillId="0" borderId="71" xfId="33" applyFont="1" applyBorder="1" applyAlignment="1">
      <alignment horizontal="center" vertical="center" wrapText="1"/>
    </xf>
    <xf numFmtId="0" fontId="68" fillId="0" borderId="72" xfId="33" applyFont="1" applyBorder="1" applyAlignment="1">
      <alignment horizontal="center" vertical="center" wrapText="1"/>
    </xf>
    <xf numFmtId="0" fontId="68" fillId="0" borderId="72" xfId="33" applyFont="1" applyBorder="1" applyAlignment="1" applyProtection="1">
      <alignment horizontal="center" vertical="center" wrapText="1"/>
      <protection locked="0"/>
    </xf>
    <xf numFmtId="0" fontId="68" fillId="0" borderId="72" xfId="34" applyFont="1" applyBorder="1" applyAlignment="1">
      <alignment horizontal="left" vertical="top" wrapText="1"/>
    </xf>
    <xf numFmtId="0" fontId="68" fillId="0" borderId="72" xfId="34" applyFont="1" applyBorder="1" applyAlignment="1" applyProtection="1">
      <alignment horizontal="left" vertical="top" wrapText="1"/>
      <protection locked="0"/>
    </xf>
    <xf numFmtId="0" fontId="68" fillId="0" borderId="72" xfId="33" applyFont="1" applyBorder="1" applyAlignment="1" applyProtection="1">
      <alignment horizontal="left" vertical="top" wrapText="1"/>
      <protection locked="0"/>
    </xf>
    <xf numFmtId="0" fontId="68" fillId="0" borderId="72" xfId="34" applyFont="1" applyBorder="1" applyAlignment="1" applyProtection="1">
      <alignment horizontal="center" vertical="center" wrapText="1"/>
      <protection locked="0"/>
    </xf>
    <xf numFmtId="190" fontId="68" fillId="0" borderId="72" xfId="34" applyNumberFormat="1" applyFont="1" applyBorder="1" applyAlignment="1" applyProtection="1">
      <alignment horizontal="center" vertical="center"/>
      <protection locked="0"/>
    </xf>
    <xf numFmtId="190" fontId="68" fillId="0" borderId="112" xfId="34" applyNumberFormat="1" applyFont="1" applyBorder="1" applyAlignment="1" applyProtection="1">
      <alignment horizontal="center" vertical="center"/>
      <protection locked="0"/>
    </xf>
    <xf numFmtId="0" fontId="71" fillId="0" borderId="72" xfId="33" applyFont="1" applyBorder="1" applyAlignment="1">
      <alignment horizontal="center" vertical="center" wrapText="1"/>
    </xf>
    <xf numFmtId="0" fontId="71" fillId="0" borderId="72" xfId="33" applyFont="1" applyBorder="1" applyAlignment="1" applyProtection="1">
      <alignment horizontal="center" vertical="center" wrapText="1"/>
      <protection locked="0"/>
    </xf>
    <xf numFmtId="0" fontId="71" fillId="0" borderId="72" xfId="34" applyFont="1" applyBorder="1" applyAlignment="1">
      <alignment horizontal="left" vertical="top" wrapText="1"/>
    </xf>
    <xf numFmtId="14" fontId="71" fillId="0" borderId="72" xfId="34" applyNumberFormat="1" applyFont="1" applyBorder="1" applyAlignment="1" applyProtection="1">
      <alignment horizontal="left" vertical="top" wrapText="1"/>
      <protection locked="0"/>
    </xf>
    <xf numFmtId="0" fontId="71" fillId="0" borderId="72" xfId="33" applyFont="1" applyBorder="1" applyAlignment="1" applyProtection="1">
      <alignment horizontal="left" vertical="top" wrapText="1"/>
      <protection locked="0"/>
    </xf>
    <xf numFmtId="190" fontId="71" fillId="0" borderId="72" xfId="34" applyNumberFormat="1" applyFont="1" applyBorder="1" applyAlignment="1" applyProtection="1">
      <alignment horizontal="center" vertical="center"/>
      <protection locked="0"/>
    </xf>
    <xf numFmtId="190" fontId="71" fillId="0" borderId="112" xfId="34" applyNumberFormat="1" applyFont="1" applyBorder="1" applyAlignment="1" applyProtection="1">
      <alignment horizontal="center" vertical="center"/>
      <protection locked="0"/>
    </xf>
    <xf numFmtId="14" fontId="68" fillId="0" borderId="72" xfId="33" applyNumberFormat="1" applyFont="1" applyBorder="1" applyAlignment="1" applyProtection="1">
      <alignment horizontal="left" vertical="top" wrapText="1"/>
      <protection locked="0"/>
    </xf>
    <xf numFmtId="0" fontId="71" fillId="0" borderId="72" xfId="34" applyFont="1" applyBorder="1" applyAlignment="1" applyProtection="1">
      <alignment horizontal="left" vertical="top" wrapText="1"/>
      <protection locked="0"/>
    </xf>
    <xf numFmtId="14" fontId="71" fillId="0" borderId="72" xfId="33" applyNumberFormat="1" applyFont="1" applyBorder="1" applyAlignment="1" applyProtection="1">
      <alignment horizontal="left" vertical="top" wrapText="1"/>
      <protection locked="0"/>
    </xf>
    <xf numFmtId="0" fontId="72" fillId="0" borderId="72" xfId="33" applyFont="1" applyBorder="1" applyAlignment="1" applyProtection="1">
      <alignment horizontal="center" vertical="center" wrapText="1"/>
      <protection locked="0"/>
    </xf>
    <xf numFmtId="14" fontId="72" fillId="0" borderId="72" xfId="34" applyNumberFormat="1" applyFont="1" applyBorder="1" applyAlignment="1">
      <alignment horizontal="left" vertical="top" wrapText="1"/>
    </xf>
    <xf numFmtId="0" fontId="72" fillId="0" borderId="72" xfId="33" applyFont="1" applyBorder="1" applyAlignment="1" applyProtection="1">
      <alignment horizontal="left" vertical="top" wrapText="1"/>
      <protection locked="0"/>
    </xf>
    <xf numFmtId="190" fontId="72" fillId="0" borderId="72" xfId="34" applyNumberFormat="1" applyFont="1" applyBorder="1" applyAlignment="1" applyProtection="1">
      <alignment horizontal="center" vertical="center"/>
      <protection locked="0"/>
    </xf>
    <xf numFmtId="190" fontId="72" fillId="0" borderId="112" xfId="34" applyNumberFormat="1" applyFont="1" applyBorder="1" applyAlignment="1" applyProtection="1">
      <alignment horizontal="center" vertical="center"/>
      <protection locked="0"/>
    </xf>
    <xf numFmtId="14" fontId="72" fillId="0" borderId="72" xfId="33" applyNumberFormat="1" applyFont="1" applyBorder="1" applyAlignment="1" applyProtection="1">
      <alignment horizontal="left" vertical="top" wrapText="1"/>
      <protection locked="0"/>
    </xf>
    <xf numFmtId="190" fontId="72" fillId="0" borderId="112" xfId="33" applyNumberFormat="1" applyFont="1" applyBorder="1" applyAlignment="1" applyProtection="1">
      <alignment horizontal="center" vertical="center" wrapText="1"/>
      <protection locked="0"/>
    </xf>
    <xf numFmtId="190" fontId="68" fillId="0" borderId="112" xfId="33" applyNumberFormat="1" applyFont="1" applyBorder="1" applyAlignment="1" applyProtection="1">
      <alignment horizontal="center" vertical="center" wrapText="1"/>
      <protection locked="0"/>
    </xf>
    <xf numFmtId="0" fontId="70" fillId="0" borderId="72" xfId="33" applyFont="1" applyBorder="1" applyAlignment="1" applyProtection="1">
      <alignment horizontal="left" vertical="top" wrapText="1"/>
      <protection locked="0"/>
    </xf>
    <xf numFmtId="0" fontId="72" fillId="0" borderId="72" xfId="33" applyFont="1" applyBorder="1" applyAlignment="1" applyProtection="1">
      <alignment horizontal="left" vertical="center" wrapText="1"/>
      <protection locked="0"/>
    </xf>
    <xf numFmtId="190" fontId="72" fillId="0" borderId="72" xfId="33" applyNumberFormat="1" applyFont="1" applyBorder="1" applyAlignment="1" applyProtection="1">
      <alignment horizontal="center" vertical="center" wrapText="1"/>
      <protection locked="0"/>
    </xf>
    <xf numFmtId="14" fontId="72" fillId="0" borderId="72" xfId="33" applyNumberFormat="1" applyFont="1" applyBorder="1" applyAlignment="1" applyProtection="1">
      <alignment horizontal="center" vertical="center" wrapText="1"/>
      <protection locked="0"/>
    </xf>
    <xf numFmtId="0" fontId="72" fillId="0" borderId="72" xfId="33" applyFont="1" applyBorder="1" applyAlignment="1" applyProtection="1">
      <alignment horizontal="center" vertical="center"/>
      <protection locked="0"/>
    </xf>
    <xf numFmtId="0" fontId="72" fillId="0" borderId="72" xfId="33" applyFont="1" applyBorder="1" applyAlignment="1" applyProtection="1">
      <alignment vertical="top"/>
      <protection locked="0"/>
    </xf>
    <xf numFmtId="0" fontId="72" fillId="0" borderId="72" xfId="33" applyFont="1" applyBorder="1" applyAlignment="1" applyProtection="1">
      <alignment vertical="top" wrapText="1"/>
      <protection locked="0"/>
    </xf>
    <xf numFmtId="14" fontId="76" fillId="0" borderId="72" xfId="33" applyNumberFormat="1" applyFont="1" applyBorder="1" applyAlignment="1" applyProtection="1">
      <alignment horizontal="center" vertical="center" wrapText="1"/>
      <protection locked="0"/>
    </xf>
    <xf numFmtId="185" fontId="72" fillId="0" borderId="72" xfId="33" applyNumberFormat="1" applyFont="1" applyBorder="1" applyAlignment="1" applyProtection="1">
      <alignment horizontal="left" vertical="top" wrapText="1"/>
      <protection locked="0"/>
    </xf>
    <xf numFmtId="0" fontId="77" fillId="0" borderId="72" xfId="33" applyFont="1" applyBorder="1" applyAlignment="1" applyProtection="1">
      <alignment horizontal="left" vertical="top" wrapText="1"/>
      <protection locked="0"/>
    </xf>
    <xf numFmtId="0" fontId="78" fillId="0" borderId="72" xfId="33" applyFont="1" applyBorder="1" applyAlignment="1" applyProtection="1">
      <alignment horizontal="center" vertical="center" wrapText="1"/>
      <protection locked="0"/>
    </xf>
    <xf numFmtId="0" fontId="79" fillId="0" borderId="72" xfId="33" applyFont="1" applyBorder="1" applyAlignment="1" applyProtection="1">
      <alignment horizontal="center" vertical="center" wrapText="1"/>
      <protection locked="0"/>
    </xf>
    <xf numFmtId="0" fontId="79" fillId="0" borderId="72" xfId="33" applyFont="1" applyBorder="1" applyAlignment="1" applyProtection="1">
      <alignment horizontal="left" vertical="top" wrapText="1"/>
      <protection locked="0"/>
    </xf>
    <xf numFmtId="190" fontId="79" fillId="0" borderId="72" xfId="33" applyNumberFormat="1" applyFont="1" applyBorder="1" applyAlignment="1" applyProtection="1">
      <alignment horizontal="center" vertical="center" wrapText="1"/>
      <protection locked="0"/>
    </xf>
    <xf numFmtId="190" fontId="79" fillId="0" borderId="112" xfId="33" applyNumberFormat="1" applyFont="1" applyBorder="1" applyAlignment="1" applyProtection="1">
      <alignment horizontal="center" vertical="center" wrapText="1"/>
      <protection locked="0"/>
    </xf>
    <xf numFmtId="0" fontId="68" fillId="0" borderId="113" xfId="33" applyFont="1" applyBorder="1" applyAlignment="1">
      <alignment horizontal="center" vertical="center" wrapText="1"/>
    </xf>
    <xf numFmtId="0" fontId="68" fillId="0" borderId="114" xfId="33" applyFont="1" applyBorder="1" applyAlignment="1">
      <alignment horizontal="center" vertical="center" wrapText="1"/>
    </xf>
    <xf numFmtId="0" fontId="79" fillId="0" borderId="114" xfId="33" applyFont="1" applyBorder="1" applyAlignment="1" applyProtection="1">
      <alignment horizontal="center" vertical="center" wrapText="1"/>
      <protection locked="0"/>
    </xf>
    <xf numFmtId="0" fontId="79" fillId="0" borderId="114" xfId="33" applyFont="1" applyBorder="1" applyAlignment="1" applyProtection="1">
      <alignment horizontal="left" vertical="top" wrapText="1"/>
      <protection locked="0"/>
    </xf>
    <xf numFmtId="190" fontId="79" fillId="0" borderId="114" xfId="33" applyNumberFormat="1" applyFont="1" applyBorder="1" applyAlignment="1" applyProtection="1">
      <alignment horizontal="center" vertical="center" wrapText="1"/>
      <protection locked="0"/>
    </xf>
    <xf numFmtId="190" fontId="79" fillId="0" borderId="115" xfId="33" applyNumberFormat="1" applyFont="1" applyBorder="1" applyAlignment="1" applyProtection="1">
      <alignment horizontal="center" vertical="center" wrapText="1"/>
      <protection locked="0"/>
    </xf>
    <xf numFmtId="0" fontId="104" fillId="0" borderId="1" xfId="0" applyFont="1" applyBorder="1" applyAlignment="1">
      <alignment horizontal="center"/>
    </xf>
    <xf numFmtId="0" fontId="68" fillId="0" borderId="0" xfId="0" applyFont="1" applyAlignment="1">
      <alignment horizontal="center"/>
    </xf>
    <xf numFmtId="0" fontId="68" fillId="0" borderId="0" xfId="0" applyFont="1"/>
    <xf numFmtId="0" fontId="104" fillId="0" borderId="0" xfId="0" applyFont="1" applyAlignment="1">
      <alignment horizontal="center"/>
    </xf>
    <xf numFmtId="0" fontId="105" fillId="0" borderId="0" xfId="0" applyFont="1" applyAlignment="1">
      <alignment horizontal="center"/>
    </xf>
    <xf numFmtId="0" fontId="109" fillId="0" borderId="0" xfId="0" applyFont="1" applyAlignment="1">
      <alignment horizontal="center" vertical="center"/>
    </xf>
    <xf numFmtId="0" fontId="105" fillId="0" borderId="0" xfId="0" applyFont="1" applyAlignment="1">
      <alignment vertical="center"/>
    </xf>
    <xf numFmtId="0" fontId="105" fillId="0" borderId="23" xfId="0" applyFont="1" applyBorder="1" applyAlignment="1">
      <alignment vertical="center"/>
    </xf>
    <xf numFmtId="0" fontId="110" fillId="8" borderId="1" xfId="0" applyFont="1" applyFill="1" applyBorder="1" applyAlignment="1">
      <alignment horizontal="center" vertical="center"/>
    </xf>
    <xf numFmtId="0" fontId="110" fillId="8" borderId="7" xfId="0" applyFont="1" applyFill="1" applyBorder="1" applyAlignment="1">
      <alignment horizontal="left" vertical="center"/>
    </xf>
    <xf numFmtId="0" fontId="105" fillId="10" borderId="1" xfId="2" applyNumberFormat="1" applyFont="1" applyFill="1" applyBorder="1" applyAlignment="1">
      <alignment horizontal="center"/>
    </xf>
    <xf numFmtId="9" fontId="105" fillId="0" borderId="0" xfId="0" applyNumberFormat="1" applyFont="1" applyAlignment="1">
      <alignment horizontal="center"/>
    </xf>
    <xf numFmtId="0" fontId="28" fillId="0" borderId="0" xfId="5"/>
    <xf numFmtId="182" fontId="111" fillId="0" borderId="0" xfId="0" applyNumberFormat="1" applyFont="1" applyAlignment="1">
      <alignment horizontal="center" vertical="center"/>
    </xf>
    <xf numFmtId="0" fontId="113" fillId="26" borderId="11" xfId="0" applyFont="1" applyFill="1" applyBorder="1" applyAlignment="1">
      <alignment horizontal="center" vertical="center"/>
    </xf>
    <xf numFmtId="0" fontId="113" fillId="26" borderId="12" xfId="0" applyFont="1" applyFill="1" applyBorder="1" applyAlignment="1">
      <alignment horizontal="center" vertical="center"/>
    </xf>
    <xf numFmtId="0" fontId="113" fillId="26" borderId="14" xfId="0" applyFont="1" applyFill="1" applyBorder="1" applyAlignment="1">
      <alignment horizontal="center" vertical="center"/>
    </xf>
    <xf numFmtId="0" fontId="13" fillId="0" borderId="0" xfId="0" applyFont="1" applyAlignment="1">
      <alignment horizontal="center" vertical="center"/>
    </xf>
    <xf numFmtId="0" fontId="13" fillId="0" borderId="63" xfId="0" applyFont="1" applyBorder="1" applyAlignment="1">
      <alignment horizontal="center" vertical="center"/>
    </xf>
    <xf numFmtId="0" fontId="114" fillId="0" borderId="62" xfId="0" applyFont="1" applyBorder="1" applyAlignment="1">
      <alignment horizontal="center" vertical="center"/>
    </xf>
    <xf numFmtId="0" fontId="13" fillId="0" borderId="58" xfId="0" applyFont="1" applyBorder="1" applyAlignment="1">
      <alignment horizontal="center" vertical="center"/>
    </xf>
    <xf numFmtId="0" fontId="114" fillId="0" borderId="59" xfId="0" applyFont="1" applyBorder="1" applyAlignment="1">
      <alignment horizontal="center" vertical="center"/>
    </xf>
    <xf numFmtId="0" fontId="13" fillId="0" borderId="59" xfId="0" applyFont="1" applyBorder="1" applyAlignment="1">
      <alignment horizontal="center" vertical="center"/>
    </xf>
    <xf numFmtId="0" fontId="13" fillId="0" borderId="41" xfId="0" applyFont="1" applyBorder="1" applyAlignment="1">
      <alignment horizontal="center" vertical="center"/>
    </xf>
    <xf numFmtId="0" fontId="13" fillId="0" borderId="60" xfId="0" applyFont="1" applyBorder="1" applyAlignment="1">
      <alignment horizontal="center" vertical="center"/>
    </xf>
    <xf numFmtId="0" fontId="13" fillId="0" borderId="61" xfId="0" applyFont="1" applyBorder="1" applyAlignment="1">
      <alignment horizontal="center" vertical="center"/>
    </xf>
    <xf numFmtId="178" fontId="40" fillId="0" borderId="1" xfId="0" applyNumberFormat="1" applyFont="1" applyBorder="1" applyAlignment="1">
      <alignment horizontal="center" vertical="center"/>
    </xf>
    <xf numFmtId="0" fontId="9" fillId="0" borderId="1" xfId="0" applyFont="1" applyBorder="1" applyAlignment="1">
      <alignment horizontal="left" vertical="center"/>
    </xf>
    <xf numFmtId="0" fontId="9" fillId="0" borderId="1" xfId="35" applyFont="1" applyBorder="1" applyAlignment="1">
      <alignment horizontal="center" vertical="center" wrapText="1"/>
    </xf>
    <xf numFmtId="0" fontId="12" fillId="21" borderId="1" xfId="0" applyFont="1" applyFill="1" applyBorder="1" applyAlignment="1">
      <alignment horizontal="center" vertical="center"/>
    </xf>
    <xf numFmtId="0" fontId="0" fillId="0" borderId="1" xfId="0" applyBorder="1" applyAlignment="1">
      <alignment vertical="center"/>
    </xf>
    <xf numFmtId="0" fontId="11" fillId="8" borderId="0" xfId="0" applyFont="1" applyFill="1" applyAlignment="1">
      <alignment horizontal="center" vertical="center"/>
    </xf>
    <xf numFmtId="0" fontId="116" fillId="0" borderId="1" xfId="5" applyFont="1" applyBorder="1" applyAlignment="1" applyProtection="1">
      <alignment horizontal="left" vertical="center"/>
      <protection locked="0"/>
    </xf>
    <xf numFmtId="0" fontId="116" fillId="0" borderId="1" xfId="5" applyFont="1" applyBorder="1" applyAlignment="1" applyProtection="1">
      <alignment horizontal="left" vertical="center" wrapText="1"/>
      <protection locked="0"/>
    </xf>
    <xf numFmtId="0" fontId="14" fillId="0" borderId="1" xfId="5" applyFont="1" applyBorder="1" applyAlignment="1" applyProtection="1">
      <alignment horizontal="left" vertical="center"/>
      <protection locked="0"/>
    </xf>
    <xf numFmtId="0" fontId="14" fillId="0" borderId="1" xfId="5" applyFont="1" applyBorder="1" applyAlignment="1" applyProtection="1">
      <alignment horizontal="left" vertical="center" wrapText="1"/>
      <protection locked="0"/>
    </xf>
    <xf numFmtId="0" fontId="14" fillId="0" borderId="1" xfId="0" applyFont="1" applyBorder="1" applyAlignment="1">
      <alignment horizontal="left" vertical="center"/>
    </xf>
    <xf numFmtId="0" fontId="14" fillId="0" borderId="1" xfId="0" applyFont="1" applyBorder="1" applyAlignment="1">
      <alignment horizontal="left" vertical="center" wrapText="1"/>
    </xf>
    <xf numFmtId="0" fontId="0" fillId="0" borderId="1" xfId="0" applyBorder="1" applyAlignment="1">
      <alignment wrapText="1"/>
    </xf>
    <xf numFmtId="0" fontId="14" fillId="0" borderId="1" xfId="0" applyFont="1" applyBorder="1" applyAlignment="1">
      <alignment wrapText="1"/>
    </xf>
    <xf numFmtId="0" fontId="12" fillId="8" borderId="7" xfId="0" applyFont="1" applyFill="1" applyBorder="1" applyAlignment="1">
      <alignment horizontal="center" vertical="center"/>
    </xf>
    <xf numFmtId="0" fontId="116" fillId="0" borderId="0" xfId="5" applyFont="1" applyAlignment="1" applyProtection="1">
      <alignment horizontal="left" vertical="center"/>
      <protection locked="0"/>
    </xf>
    <xf numFmtId="0" fontId="116" fillId="0" borderId="0" xfId="5" applyFont="1" applyAlignment="1" applyProtection="1">
      <alignment horizontal="left" vertical="center" wrapText="1"/>
      <protection locked="0"/>
    </xf>
    <xf numFmtId="178" fontId="40" fillId="0" borderId="0" xfId="0" applyNumberFormat="1" applyFont="1" applyAlignment="1">
      <alignment horizontal="center" vertical="center"/>
    </xf>
    <xf numFmtId="0" fontId="9" fillId="0" borderId="1" xfId="5" applyFont="1" applyBorder="1" applyAlignment="1" applyProtection="1">
      <alignment horizontal="left" vertical="center"/>
      <protection locked="0"/>
    </xf>
    <xf numFmtId="0" fontId="40" fillId="0" borderId="1" xfId="5" applyFont="1" applyBorder="1" applyAlignment="1" applyProtection="1">
      <alignment horizontal="left" vertical="center"/>
      <protection locked="0"/>
    </xf>
    <xf numFmtId="0" fontId="9" fillId="0" borderId="1" xfId="5" applyFont="1" applyBorder="1" applyAlignment="1" applyProtection="1">
      <alignment horizontal="left" vertical="center" wrapText="1"/>
      <protection locked="0"/>
    </xf>
    <xf numFmtId="0" fontId="40" fillId="0" borderId="1" xfId="5" applyFont="1" applyBorder="1" applyAlignment="1" applyProtection="1">
      <alignment horizontal="left" vertical="center" wrapText="1"/>
      <protection locked="0"/>
    </xf>
    <xf numFmtId="0" fontId="104" fillId="0" borderId="1" xfId="0" applyFont="1" applyBorder="1" applyAlignment="1">
      <alignment horizontal="left"/>
    </xf>
    <xf numFmtId="0" fontId="68" fillId="0" borderId="1" xfId="0" applyFont="1" applyBorder="1" applyAlignment="1">
      <alignment horizontal="left"/>
    </xf>
    <xf numFmtId="0" fontId="112" fillId="0" borderId="1" xfId="0" applyFont="1" applyBorder="1"/>
    <xf numFmtId="0" fontId="111" fillId="0" borderId="1" xfId="0" applyFont="1" applyBorder="1"/>
    <xf numFmtId="0" fontId="104" fillId="0" borderId="1" xfId="0" applyFont="1" applyBorder="1"/>
    <xf numFmtId="0" fontId="0" fillId="0" borderId="1" xfId="0" applyBorder="1"/>
    <xf numFmtId="0" fontId="117" fillId="0" borderId="1" xfId="0" applyFont="1" applyBorder="1" applyAlignment="1">
      <alignment horizontal="center" vertical="center"/>
    </xf>
    <xf numFmtId="0" fontId="118" fillId="0" borderId="1" xfId="5" applyFont="1" applyBorder="1" applyAlignment="1" applyProtection="1">
      <alignment horizontal="left" vertical="center"/>
      <protection locked="0"/>
    </xf>
    <xf numFmtId="178" fontId="117" fillId="0" borderId="1" xfId="0" applyNumberFormat="1" applyFont="1" applyBorder="1" applyAlignment="1">
      <alignment horizontal="center"/>
    </xf>
    <xf numFmtId="0" fontId="117" fillId="0" borderId="1" xfId="0" applyFont="1" applyBorder="1" applyAlignment="1">
      <alignment horizontal="center"/>
    </xf>
    <xf numFmtId="178" fontId="118" fillId="0" borderId="1" xfId="0" applyNumberFormat="1" applyFont="1" applyBorder="1" applyAlignment="1">
      <alignment horizontal="center" vertical="center"/>
    </xf>
    <xf numFmtId="0" fontId="68" fillId="0" borderId="1" xfId="0" applyFont="1" applyBorder="1" applyAlignment="1">
      <alignment horizontal="center"/>
    </xf>
    <xf numFmtId="0" fontId="110" fillId="8" borderId="1" xfId="0" applyFont="1" applyFill="1" applyBorder="1" applyAlignment="1">
      <alignment horizontal="left" vertical="center"/>
    </xf>
    <xf numFmtId="0" fontId="0" fillId="6" borderId="1" xfId="2" applyNumberFormat="1" applyFont="1" applyFill="1" applyBorder="1" applyAlignment="1">
      <alignment horizontal="center"/>
    </xf>
    <xf numFmtId="0" fontId="0" fillId="0" borderId="0" xfId="0" applyProtection="1">
      <protection locked="0"/>
    </xf>
    <xf numFmtId="0" fontId="9" fillId="0" borderId="1" xfId="0" applyFont="1" applyBorder="1" applyAlignment="1" applyProtection="1">
      <alignment horizontal="center" vertical="center"/>
      <protection locked="0"/>
    </xf>
    <xf numFmtId="178" fontId="40" fillId="0" borderId="1" xfId="0" applyNumberFormat="1" applyFont="1" applyBorder="1" applyAlignment="1" applyProtection="1">
      <alignment horizontal="center" vertical="center"/>
      <protection locked="0"/>
    </xf>
    <xf numFmtId="178" fontId="9" fillId="0" borderId="1" xfId="0" applyNumberFormat="1" applyFont="1" applyBorder="1" applyAlignment="1" applyProtection="1">
      <alignment horizontal="center" vertical="center" wrapText="1"/>
      <protection locked="0"/>
    </xf>
    <xf numFmtId="0" fontId="0" fillId="10" borderId="1" xfId="2" applyNumberFormat="1" applyFont="1" applyFill="1" applyBorder="1" applyAlignment="1" applyProtection="1">
      <alignment horizontal="center"/>
    </xf>
    <xf numFmtId="0" fontId="0" fillId="6" borderId="1" xfId="2" applyNumberFormat="1" applyFont="1" applyFill="1" applyBorder="1" applyAlignment="1" applyProtection="1">
      <alignment horizontal="center"/>
    </xf>
    <xf numFmtId="0" fontId="40" fillId="0" borderId="1" xfId="0" applyFont="1" applyBorder="1" applyAlignment="1" applyProtection="1">
      <alignment horizontal="left" vertical="center"/>
      <protection locked="0"/>
    </xf>
    <xf numFmtId="0" fontId="9" fillId="0" borderId="1" xfId="0" applyFont="1" applyBorder="1" applyAlignment="1" applyProtection="1">
      <alignment horizontal="left" vertical="center"/>
      <protection locked="0"/>
    </xf>
    <xf numFmtId="0" fontId="9" fillId="0" borderId="1" xfId="0" applyFont="1" applyBorder="1" applyAlignment="1" applyProtection="1">
      <alignment vertical="center"/>
      <protection locked="0"/>
    </xf>
    <xf numFmtId="0" fontId="40" fillId="0" borderId="1" xfId="0" applyFont="1" applyBorder="1" applyAlignment="1" applyProtection="1">
      <alignment horizontal="center" vertical="center"/>
      <protection locked="0"/>
    </xf>
    <xf numFmtId="0" fontId="0" fillId="0" borderId="1" xfId="0" applyBorder="1" applyAlignment="1">
      <alignment horizontal="left" vertical="center" wrapText="1"/>
    </xf>
    <xf numFmtId="179" fontId="0" fillId="0" borderId="0" xfId="0" applyNumberFormat="1" applyAlignment="1">
      <alignment horizontal="center" vertical="center"/>
    </xf>
    <xf numFmtId="0" fontId="9" fillId="0" borderId="1" xfId="0" applyFont="1" applyBorder="1" applyAlignment="1">
      <alignment horizontal="left" vertical="center" wrapText="1"/>
    </xf>
    <xf numFmtId="0" fontId="8" fillId="0" borderId="0" xfId="0" applyFont="1" applyAlignment="1">
      <alignment horizontal="center" vertical="center" wrapText="1"/>
    </xf>
    <xf numFmtId="0" fontId="0" fillId="0" borderId="0" xfId="0" applyAlignment="1">
      <alignment vertical="top" wrapText="1"/>
    </xf>
    <xf numFmtId="191" fontId="0" fillId="9" borderId="1" xfId="38" applyNumberFormat="1" applyFont="1" applyFill="1" applyBorder="1" applyAlignment="1">
      <alignment vertical="center" wrapText="1"/>
    </xf>
    <xf numFmtId="191" fontId="0" fillId="0" borderId="1" xfId="38" applyNumberFormat="1" applyFont="1" applyBorder="1" applyAlignment="1">
      <alignment vertical="center" wrapText="1"/>
    </xf>
    <xf numFmtId="191" fontId="0" fillId="4" borderId="1" xfId="38" applyNumberFormat="1" applyFont="1" applyFill="1" applyBorder="1" applyAlignment="1">
      <alignment vertical="center" wrapText="1"/>
    </xf>
    <xf numFmtId="191" fontId="8" fillId="4" borderId="1" xfId="38" applyNumberFormat="1" applyFont="1" applyFill="1" applyBorder="1" applyAlignment="1">
      <alignment vertical="center" wrapText="1"/>
    </xf>
    <xf numFmtId="191" fontId="8" fillId="0" borderId="1" xfId="38" applyNumberFormat="1" applyFont="1" applyBorder="1" applyAlignment="1">
      <alignment vertical="center" wrapText="1"/>
    </xf>
    <xf numFmtId="0" fontId="0" fillId="4" borderId="0" xfId="0" applyFill="1"/>
    <xf numFmtId="17" fontId="11" fillId="8" borderId="1" xfId="0" applyNumberFormat="1" applyFont="1" applyFill="1" applyBorder="1" applyAlignment="1">
      <alignment horizontal="center" vertical="center" wrapText="1"/>
    </xf>
    <xf numFmtId="0" fontId="11" fillId="16" borderId="1" xfId="0" applyFont="1" applyFill="1" applyBorder="1" applyAlignment="1">
      <alignment horizontal="center" vertical="center" wrapText="1"/>
    </xf>
    <xf numFmtId="0" fontId="119" fillId="0" borderId="0" xfId="0" applyFont="1" applyAlignment="1">
      <alignment horizontal="center" vertical="center"/>
    </xf>
    <xf numFmtId="0" fontId="119" fillId="0" borderId="0" xfId="0" applyFont="1" applyAlignment="1">
      <alignment horizontal="center" vertical="center"/>
      <extLst>
        <ext xmlns:xfpb="http://schemas.microsoft.com/office/spreadsheetml/2022/featurepropertybag" uri="{C7286773-470A-42A8-94C5-96B5CB345126}">
          <xfpb:xfComplement i="0"/>
        </ext>
      </extLst>
    </xf>
    <xf numFmtId="0" fontId="119" fillId="0" borderId="0" xfId="0" applyFont="1" applyAlignment="1">
      <alignment horizontal="left" vertical="center"/>
    </xf>
    <xf numFmtId="0" fontId="119" fillId="0" borderId="0" xfId="0" applyFont="1" applyAlignment="1">
      <alignment horizontal="right" vertical="center"/>
    </xf>
    <xf numFmtId="0" fontId="120" fillId="13" borderId="1" xfId="0" applyFont="1" applyFill="1" applyBorder="1" applyAlignment="1">
      <alignment horizontal="left" vertical="center"/>
    </xf>
    <xf numFmtId="0" fontId="9" fillId="13" borderId="17" xfId="0" applyFont="1" applyFill="1" applyBorder="1" applyAlignment="1">
      <alignment horizontal="left" vertical="center"/>
    </xf>
    <xf numFmtId="0" fontId="12" fillId="8" borderId="0" xfId="0" applyFont="1" applyFill="1" applyAlignment="1">
      <alignment horizontal="center" vertical="center" wrapText="1"/>
    </xf>
    <xf numFmtId="0" fontId="0" fillId="0" borderId="0" xfId="0" applyAlignment="1">
      <alignment horizontal="center" vertical="center" wrapText="1"/>
    </xf>
    <xf numFmtId="15" fontId="0" fillId="0" borderId="0" xfId="0" applyNumberFormat="1" applyAlignment="1">
      <alignment horizontal="center" vertical="center"/>
    </xf>
    <xf numFmtId="0" fontId="9" fillId="13" borderId="0" xfId="0" applyFont="1" applyFill="1" applyAlignment="1">
      <alignment horizontal="left" vertical="center"/>
    </xf>
    <xf numFmtId="0" fontId="120" fillId="13" borderId="0" xfId="0" applyFont="1" applyFill="1" applyAlignment="1">
      <alignment horizontal="left" vertical="center"/>
    </xf>
    <xf numFmtId="0" fontId="0" fillId="0" borderId="1" xfId="0" applyBorder="1" applyAlignment="1">
      <alignment horizontal="center" vertical="center" wrapText="1"/>
    </xf>
    <xf numFmtId="0" fontId="5" fillId="0" borderId="1" xfId="35" applyFont="1" applyBorder="1" applyAlignment="1">
      <alignment horizontal="center" vertical="center" wrapText="1"/>
    </xf>
    <xf numFmtId="188" fontId="5" fillId="0" borderId="1" xfId="35" applyNumberFormat="1" applyFont="1" applyBorder="1" applyAlignment="1">
      <alignment horizontal="center" vertical="center" wrapText="1"/>
    </xf>
    <xf numFmtId="0" fontId="5" fillId="0" borderId="1" xfId="35" applyFont="1" applyBorder="1" applyAlignment="1">
      <alignment horizontal="left" vertical="center" wrapText="1"/>
    </xf>
    <xf numFmtId="0" fontId="5" fillId="0" borderId="1" xfId="35" applyFont="1" applyBorder="1" applyAlignment="1">
      <alignment vertical="center" wrapText="1"/>
    </xf>
    <xf numFmtId="14" fontId="5" fillId="0" borderId="1" xfId="35" applyNumberFormat="1" applyFont="1" applyBorder="1" applyAlignment="1">
      <alignment horizontal="center" vertical="center" wrapText="1"/>
    </xf>
    <xf numFmtId="0" fontId="33" fillId="0" borderId="1" xfId="35" applyFont="1" applyBorder="1" applyAlignment="1">
      <alignment horizontal="center" vertical="center" wrapText="1"/>
    </xf>
    <xf numFmtId="189" fontId="5" fillId="0" borderId="1" xfId="35" applyNumberFormat="1" applyFont="1" applyBorder="1" applyAlignment="1">
      <alignment horizontal="center" vertical="center" wrapText="1"/>
    </xf>
    <xf numFmtId="0" fontId="39" fillId="0" borderId="1" xfId="35" applyFont="1" applyBorder="1" applyAlignment="1">
      <alignment horizontal="center" vertical="center" wrapText="1"/>
    </xf>
    <xf numFmtId="189" fontId="5" fillId="0" borderId="17" xfId="35" applyNumberFormat="1" applyFont="1" applyBorder="1" applyAlignment="1">
      <alignment horizontal="center" vertical="center" wrapText="1"/>
    </xf>
    <xf numFmtId="0" fontId="5" fillId="0" borderId="17" xfId="35" applyFont="1" applyBorder="1" applyAlignment="1">
      <alignment horizontal="center" vertical="center" wrapText="1"/>
    </xf>
    <xf numFmtId="0" fontId="5" fillId="0" borderId="17" xfId="35" applyFont="1" applyBorder="1" applyAlignment="1">
      <alignment horizontal="left" vertical="center" wrapText="1"/>
    </xf>
    <xf numFmtId="0" fontId="5" fillId="0" borderId="0" xfId="35" applyFont="1" applyAlignment="1">
      <alignment vertical="center" wrapText="1"/>
    </xf>
    <xf numFmtId="0" fontId="5" fillId="0" borderId="1" xfId="35" quotePrefix="1" applyFont="1" applyBorder="1" applyAlignment="1">
      <alignment horizontal="left" vertical="top" wrapText="1"/>
    </xf>
    <xf numFmtId="0" fontId="5" fillId="0" borderId="1" xfId="35" applyFont="1" applyBorder="1" applyAlignment="1">
      <alignment vertical="top" wrapText="1"/>
    </xf>
    <xf numFmtId="0" fontId="124" fillId="0" borderId="1" xfId="35" applyFont="1" applyBorder="1" applyAlignment="1">
      <alignment horizontal="left" vertical="top" wrapText="1"/>
    </xf>
    <xf numFmtId="0" fontId="5" fillId="0" borderId="0" xfId="35" applyFont="1" applyAlignment="1">
      <alignment horizontal="left" vertical="top" wrapText="1"/>
    </xf>
    <xf numFmtId="0" fontId="5" fillId="0" borderId="5" xfId="35" applyFont="1" applyBorder="1" applyAlignment="1">
      <alignment horizontal="center" vertical="center" wrapText="1"/>
    </xf>
    <xf numFmtId="0" fontId="5" fillId="0" borderId="5" xfId="35" applyFont="1" applyBorder="1" applyAlignment="1">
      <alignment horizontal="left" vertical="center" wrapText="1"/>
    </xf>
    <xf numFmtId="0" fontId="5" fillId="0" borderId="5" xfId="35" applyFont="1" applyBorder="1" applyAlignment="1">
      <alignment horizontal="left" vertical="top" wrapText="1"/>
    </xf>
    <xf numFmtId="0" fontId="126" fillId="0" borderId="1" xfId="35" applyFont="1" applyBorder="1" applyAlignment="1">
      <alignment horizontal="left" vertical="top" wrapText="1"/>
    </xf>
    <xf numFmtId="0" fontId="33" fillId="0" borderId="1" xfId="35" applyFont="1" applyBorder="1" applyAlignment="1">
      <alignment horizontal="left" vertical="center" wrapText="1"/>
    </xf>
    <xf numFmtId="0" fontId="33" fillId="0" borderId="1" xfId="35" applyFont="1" applyBorder="1" applyAlignment="1">
      <alignment horizontal="left" vertical="top" wrapText="1"/>
    </xf>
    <xf numFmtId="0" fontId="5" fillId="0" borderId="0" xfId="35" applyFont="1" applyAlignment="1">
      <alignment horizontal="left" vertical="center" wrapText="1"/>
    </xf>
    <xf numFmtId="0" fontId="5" fillId="0" borderId="7" xfId="35" applyFont="1" applyBorder="1" applyAlignment="1">
      <alignment horizontal="left" vertical="top" wrapText="1"/>
    </xf>
    <xf numFmtId="16" fontId="5" fillId="0" borderId="1" xfId="35" applyNumberFormat="1" applyFont="1" applyBorder="1" applyAlignment="1">
      <alignment horizontal="center" vertical="center" wrapText="1"/>
    </xf>
    <xf numFmtId="0" fontId="33" fillId="0" borderId="5" xfId="35" applyFont="1" applyBorder="1" applyAlignment="1">
      <alignment horizontal="center" vertical="center" wrapText="1"/>
    </xf>
    <xf numFmtId="0" fontId="33" fillId="0" borderId="5" xfId="35" applyFont="1" applyBorder="1" applyAlignment="1">
      <alignment horizontal="left" vertical="center" wrapText="1"/>
    </xf>
    <xf numFmtId="0" fontId="33" fillId="0" borderId="5" xfId="35" applyFont="1" applyBorder="1" applyAlignment="1">
      <alignment horizontal="left" vertical="top" wrapText="1"/>
    </xf>
    <xf numFmtId="0" fontId="33" fillId="0" borderId="17" xfId="35" applyFont="1" applyBorder="1" applyAlignment="1">
      <alignment horizontal="center" vertical="center" wrapText="1"/>
    </xf>
    <xf numFmtId="0" fontId="33" fillId="0" borderId="17" xfId="35" applyFont="1" applyBorder="1" applyAlignment="1">
      <alignment horizontal="left" vertical="center" wrapText="1"/>
    </xf>
    <xf numFmtId="0" fontId="33" fillId="0" borderId="17" xfId="35" applyFont="1" applyBorder="1" applyAlignment="1">
      <alignment horizontal="left" vertical="top" wrapText="1"/>
    </xf>
    <xf numFmtId="0" fontId="33" fillId="0" borderId="1" xfId="35" quotePrefix="1" applyFont="1" applyBorder="1" applyAlignment="1">
      <alignment horizontal="left" vertical="top" wrapText="1"/>
    </xf>
    <xf numFmtId="0" fontId="35" fillId="0" borderId="1" xfId="35" applyFont="1" applyBorder="1" applyAlignment="1">
      <alignment horizontal="center" vertical="center" wrapText="1"/>
    </xf>
    <xf numFmtId="0" fontId="126" fillId="0" borderId="1" xfId="35" applyFont="1" applyBorder="1" applyAlignment="1">
      <alignment horizontal="center" vertical="center" wrapText="1"/>
    </xf>
    <xf numFmtId="0" fontId="33" fillId="0" borderId="0" xfId="35" applyFont="1" applyAlignment="1">
      <alignment horizontal="left" vertical="center" wrapText="1"/>
    </xf>
    <xf numFmtId="0" fontId="33" fillId="0" borderId="0" xfId="35" applyFont="1" applyAlignment="1">
      <alignment horizontal="center" vertical="center" wrapText="1"/>
    </xf>
    <xf numFmtId="0" fontId="33" fillId="0" borderId="0" xfId="35" applyFont="1" applyAlignment="1">
      <alignment horizontal="left" vertical="top" wrapText="1"/>
    </xf>
    <xf numFmtId="191" fontId="0" fillId="3" borderId="1" xfId="38" applyNumberFormat="1" applyFont="1" applyFill="1" applyBorder="1" applyAlignment="1">
      <alignment vertical="center" wrapText="1"/>
    </xf>
    <xf numFmtId="191" fontId="8" fillId="3" borderId="1" xfId="38" applyNumberFormat="1" applyFont="1" applyFill="1" applyBorder="1" applyAlignment="1">
      <alignment vertical="center" wrapText="1"/>
    </xf>
    <xf numFmtId="0" fontId="15" fillId="0" borderId="62" xfId="0" applyFont="1" applyBorder="1" applyAlignment="1">
      <alignment horizontal="center" vertical="center"/>
      <extLst>
        <ext xmlns:xfpb="http://schemas.microsoft.com/office/spreadsheetml/2022/featurepropertybag" uri="{C7286773-470A-42A8-94C5-96B5CB345126}">
          <xfpb:xfComplement i="0"/>
        </ext>
      </extLst>
    </xf>
    <xf numFmtId="0" fontId="13" fillId="0" borderId="62" xfId="0" applyFont="1" applyBorder="1" applyAlignment="1">
      <alignment horizontal="center" vertical="center"/>
      <extLst>
        <ext xmlns:xfpb="http://schemas.microsoft.com/office/spreadsheetml/2022/featurepropertybag" uri="{C7286773-470A-42A8-94C5-96B5CB345126}">
          <xfpb:xfComplement i="0"/>
        </ext>
      </extLst>
    </xf>
    <xf numFmtId="0" fontId="13" fillId="0" borderId="62" xfId="0" applyFont="1" applyBorder="1" applyAlignment="1">
      <alignment horizontal="center" vertical="center"/>
    </xf>
    <xf numFmtId="0" fontId="13" fillId="0" borderId="43" xfId="0" applyFont="1" applyBorder="1" applyAlignment="1">
      <alignment horizontal="center" vertical="center"/>
    </xf>
    <xf numFmtId="0" fontId="15" fillId="0" borderId="59" xfId="0" applyFont="1" applyBorder="1" applyAlignment="1">
      <alignment horizontal="center" vertical="center"/>
      <extLst>
        <ext xmlns:xfpb="http://schemas.microsoft.com/office/spreadsheetml/2022/featurepropertybag" uri="{C7286773-470A-42A8-94C5-96B5CB345126}">
          <xfpb:xfComplement i="0"/>
        </ext>
      </extLst>
    </xf>
    <xf numFmtId="0" fontId="14" fillId="0" borderId="59" xfId="0" applyFont="1" applyBorder="1" applyAlignment="1">
      <alignment horizontal="center" vertical="center"/>
    </xf>
    <xf numFmtId="0" fontId="16" fillId="0" borderId="59" xfId="0" applyFont="1" applyBorder="1" applyAlignment="1">
      <alignment horizontal="center" vertical="center"/>
    </xf>
    <xf numFmtId="0" fontId="16" fillId="0" borderId="41" xfId="0" applyFont="1" applyBorder="1" applyAlignment="1">
      <alignment horizontal="center" vertical="center"/>
    </xf>
    <xf numFmtId="0" fontId="15" fillId="0" borderId="41" xfId="0" applyFont="1" applyBorder="1" applyAlignment="1">
      <alignment horizontal="center" vertical="center"/>
      <extLst>
        <ext xmlns:xfpb="http://schemas.microsoft.com/office/spreadsheetml/2022/featurepropertybag" uri="{C7286773-470A-42A8-94C5-96B5CB345126}">
          <xfpb:xfComplement i="0"/>
        </ext>
      </extLst>
    </xf>
    <xf numFmtId="0" fontId="13" fillId="0" borderId="59" xfId="0" applyFont="1" applyBorder="1" applyAlignment="1">
      <alignment horizontal="center" vertical="center"/>
      <extLst>
        <ext xmlns:xfpb="http://schemas.microsoft.com/office/spreadsheetml/2022/featurepropertybag" uri="{C7286773-470A-42A8-94C5-96B5CB345126}">
          <xfpb:xfComplement i="0"/>
        </ext>
      </extLst>
    </xf>
    <xf numFmtId="0" fontId="13" fillId="6" borderId="42" xfId="0" applyFont="1" applyFill="1" applyBorder="1" applyAlignment="1">
      <alignment horizontal="center" vertical="center"/>
      <extLst>
        <ext xmlns:xfpb="http://schemas.microsoft.com/office/spreadsheetml/2022/featurepropertybag" uri="{C7286773-470A-42A8-94C5-96B5CB345126}">
          <xfpb:xfComplement i="0"/>
        </ext>
      </extLst>
    </xf>
    <xf numFmtId="0" fontId="114" fillId="6" borderId="61" xfId="0" applyFont="1" applyFill="1" applyBorder="1" applyAlignment="1">
      <alignment horizontal="center" vertical="center"/>
    </xf>
    <xf numFmtId="0" fontId="13" fillId="0" borderId="117" xfId="0" applyFont="1" applyBorder="1" applyAlignment="1">
      <alignment horizontal="center" vertical="center"/>
    </xf>
    <xf numFmtId="0" fontId="13" fillId="0" borderId="117" xfId="0" applyFont="1" applyBorder="1" applyAlignment="1">
      <alignment horizontal="center" vertical="center"/>
      <extLst>
        <ext xmlns:xfpb="http://schemas.microsoft.com/office/spreadsheetml/2022/featurepropertybag" uri="{C7286773-470A-42A8-94C5-96B5CB345126}">
          <xfpb:xfComplement i="0"/>
        </ext>
      </extLst>
    </xf>
    <xf numFmtId="0" fontId="13" fillId="0" borderId="118" xfId="0" applyFont="1" applyBorder="1" applyAlignment="1">
      <alignment horizontal="center" vertical="center"/>
    </xf>
    <xf numFmtId="0" fontId="114" fillId="6" borderId="117" xfId="0" applyFont="1" applyFill="1" applyBorder="1" applyAlignment="1">
      <alignment horizontal="center" vertical="center"/>
    </xf>
    <xf numFmtId="0" fontId="13" fillId="6" borderId="117" xfId="0" applyFont="1" applyFill="1" applyBorder="1" applyAlignment="1">
      <alignment horizontal="center" vertical="center"/>
      <extLst>
        <ext xmlns:xfpb="http://schemas.microsoft.com/office/spreadsheetml/2022/featurepropertybag" uri="{C7286773-470A-42A8-94C5-96B5CB345126}">
          <xfpb:xfComplement i="0"/>
        </ext>
      </extLst>
    </xf>
    <xf numFmtId="0" fontId="9" fillId="0" borderId="4" xfId="0" applyFont="1" applyBorder="1" applyAlignment="1">
      <alignment horizontal="center" vertical="center" wrapText="1"/>
    </xf>
    <xf numFmtId="0" fontId="9" fillId="0" borderId="0" xfId="0" applyFont="1" applyAlignment="1">
      <alignment horizontal="left" vertical="center" wrapText="1"/>
    </xf>
    <xf numFmtId="0" fontId="0" fillId="0" borderId="0" xfId="0" applyAlignment="1">
      <alignment horizontal="right" vertical="center"/>
    </xf>
    <xf numFmtId="0" fontId="129" fillId="27" borderId="24" xfId="43" applyFont="1" applyFill="1" applyBorder="1" applyAlignment="1">
      <alignment horizontal="center" vertical="center"/>
    </xf>
    <xf numFmtId="0" fontId="130" fillId="27" borderId="116" xfId="43" applyFont="1" applyFill="1" applyBorder="1" applyAlignment="1">
      <alignment horizontal="center" vertical="center"/>
    </xf>
    <xf numFmtId="0" fontId="129" fillId="0" borderId="0" xfId="43" applyFont="1">
      <alignment vertical="center"/>
    </xf>
    <xf numFmtId="0" fontId="129" fillId="27" borderId="40" xfId="43" quotePrefix="1" applyFont="1" applyFill="1" applyBorder="1" applyAlignment="1">
      <alignment horizontal="center" vertical="center"/>
    </xf>
    <xf numFmtId="0" fontId="130" fillId="0" borderId="16" xfId="43" applyFont="1" applyBorder="1">
      <alignment vertical="center"/>
    </xf>
    <xf numFmtId="0" fontId="129" fillId="27" borderId="33" xfId="43" quotePrefix="1" applyFont="1" applyFill="1" applyBorder="1" applyAlignment="1">
      <alignment horizontal="center" vertical="center"/>
    </xf>
    <xf numFmtId="0" fontId="131" fillId="0" borderId="9" xfId="43" applyFont="1" applyBorder="1">
      <alignment vertical="center"/>
    </xf>
    <xf numFmtId="0" fontId="130" fillId="0" borderId="9" xfId="43" applyFont="1" applyBorder="1">
      <alignment vertical="center"/>
    </xf>
    <xf numFmtId="0" fontId="129" fillId="0" borderId="9" xfId="43" applyFont="1" applyBorder="1">
      <alignment vertical="center"/>
    </xf>
    <xf numFmtId="0" fontId="129" fillId="27" borderId="34" xfId="43" quotePrefix="1" applyFont="1" applyFill="1" applyBorder="1" applyAlignment="1">
      <alignment horizontal="center" vertical="center"/>
    </xf>
    <xf numFmtId="0" fontId="129" fillId="0" borderId="0" xfId="43" applyFont="1" applyAlignment="1">
      <alignment horizontal="center" vertical="center"/>
    </xf>
    <xf numFmtId="0" fontId="126" fillId="0" borderId="0" xfId="35" applyFont="1" applyAlignment="1">
      <alignment horizontal="left" vertical="top" wrapText="1"/>
    </xf>
    <xf numFmtId="0" fontId="33" fillId="0" borderId="0" xfId="35" quotePrefix="1" applyFont="1" applyAlignment="1">
      <alignment horizontal="left" vertical="center" wrapText="1"/>
    </xf>
    <xf numFmtId="0" fontId="131" fillId="0" borderId="34" xfId="43" applyFont="1" applyBorder="1">
      <alignment vertical="center"/>
    </xf>
    <xf numFmtId="0" fontId="126" fillId="0" borderId="0" xfId="35" applyFont="1" applyAlignment="1">
      <alignment horizontal="center" vertical="center" wrapText="1"/>
    </xf>
    <xf numFmtId="0" fontId="16" fillId="0" borderId="0" xfId="0" applyFont="1" applyAlignment="1">
      <alignment horizontal="center" vertical="center"/>
    </xf>
    <xf numFmtId="0" fontId="15" fillId="0" borderId="59" xfId="0" applyFont="1" applyBorder="1" applyAlignment="1">
      <alignment horizontal="center" vertical="center"/>
    </xf>
    <xf numFmtId="0" fontId="79" fillId="5" borderId="0" xfId="33" applyFont="1" applyFill="1">
      <alignment vertical="center"/>
    </xf>
    <xf numFmtId="0" fontId="79" fillId="6" borderId="0" xfId="33" applyFont="1" applyFill="1">
      <alignment vertical="center"/>
    </xf>
    <xf numFmtId="0" fontId="79" fillId="3" borderId="0" xfId="33" applyFont="1" applyFill="1">
      <alignment vertical="center"/>
    </xf>
    <xf numFmtId="0" fontId="79" fillId="28" borderId="0" xfId="33" applyFont="1" applyFill="1">
      <alignment vertical="center"/>
    </xf>
    <xf numFmtId="0" fontId="79" fillId="29" borderId="0" xfId="33" applyFont="1" applyFill="1">
      <alignment vertical="center"/>
    </xf>
    <xf numFmtId="0" fontId="35" fillId="0" borderId="15" xfId="0" applyFont="1" applyBorder="1" applyAlignment="1">
      <alignment vertical="center" wrapText="1"/>
    </xf>
    <xf numFmtId="0" fontId="35" fillId="0" borderId="15" xfId="0" applyFont="1" applyBorder="1" applyAlignment="1">
      <alignment horizontal="center" vertical="center" wrapText="1"/>
    </xf>
    <xf numFmtId="0" fontId="134" fillId="30" borderId="0" xfId="0" applyFont="1" applyFill="1" applyAlignment="1">
      <alignment horizontal="center" vertical="center" wrapText="1"/>
    </xf>
    <xf numFmtId="0" fontId="35" fillId="0" borderId="22" xfId="0" applyFont="1" applyBorder="1" applyAlignment="1">
      <alignment vertical="center" wrapText="1"/>
    </xf>
    <xf numFmtId="0" fontId="35" fillId="0" borderId="22" xfId="0" applyFont="1" applyBorder="1" applyAlignment="1">
      <alignment horizontal="center" vertical="center" wrapText="1"/>
    </xf>
    <xf numFmtId="0" fontId="35" fillId="0" borderId="0" xfId="0" applyFont="1" applyAlignment="1">
      <alignment vertical="center" wrapText="1"/>
    </xf>
    <xf numFmtId="0" fontId="35" fillId="0" borderId="0" xfId="0" applyFont="1" applyAlignment="1">
      <alignment horizontal="center" vertical="center" wrapText="1"/>
    </xf>
    <xf numFmtId="0" fontId="135" fillId="0" borderId="15" xfId="0" applyFont="1" applyBorder="1" applyAlignment="1">
      <alignment vertical="center" wrapText="1"/>
    </xf>
    <xf numFmtId="0" fontId="11" fillId="8" borderId="7" xfId="0" applyFont="1" applyFill="1" applyBorder="1" applyAlignment="1">
      <alignment horizontal="center" vertical="center"/>
    </xf>
    <xf numFmtId="14" fontId="0" fillId="0" borderId="0" xfId="0" applyNumberFormat="1" applyAlignment="1">
      <alignment horizontal="center" vertical="center" wrapText="1"/>
    </xf>
    <xf numFmtId="14" fontId="12" fillId="8" borderId="0" xfId="0" applyNumberFormat="1" applyFont="1" applyFill="1" applyAlignment="1">
      <alignment horizontal="center" vertical="center" wrapText="1"/>
    </xf>
    <xf numFmtId="0" fontId="12" fillId="8" borderId="0" xfId="0" applyFont="1" applyFill="1" applyAlignment="1">
      <alignment horizontal="left" vertical="center" wrapText="1"/>
    </xf>
    <xf numFmtId="0" fontId="31" fillId="0" borderId="1" xfId="0" applyFont="1" applyBorder="1" applyAlignment="1">
      <alignment horizontal="center" vertical="center" wrapText="1"/>
    </xf>
    <xf numFmtId="0" fontId="0" fillId="7" borderId="1" xfId="0" applyFill="1" applyBorder="1" applyAlignment="1">
      <alignment horizontal="center" vertical="center" wrapText="1"/>
    </xf>
    <xf numFmtId="0" fontId="0" fillId="7" borderId="1" xfId="0" applyFill="1" applyBorder="1" applyAlignment="1">
      <alignment vertical="center" wrapText="1"/>
    </xf>
    <xf numFmtId="0" fontId="10" fillId="7" borderId="1" xfId="3" applyFill="1" applyBorder="1" applyAlignment="1">
      <alignment horizontal="center" vertical="center" wrapText="1"/>
    </xf>
    <xf numFmtId="14" fontId="0" fillId="7" borderId="1" xfId="0" applyNumberFormat="1" applyFill="1" applyBorder="1" applyAlignment="1">
      <alignment horizontal="center" vertical="center" wrapText="1"/>
    </xf>
    <xf numFmtId="0" fontId="0" fillId="7" borderId="1" xfId="0" applyFill="1" applyBorder="1" applyAlignment="1">
      <alignment horizontal="left" vertical="center" wrapText="1"/>
    </xf>
    <xf numFmtId="0" fontId="31" fillId="7" borderId="1" xfId="0" applyFont="1" applyFill="1" applyBorder="1" applyAlignment="1">
      <alignment horizontal="center" vertical="center" wrapText="1"/>
    </xf>
    <xf numFmtId="0" fontId="0" fillId="0" borderId="1" xfId="0" applyBorder="1" applyAlignment="1">
      <alignment vertical="center" wrapText="1"/>
    </xf>
    <xf numFmtId="0" fontId="10" fillId="0" borderId="1" xfId="3" applyFill="1" applyBorder="1" applyAlignment="1">
      <alignment horizontal="center" vertical="center" wrapText="1"/>
    </xf>
    <xf numFmtId="14" fontId="0" fillId="0" borderId="1" xfId="0" applyNumberFormat="1" applyBorder="1" applyAlignment="1">
      <alignment horizontal="center" vertical="center" wrapText="1"/>
    </xf>
    <xf numFmtId="14" fontId="0" fillId="6" borderId="1" xfId="0" applyNumberFormat="1" applyFill="1" applyBorder="1" applyAlignment="1">
      <alignment horizontal="center" vertical="center" wrapText="1"/>
    </xf>
    <xf numFmtId="0" fontId="9" fillId="0" borderId="1" xfId="0" applyFont="1" applyBorder="1" applyAlignment="1">
      <alignment horizontal="left" vertical="top" wrapText="1"/>
    </xf>
    <xf numFmtId="0" fontId="10" fillId="0" borderId="1" xfId="3" applyBorder="1" applyAlignment="1">
      <alignment horizontal="center" vertical="center" wrapText="1"/>
    </xf>
    <xf numFmtId="14" fontId="31" fillId="0" borderId="1" xfId="0" applyNumberFormat="1" applyFont="1" applyBorder="1" applyAlignment="1">
      <alignment horizontal="center" vertical="center" wrapText="1"/>
    </xf>
    <xf numFmtId="0" fontId="136" fillId="0" borderId="1" xfId="0" applyFont="1" applyBorder="1" applyAlignment="1">
      <alignment horizontal="left" vertical="top" wrapText="1"/>
    </xf>
    <xf numFmtId="0" fontId="31" fillId="0" borderId="1" xfId="0" applyFont="1" applyBorder="1" applyAlignment="1">
      <alignment vertical="top" wrapText="1"/>
    </xf>
    <xf numFmtId="0" fontId="31" fillId="0" borderId="1" xfId="0" applyFont="1" applyBorder="1" applyAlignment="1">
      <alignment horizontal="left" vertical="top" wrapText="1"/>
    </xf>
    <xf numFmtId="0" fontId="33" fillId="0" borderId="1" xfId="0" applyFont="1" applyBorder="1" applyAlignment="1">
      <alignment horizontal="left" vertical="top" wrapText="1"/>
    </xf>
    <xf numFmtId="14" fontId="31" fillId="0" borderId="1" xfId="0" applyNumberFormat="1" applyFont="1" applyBorder="1" applyAlignment="1">
      <alignment horizontal="left" vertical="top" wrapText="1"/>
    </xf>
    <xf numFmtId="0" fontId="31" fillId="0" borderId="17" xfId="0" applyFont="1" applyBorder="1" applyAlignment="1">
      <alignment horizontal="center" vertical="center" wrapText="1"/>
    </xf>
    <xf numFmtId="0" fontId="0" fillId="7" borderId="17" xfId="0" applyFill="1" applyBorder="1" applyAlignment="1">
      <alignment horizontal="center" vertical="center" wrapText="1"/>
    </xf>
    <xf numFmtId="0" fontId="31" fillId="0" borderId="17" xfId="0" applyFont="1" applyBorder="1" applyAlignment="1">
      <alignment vertical="top" wrapText="1"/>
    </xf>
    <xf numFmtId="0" fontId="10" fillId="0" borderId="17" xfId="3" applyBorder="1" applyAlignment="1">
      <alignment horizontal="center" vertical="center" wrapText="1"/>
    </xf>
    <xf numFmtId="14" fontId="31" fillId="0" borderId="17" xfId="0" applyNumberFormat="1" applyFont="1" applyBorder="1" applyAlignment="1">
      <alignment horizontal="center" vertical="center" wrapText="1"/>
    </xf>
    <xf numFmtId="0" fontId="31" fillId="0" borderId="17" xfId="0" applyFont="1" applyBorder="1" applyAlignment="1">
      <alignment horizontal="left" vertical="top" wrapText="1"/>
    </xf>
    <xf numFmtId="0" fontId="0" fillId="0" borderId="17" xfId="0" applyBorder="1" applyAlignment="1">
      <alignment horizontal="center" vertical="center" wrapText="1"/>
    </xf>
    <xf numFmtId="0" fontId="31" fillId="0" borderId="2" xfId="0" applyFont="1" applyBorder="1" applyAlignment="1">
      <alignment horizontal="center" vertical="center" wrapText="1"/>
    </xf>
    <xf numFmtId="0" fontId="10" fillId="0" borderId="26" xfId="3" applyBorder="1" applyAlignment="1">
      <alignment horizontal="center" vertical="center" wrapText="1"/>
    </xf>
    <xf numFmtId="14" fontId="31" fillId="0" borderId="26" xfId="0" applyNumberFormat="1" applyFont="1" applyBorder="1" applyAlignment="1">
      <alignment horizontal="center" vertical="center" wrapText="1"/>
    </xf>
    <xf numFmtId="0" fontId="31" fillId="6" borderId="26" xfId="0" applyFont="1" applyFill="1" applyBorder="1" applyAlignment="1">
      <alignment horizontal="left" vertical="center" wrapText="1"/>
    </xf>
    <xf numFmtId="14" fontId="0" fillId="0" borderId="26" xfId="0" applyNumberFormat="1" applyBorder="1" applyAlignment="1">
      <alignment horizontal="center" vertical="center" wrapText="1"/>
    </xf>
    <xf numFmtId="0" fontId="10" fillId="0" borderId="26" xfId="3" applyBorder="1" applyAlignment="1">
      <alignment horizontal="left" vertical="center" wrapText="1"/>
    </xf>
    <xf numFmtId="0" fontId="0" fillId="3" borderId="26" xfId="0" applyFill="1" applyBorder="1" applyAlignment="1">
      <alignment horizontal="left" vertical="center" wrapText="1"/>
    </xf>
    <xf numFmtId="192" fontId="0" fillId="0" borderId="0" xfId="0" applyNumberFormat="1" applyAlignment="1">
      <alignment vertical="center"/>
    </xf>
    <xf numFmtId="0" fontId="41" fillId="0" borderId="0" xfId="0" applyFont="1" applyAlignment="1">
      <alignment vertical="center"/>
    </xf>
    <xf numFmtId="192" fontId="11" fillId="8" borderId="1" xfId="0" applyNumberFormat="1" applyFont="1" applyFill="1" applyBorder="1" applyAlignment="1">
      <alignment horizontal="center" vertical="center"/>
    </xf>
    <xf numFmtId="0" fontId="31" fillId="0" borderId="1" xfId="0" applyFont="1" applyBorder="1" applyAlignment="1">
      <alignment vertical="center" wrapText="1"/>
    </xf>
    <xf numFmtId="192" fontId="0" fillId="0" borderId="1" xfId="0" applyNumberFormat="1" applyBorder="1" applyAlignment="1">
      <alignment vertical="center"/>
    </xf>
    <xf numFmtId="0" fontId="41" fillId="0" borderId="1" xfId="0" applyFont="1" applyBorder="1" applyAlignment="1">
      <alignment vertical="center" wrapText="1"/>
    </xf>
    <xf numFmtId="0" fontId="41" fillId="0" borderId="1" xfId="0" applyFont="1" applyBorder="1" applyAlignment="1">
      <alignment horizontal="center" vertical="center" wrapText="1"/>
    </xf>
    <xf numFmtId="0" fontId="57" fillId="0" borderId="1" xfId="0" applyFont="1" applyBorder="1" applyAlignment="1">
      <alignment vertical="center" wrapText="1"/>
    </xf>
    <xf numFmtId="0" fontId="57" fillId="0" borderId="1" xfId="0" applyFont="1" applyBorder="1" applyAlignment="1">
      <alignment horizontal="center" vertical="center" wrapText="1"/>
    </xf>
    <xf numFmtId="0" fontId="0" fillId="3" borderId="1" xfId="0" applyFill="1" applyBorder="1" applyAlignment="1">
      <alignment vertical="center" wrapText="1"/>
    </xf>
    <xf numFmtId="0" fontId="31" fillId="0" borderId="1" xfId="3" applyFont="1" applyBorder="1" applyAlignment="1">
      <alignment vertical="center"/>
    </xf>
    <xf numFmtId="192" fontId="0" fillId="0" borderId="1" xfId="0" applyNumberFormat="1" applyBorder="1" applyAlignment="1">
      <alignment horizontal="left" vertical="center"/>
    </xf>
    <xf numFmtId="0" fontId="41" fillId="0" borderId="1" xfId="0" applyFont="1" applyBorder="1" applyAlignment="1">
      <alignment horizontal="left" vertical="center" wrapText="1"/>
    </xf>
    <xf numFmtId="0" fontId="31" fillId="0" borderId="1" xfId="0" applyFont="1" applyBorder="1" applyAlignment="1">
      <alignment vertical="center"/>
    </xf>
    <xf numFmtId="0" fontId="0" fillId="0" borderId="1" xfId="0" applyBorder="1" applyAlignment="1">
      <alignment horizontal="left" vertical="top"/>
    </xf>
    <xf numFmtId="0" fontId="0" fillId="0" borderId="1" xfId="0" applyBorder="1" applyAlignment="1">
      <alignment horizontal="left" vertical="top" wrapText="1"/>
    </xf>
    <xf numFmtId="9" fontId="9" fillId="0" borderId="0" xfId="0" applyNumberFormat="1" applyFont="1"/>
    <xf numFmtId="0" fontId="9" fillId="0" borderId="0" xfId="0" applyFont="1" applyAlignment="1">
      <alignment horizontal="center" vertical="center" wrapText="1"/>
    </xf>
    <xf numFmtId="0" fontId="9" fillId="0" borderId="0" xfId="0" applyFont="1" applyAlignment="1">
      <alignment horizontal="center" vertical="center" wrapText="1" readingOrder="1"/>
    </xf>
    <xf numFmtId="0" fontId="9" fillId="0" borderId="0" xfId="0" applyFont="1" applyAlignment="1">
      <alignment horizontal="center" vertical="top" wrapText="1"/>
    </xf>
    <xf numFmtId="0" fontId="9" fillId="0" borderId="0" xfId="0" applyFont="1" applyAlignment="1">
      <alignment horizontal="left" vertical="center" wrapText="1" readingOrder="1"/>
    </xf>
    <xf numFmtId="0" fontId="8" fillId="22" borderId="0" xfId="0" applyFont="1" applyFill="1" applyAlignment="1">
      <alignment vertical="center"/>
    </xf>
    <xf numFmtId="0" fontId="0" fillId="22" borderId="0" xfId="0" applyFill="1" applyAlignment="1">
      <alignment vertical="center"/>
    </xf>
    <xf numFmtId="0" fontId="141" fillId="12" borderId="0" xfId="0" applyFont="1" applyFill="1"/>
    <xf numFmtId="0" fontId="9" fillId="0" borderId="1" xfId="35" applyFont="1" applyBorder="1" applyAlignment="1">
      <alignment horizontal="center" vertical="center" wrapText="1"/>
      <extLst>
        <ext xmlns:xfpb="http://schemas.microsoft.com/office/spreadsheetml/2022/featurepropertybag" uri="{C7286773-470A-42A8-94C5-96B5CB345126}">
          <xfpb:xfComplement i="0"/>
        </ext>
      </extLst>
    </xf>
    <xf numFmtId="0" fontId="79" fillId="0" borderId="0" xfId="33" applyFont="1" applyAlignment="1">
      <alignment horizontal="left" vertical="center"/>
    </xf>
    <xf numFmtId="0" fontId="142" fillId="0" borderId="0" xfId="0" applyFont="1" applyAlignment="1">
      <alignment vertical="center" wrapText="1"/>
    </xf>
    <xf numFmtId="0" fontId="31" fillId="23" borderId="1" xfId="0" applyFont="1" applyFill="1" applyBorder="1" applyAlignment="1">
      <alignment horizontal="center" vertical="center"/>
    </xf>
    <xf numFmtId="0" fontId="28" fillId="23" borderId="1" xfId="0" applyFont="1" applyFill="1" applyBorder="1" applyAlignment="1">
      <alignment horizontal="left" vertical="center"/>
    </xf>
    <xf numFmtId="0" fontId="9" fillId="23" borderId="1" xfId="0" applyFont="1" applyFill="1" applyBorder="1" applyAlignment="1">
      <alignment horizontal="center"/>
    </xf>
    <xf numFmtId="0" fontId="11" fillId="8" borderId="48" xfId="0" applyFont="1" applyFill="1" applyBorder="1" applyAlignment="1">
      <alignment horizontal="center" vertical="center" wrapText="1"/>
    </xf>
    <xf numFmtId="0" fontId="11" fillId="8" borderId="19" xfId="0" applyFont="1" applyFill="1" applyBorder="1" applyAlignment="1">
      <alignment horizontal="center" vertical="center" wrapText="1"/>
    </xf>
    <xf numFmtId="49" fontId="106" fillId="19" borderId="48" xfId="0" applyNumberFormat="1" applyFont="1" applyFill="1" applyBorder="1" applyAlignment="1">
      <alignment horizontal="center" vertical="center"/>
    </xf>
    <xf numFmtId="49" fontId="106" fillId="8" borderId="48" xfId="0" applyNumberFormat="1" applyFont="1" applyFill="1" applyBorder="1" applyAlignment="1">
      <alignment horizontal="center" vertical="center"/>
    </xf>
    <xf numFmtId="49" fontId="106" fillId="19" borderId="119" xfId="0" applyNumberFormat="1" applyFont="1" applyFill="1" applyBorder="1" applyAlignment="1">
      <alignment horizontal="center" vertical="center"/>
    </xf>
    <xf numFmtId="49" fontId="106" fillId="8" borderId="119" xfId="0" applyNumberFormat="1" applyFont="1" applyFill="1" applyBorder="1" applyAlignment="1">
      <alignment horizontal="center" vertical="center"/>
    </xf>
    <xf numFmtId="49" fontId="106" fillId="8" borderId="13" xfId="0" applyNumberFormat="1" applyFont="1" applyFill="1" applyBorder="1" applyAlignment="1">
      <alignment horizontal="center" vertical="center"/>
    </xf>
    <xf numFmtId="49" fontId="106" fillId="19" borderId="13" xfId="0" applyNumberFormat="1" applyFont="1" applyFill="1" applyBorder="1" applyAlignment="1">
      <alignment horizontal="center" vertical="center"/>
    </xf>
    <xf numFmtId="0" fontId="11" fillId="8" borderId="46" xfId="0" applyFont="1" applyFill="1" applyBorder="1" applyAlignment="1">
      <alignment horizontal="center" vertical="center" wrapText="1"/>
    </xf>
    <xf numFmtId="0" fontId="115" fillId="8" borderId="120" xfId="0" applyFont="1" applyFill="1" applyBorder="1" applyAlignment="1">
      <alignment horizontal="center" vertical="center" wrapText="1"/>
    </xf>
    <xf numFmtId="0" fontId="60" fillId="31" borderId="121" xfId="0" applyFont="1" applyFill="1" applyBorder="1" applyAlignment="1">
      <alignment horizontal="left" vertical="center" wrapText="1"/>
    </xf>
    <xf numFmtId="0" fontId="9" fillId="31" borderId="121" xfId="0" applyFont="1" applyFill="1" applyBorder="1" applyAlignment="1">
      <alignment horizontal="center" vertical="center" wrapText="1"/>
    </xf>
    <xf numFmtId="0" fontId="60" fillId="0" borderId="121" xfId="0" applyFont="1" applyBorder="1" applyAlignment="1">
      <alignment horizontal="left" vertical="center" wrapText="1"/>
    </xf>
    <xf numFmtId="0" fontId="9" fillId="0" borderId="121" xfId="0" applyFont="1" applyBorder="1" applyAlignment="1">
      <alignment horizontal="center" vertical="center" wrapText="1"/>
    </xf>
    <xf numFmtId="0" fontId="60" fillId="31" borderId="121" xfId="35" applyFont="1" applyFill="1" applyBorder="1" applyAlignment="1">
      <alignment horizontal="center" vertical="center" wrapText="1"/>
    </xf>
    <xf numFmtId="0" fontId="60" fillId="0" borderId="121" xfId="35" applyFont="1" applyBorder="1" applyAlignment="1">
      <alignment horizontal="center" vertical="center" wrapText="1"/>
    </xf>
    <xf numFmtId="0" fontId="27" fillId="32" borderId="0" xfId="0" applyFont="1" applyFill="1" applyAlignment="1">
      <alignment horizontal="center" vertical="center" wrapText="1"/>
    </xf>
    <xf numFmtId="0" fontId="11" fillId="32" borderId="0" xfId="0" applyFont="1" applyFill="1" applyAlignment="1">
      <alignment horizontal="center" vertical="center"/>
    </xf>
    <xf numFmtId="0" fontId="11" fillId="8" borderId="38" xfId="0" applyFont="1" applyFill="1" applyBorder="1" applyAlignment="1">
      <alignment horizontal="center" vertical="center"/>
    </xf>
    <xf numFmtId="0" fontId="0" fillId="0" borderId="2" xfId="0" applyBorder="1" applyAlignment="1">
      <alignment horizontal="center" vertical="center"/>
    </xf>
    <xf numFmtId="0" fontId="29" fillId="0" borderId="0" xfId="0" applyFont="1" applyAlignment="1">
      <alignment horizontal="center" vertical="center" wrapText="1"/>
    </xf>
    <xf numFmtId="0" fontId="9" fillId="0" borderId="0" xfId="0" applyFont="1" applyAlignment="1" applyProtection="1">
      <alignment horizontal="left" vertical="center" wrapText="1"/>
      <protection locked="0"/>
    </xf>
    <xf numFmtId="0" fontId="9" fillId="0" borderId="0" xfId="0" applyFont="1" applyAlignment="1">
      <alignment wrapText="1"/>
    </xf>
    <xf numFmtId="9" fontId="9" fillId="0" borderId="0" xfId="0" applyNumberFormat="1" applyFont="1" applyAlignment="1">
      <alignment horizontal="center" vertical="center" wrapText="1"/>
    </xf>
    <xf numFmtId="9" fontId="9" fillId="0" borderId="0" xfId="2" applyFont="1" applyAlignment="1">
      <alignment horizontal="center" vertical="center"/>
    </xf>
    <xf numFmtId="0" fontId="9" fillId="0" borderId="1" xfId="0" applyFont="1" applyBorder="1" applyAlignment="1" applyProtection="1">
      <alignment horizontal="left" vertical="center" wrapText="1"/>
      <protection locked="0"/>
    </xf>
    <xf numFmtId="9" fontId="9" fillId="0" borderId="0" xfId="0" applyNumberFormat="1" applyFont="1" applyAlignment="1">
      <alignment horizontal="center" vertical="center"/>
    </xf>
    <xf numFmtId="179" fontId="9" fillId="0" borderId="0" xfId="0" applyNumberFormat="1" applyFont="1" applyAlignment="1">
      <alignment horizontal="center" vertical="center"/>
    </xf>
    <xf numFmtId="0" fontId="143" fillId="6" borderId="0" xfId="0" applyFont="1" applyFill="1"/>
    <xf numFmtId="9" fontId="0" fillId="0" borderId="0" xfId="2" applyFont="1"/>
    <xf numFmtId="10" fontId="0" fillId="0" borderId="0" xfId="0" applyNumberFormat="1"/>
    <xf numFmtId="179" fontId="0" fillId="0" borderId="0" xfId="0" applyNumberFormat="1"/>
    <xf numFmtId="0" fontId="44" fillId="0" borderId="122" xfId="0" applyFont="1" applyBorder="1"/>
    <xf numFmtId="0" fontId="0" fillId="0" borderId="122" xfId="0" applyBorder="1"/>
    <xf numFmtId="0" fontId="0" fillId="0" borderId="122" xfId="0" applyBorder="1" applyAlignment="1">
      <alignment vertical="center"/>
    </xf>
    <xf numFmtId="0" fontId="0" fillId="0" borderId="122" xfId="0" applyBorder="1" applyAlignment="1">
      <alignment horizontal="left" vertical="center"/>
    </xf>
    <xf numFmtId="0" fontId="8" fillId="12" borderId="0" xfId="0" applyFont="1" applyFill="1"/>
    <xf numFmtId="0" fontId="0" fillId="0" borderId="0" xfId="0" quotePrefix="1" applyAlignment="1">
      <alignment horizontal="center" vertical="center"/>
    </xf>
    <xf numFmtId="0" fontId="9" fillId="13" borderId="1" xfId="0" quotePrefix="1" applyFont="1" applyFill="1" applyBorder="1" applyAlignment="1">
      <alignment horizontal="center" vertical="center"/>
    </xf>
    <xf numFmtId="0" fontId="9" fillId="0" borderId="0" xfId="0" quotePrefix="1" applyFont="1" applyAlignment="1">
      <alignment horizontal="center" vertical="center" wrapText="1"/>
    </xf>
    <xf numFmtId="179" fontId="9" fillId="0" borderId="0" xfId="2" applyNumberFormat="1" applyFont="1" applyAlignment="1">
      <alignment horizontal="center" vertical="center"/>
    </xf>
    <xf numFmtId="0" fontId="80" fillId="6" borderId="123" xfId="35" applyFont="1" applyFill="1" applyBorder="1" applyAlignment="1">
      <alignment horizontal="center" vertical="center" wrapText="1"/>
    </xf>
    <xf numFmtId="0" fontId="80" fillId="6" borderId="124" xfId="35" applyFont="1" applyFill="1" applyBorder="1" applyAlignment="1">
      <alignment horizontal="center" vertical="center" wrapText="1"/>
    </xf>
    <xf numFmtId="188" fontId="5" fillId="0" borderId="0" xfId="35" applyNumberFormat="1" applyFont="1" applyAlignment="1">
      <alignment horizontal="center" vertical="center" wrapText="1"/>
    </xf>
    <xf numFmtId="14" fontId="0" fillId="0" borderId="0" xfId="0" applyNumberFormat="1" applyAlignment="1">
      <alignment vertical="center"/>
    </xf>
    <xf numFmtId="0" fontId="142" fillId="0" borderId="0" xfId="0" applyFont="1" applyAlignment="1">
      <alignment horizontal="center" vertical="center" wrapText="1"/>
    </xf>
    <xf numFmtId="0" fontId="0" fillId="0" borderId="121" xfId="0" applyBorder="1" applyAlignment="1">
      <alignment horizontal="left" vertical="center" wrapText="1"/>
    </xf>
    <xf numFmtId="0" fontId="0" fillId="31" borderId="121" xfId="0" applyFill="1" applyBorder="1" applyAlignment="1">
      <alignment horizontal="left" vertical="center" wrapText="1"/>
    </xf>
    <xf numFmtId="16" fontId="33" fillId="0" borderId="1" xfId="35" applyNumberFormat="1" applyFont="1" applyBorder="1" applyAlignment="1">
      <alignment horizontal="center" vertical="center" wrapText="1"/>
    </xf>
    <xf numFmtId="189" fontId="5" fillId="0" borderId="0" xfId="35" applyNumberFormat="1" applyFont="1" applyAlignment="1">
      <alignment horizontal="center" vertical="center" wrapText="1"/>
    </xf>
    <xf numFmtId="16" fontId="5" fillId="0" borderId="0" xfId="35" applyNumberFormat="1" applyFont="1" applyAlignment="1">
      <alignment horizontal="center" vertical="center" wrapText="1"/>
    </xf>
    <xf numFmtId="0" fontId="124" fillId="0" borderId="5" xfId="35" applyFont="1" applyBorder="1" applyAlignment="1">
      <alignment horizontal="left" vertical="top" wrapText="1"/>
    </xf>
    <xf numFmtId="0" fontId="124" fillId="0" borderId="0" xfId="35" applyFont="1" applyAlignment="1">
      <alignment horizontal="left" vertical="center" wrapText="1"/>
    </xf>
    <xf numFmtId="0" fontId="124" fillId="0" borderId="0" xfId="35" applyFont="1" applyAlignment="1">
      <alignment horizontal="left" vertical="top" wrapText="1"/>
    </xf>
    <xf numFmtId="0" fontId="102" fillId="0" borderId="0" xfId="35" applyFont="1" applyAlignment="1">
      <alignment horizontal="left" vertical="top" wrapText="1"/>
    </xf>
    <xf numFmtId="0" fontId="33" fillId="0" borderId="0" xfId="35" applyFont="1" applyAlignment="1">
      <alignment vertical="center" wrapText="1"/>
    </xf>
    <xf numFmtId="0" fontId="33" fillId="0" borderId="0" xfId="35" quotePrefix="1" applyFont="1" applyAlignment="1">
      <alignment horizontal="left" vertical="top" wrapText="1"/>
    </xf>
    <xf numFmtId="0" fontId="80" fillId="6" borderId="65" xfId="35" applyFont="1" applyFill="1" applyBorder="1" applyAlignment="1">
      <alignment horizontal="center" vertical="center" wrapText="1"/>
    </xf>
    <xf numFmtId="0" fontId="80" fillId="0" borderId="0" xfId="35" applyFont="1" applyAlignment="1">
      <alignment horizontal="center" vertical="center" wrapText="1"/>
    </xf>
    <xf numFmtId="0" fontId="107" fillId="21" borderId="65" xfId="35" applyFont="1" applyFill="1" applyBorder="1" applyAlignment="1">
      <alignment horizontal="center" vertical="center" wrapText="1"/>
    </xf>
    <xf numFmtId="0" fontId="107" fillId="21" borderId="64" xfId="35" applyFont="1" applyFill="1" applyBorder="1" applyAlignment="1">
      <alignment horizontal="center" vertical="center" wrapText="1"/>
    </xf>
    <xf numFmtId="0" fontId="103" fillId="24" borderId="65" xfId="35" applyFont="1" applyFill="1" applyBorder="1" applyAlignment="1">
      <alignment horizontal="center" vertical="center" wrapText="1"/>
    </xf>
    <xf numFmtId="0" fontId="8" fillId="0" borderId="0" xfId="0" applyFont="1" applyAlignment="1">
      <alignment horizontal="left" vertical="center" wrapText="1"/>
    </xf>
    <xf numFmtId="0" fontId="60" fillId="0" borderId="1" xfId="0" applyFont="1" applyBorder="1" applyAlignment="1" applyProtection="1">
      <alignment horizontal="left" vertical="center" wrapText="1"/>
      <protection locked="0"/>
    </xf>
    <xf numFmtId="0" fontId="29" fillId="0" borderId="7" xfId="0" applyFont="1" applyBorder="1" applyAlignment="1">
      <alignment horizontal="center" vertical="center" wrapText="1"/>
    </xf>
    <xf numFmtId="0" fontId="9" fillId="0" borderId="17" xfId="0" applyFont="1" applyBorder="1" applyAlignment="1" applyProtection="1">
      <alignment horizontal="left" vertical="center" wrapText="1"/>
      <protection locked="0"/>
    </xf>
    <xf numFmtId="0" fontId="11" fillId="8" borderId="127" xfId="0" applyFont="1" applyFill="1" applyBorder="1" applyAlignment="1">
      <alignment horizontal="center" vertical="center"/>
    </xf>
    <xf numFmtId="0" fontId="11" fillId="5" borderId="20" xfId="0" applyFont="1" applyFill="1" applyBorder="1" applyAlignment="1">
      <alignment horizontal="center" vertical="center"/>
    </xf>
    <xf numFmtId="0" fontId="115" fillId="8" borderId="48" xfId="0" applyFont="1" applyFill="1" applyBorder="1" applyAlignment="1">
      <alignment horizontal="center" vertical="center" wrapText="1"/>
    </xf>
    <xf numFmtId="0" fontId="29" fillId="0" borderId="1" xfId="0" applyFont="1" applyBorder="1" applyAlignment="1">
      <alignment horizontal="center" vertical="center" wrapText="1"/>
    </xf>
    <xf numFmtId="9" fontId="29" fillId="0" borderId="1" xfId="2" applyFont="1" applyFill="1" applyBorder="1" applyAlignment="1" applyProtection="1">
      <alignment horizontal="center" vertical="center"/>
    </xf>
    <xf numFmtId="0" fontId="60" fillId="0" borderId="10" xfId="0" applyFont="1" applyBorder="1" applyAlignment="1" applyProtection="1">
      <alignment horizontal="left" vertical="center" wrapText="1"/>
      <protection locked="0"/>
    </xf>
    <xf numFmtId="0" fontId="0" fillId="0" borderId="10" xfId="0" applyBorder="1" applyAlignment="1">
      <alignment horizontal="left" vertical="center" wrapText="1"/>
    </xf>
    <xf numFmtId="0" fontId="9" fillId="0" borderId="10" xfId="0" applyFont="1" applyBorder="1" applyAlignment="1">
      <alignment horizontal="center" vertical="center" wrapText="1"/>
    </xf>
    <xf numFmtId="0" fontId="9" fillId="0" borderId="10" xfId="0" applyFont="1" applyBorder="1" applyAlignment="1">
      <alignment horizontal="center" vertical="center"/>
    </xf>
    <xf numFmtId="0" fontId="0" fillId="0" borderId="10" xfId="0" applyBorder="1" applyAlignment="1">
      <alignment horizontal="center" vertical="center"/>
    </xf>
    <xf numFmtId="9" fontId="29" fillId="0" borderId="10" xfId="2" applyFont="1" applyFill="1" applyBorder="1" applyAlignment="1" applyProtection="1">
      <alignment horizontal="center" vertical="center"/>
    </xf>
    <xf numFmtId="0" fontId="9" fillId="0" borderId="30" xfId="0" applyFont="1" applyBorder="1" applyAlignment="1">
      <alignment horizontal="center" vertical="center" wrapText="1"/>
    </xf>
    <xf numFmtId="0" fontId="9" fillId="0" borderId="3" xfId="0" applyFont="1" applyBorder="1" applyAlignment="1">
      <alignment horizontal="center" vertical="center" wrapText="1"/>
    </xf>
    <xf numFmtId="0" fontId="9" fillId="0" borderId="3" xfId="0" applyFont="1" applyBorder="1" applyAlignment="1">
      <alignment horizontal="center" vertical="center"/>
    </xf>
    <xf numFmtId="9" fontId="29" fillId="0" borderId="3" xfId="2" applyFont="1" applyFill="1" applyBorder="1" applyAlignment="1" applyProtection="1">
      <alignment horizontal="center" vertical="center"/>
    </xf>
    <xf numFmtId="0" fontId="9" fillId="0" borderId="125" xfId="0" applyFont="1" applyBorder="1" applyAlignment="1">
      <alignment horizontal="center" vertical="center"/>
    </xf>
    <xf numFmtId="0" fontId="9" fillId="0" borderId="7" xfId="0" applyFont="1" applyBorder="1" applyAlignment="1">
      <alignment horizontal="center" vertical="center"/>
    </xf>
    <xf numFmtId="0" fontId="9" fillId="0" borderId="8" xfId="0" applyFont="1" applyBorder="1" applyAlignment="1">
      <alignment horizontal="center" vertical="center"/>
    </xf>
    <xf numFmtId="0" fontId="29" fillId="0" borderId="125" xfId="0" applyFont="1" applyBorder="1" applyAlignment="1">
      <alignment horizontal="center" vertical="center" wrapText="1"/>
    </xf>
    <xf numFmtId="0" fontId="0" fillId="0" borderId="126" xfId="0" applyBorder="1" applyAlignment="1">
      <alignment horizontal="center" vertical="center"/>
    </xf>
    <xf numFmtId="0" fontId="29" fillId="0" borderId="52" xfId="0" applyFont="1" applyBorder="1" applyAlignment="1">
      <alignment horizontal="center" vertical="center" wrapText="1"/>
    </xf>
    <xf numFmtId="0" fontId="0" fillId="0" borderId="17" xfId="0" applyBorder="1" applyAlignment="1">
      <alignment horizontal="left" vertical="center" wrapText="1"/>
    </xf>
    <xf numFmtId="0" fontId="9" fillId="0" borderId="17" xfId="0" applyFont="1" applyBorder="1" applyAlignment="1">
      <alignment horizontal="center" vertical="center" wrapText="1"/>
    </xf>
    <xf numFmtId="0" fontId="9" fillId="0" borderId="17" xfId="0" applyFont="1" applyBorder="1" applyAlignment="1">
      <alignment horizontal="center" vertical="center"/>
    </xf>
    <xf numFmtId="0" fontId="0" fillId="0" borderId="128" xfId="0" applyBorder="1" applyAlignment="1">
      <alignment horizontal="center" vertical="center"/>
    </xf>
    <xf numFmtId="0" fontId="115" fillId="8" borderId="1" xfId="0" applyFont="1" applyFill="1" applyBorder="1" applyAlignment="1">
      <alignment horizontal="center" vertical="center" wrapText="1"/>
    </xf>
    <xf numFmtId="49" fontId="106" fillId="19" borderId="1" xfId="0" applyNumberFormat="1" applyFont="1" applyFill="1" applyBorder="1" applyAlignment="1">
      <alignment horizontal="center" vertical="center"/>
    </xf>
    <xf numFmtId="49" fontId="106" fillId="8" borderId="1" xfId="0" applyNumberFormat="1" applyFont="1" applyFill="1" applyBorder="1" applyAlignment="1">
      <alignment horizontal="center" vertical="center"/>
    </xf>
    <xf numFmtId="14" fontId="0" fillId="0" borderId="0" xfId="0" applyNumberFormat="1" applyAlignment="1">
      <alignment vertical="center" wrapText="1"/>
    </xf>
    <xf numFmtId="0" fontId="12" fillId="0" borderId="0" xfId="0" applyFont="1" applyAlignment="1">
      <alignment vertical="center"/>
    </xf>
    <xf numFmtId="0" fontId="107" fillId="25" borderId="64" xfId="35" applyFont="1" applyFill="1" applyBorder="1" applyAlignment="1">
      <alignment horizontal="center" vertical="center" wrapText="1"/>
    </xf>
    <xf numFmtId="0" fontId="80" fillId="6" borderId="129" xfId="35" applyFont="1" applyFill="1" applyBorder="1" applyAlignment="1">
      <alignment horizontal="center" vertical="center" wrapText="1"/>
    </xf>
    <xf numFmtId="0" fontId="80" fillId="6" borderId="130" xfId="35" applyFont="1" applyFill="1" applyBorder="1" applyAlignment="1">
      <alignment horizontal="center" vertical="center" wrapText="1"/>
    </xf>
    <xf numFmtId="0" fontId="80" fillId="6" borderId="131" xfId="35" applyFont="1" applyFill="1" applyBorder="1" applyAlignment="1">
      <alignment horizontal="center" vertical="center" wrapText="1"/>
    </xf>
    <xf numFmtId="0" fontId="146" fillId="0" borderId="0" xfId="33" applyFont="1" applyAlignment="1">
      <alignment vertical="center" wrapText="1"/>
    </xf>
    <xf numFmtId="0" fontId="104" fillId="0" borderId="0" xfId="33" applyFont="1" applyAlignment="1">
      <alignment horizontal="center" vertical="center"/>
    </xf>
    <xf numFmtId="0" fontId="104" fillId="0" borderId="0" xfId="33" applyFont="1">
      <alignment vertical="center"/>
    </xf>
    <xf numFmtId="0" fontId="79" fillId="0" borderId="0" xfId="35" applyFont="1" applyAlignment="1">
      <alignment horizontal="center" vertical="center" wrapText="1"/>
    </xf>
    <xf numFmtId="0" fontId="104" fillId="0" borderId="0" xfId="33" quotePrefix="1" applyFont="1" applyAlignment="1">
      <alignment horizontal="center" vertical="center"/>
    </xf>
    <xf numFmtId="0" fontId="145" fillId="0" borderId="1" xfId="3" applyFont="1" applyFill="1" applyBorder="1" applyAlignment="1">
      <alignment vertical="center"/>
    </xf>
    <xf numFmtId="0" fontId="10" fillId="0" borderId="1" xfId="3" applyFill="1" applyBorder="1" applyAlignment="1">
      <alignment vertical="center"/>
    </xf>
    <xf numFmtId="0" fontId="5" fillId="0" borderId="0" xfId="0" applyFont="1" applyAlignment="1">
      <alignment horizontal="center" vertical="center"/>
    </xf>
    <xf numFmtId="49" fontId="5" fillId="0" borderId="0" xfId="0" applyNumberFormat="1" applyFont="1" applyAlignment="1">
      <alignment vertical="center"/>
    </xf>
    <xf numFmtId="9" fontId="5" fillId="0" borderId="0" xfId="2" applyFont="1" applyFill="1" applyAlignment="1">
      <alignment horizontal="center" vertical="center"/>
    </xf>
    <xf numFmtId="0" fontId="104" fillId="0" borderId="0" xfId="33" applyFont="1" applyAlignment="1">
      <alignment horizontal="left" vertical="center" wrapText="1" indent="1"/>
    </xf>
    <xf numFmtId="0" fontId="146" fillId="0" borderId="0" xfId="33" applyFont="1" applyAlignment="1">
      <alignment horizontal="left" vertical="center" wrapText="1" indent="1"/>
    </xf>
    <xf numFmtId="0" fontId="0" fillId="0" borderId="1" xfId="0" applyBorder="1" applyAlignment="1">
      <alignment horizontal="left" vertical="center" indent="1"/>
    </xf>
    <xf numFmtId="0" fontId="0" fillId="0" borderId="1" xfId="0" applyBorder="1" applyAlignment="1">
      <alignment horizontal="left" vertical="center" wrapText="1" indent="1"/>
    </xf>
    <xf numFmtId="0" fontId="11" fillId="21" borderId="1" xfId="0" applyFont="1" applyFill="1" applyBorder="1" applyAlignment="1">
      <alignment horizontal="center" vertical="center"/>
    </xf>
    <xf numFmtId="0" fontId="29" fillId="0" borderId="132" xfId="0" applyFont="1" applyBorder="1" applyAlignment="1">
      <alignment horizontal="center" vertical="center" wrapText="1"/>
    </xf>
    <xf numFmtId="0" fontId="15" fillId="0" borderId="62" xfId="0" applyFont="1" applyBorder="1" applyAlignment="1">
      <alignment horizontal="center" vertical="center"/>
    </xf>
    <xf numFmtId="183" fontId="0" fillId="0" borderId="0" xfId="0" applyNumberFormat="1" applyAlignment="1">
      <alignment wrapText="1"/>
    </xf>
    <xf numFmtId="0" fontId="35" fillId="0" borderId="0" xfId="0" applyFont="1" applyAlignment="1">
      <alignment horizontal="center" vertical="center" wrapText="1"/>
      <extLst>
        <ext xmlns:xfpb="http://schemas.microsoft.com/office/spreadsheetml/2022/featurepropertybag" uri="{C7286773-470A-42A8-94C5-96B5CB345126}">
          <xfpb:xfComplement i="0"/>
        </ext>
      </extLst>
    </xf>
    <xf numFmtId="0" fontId="5" fillId="0" borderId="0" xfId="0" applyFont="1" applyAlignment="1">
      <alignment horizontal="center" vertical="center" wrapText="1"/>
    </xf>
    <xf numFmtId="0" fontId="33" fillId="0" borderId="0" xfId="0" applyFont="1" applyAlignment="1">
      <alignment horizontal="left" vertical="center" wrapText="1"/>
    </xf>
    <xf numFmtId="0" fontId="148" fillId="0" borderId="0" xfId="0" applyFont="1" applyAlignment="1">
      <alignment horizontal="center" vertical="center"/>
    </xf>
    <xf numFmtId="0" fontId="135" fillId="0" borderId="0" xfId="0" applyFont="1" applyAlignment="1">
      <alignment horizontal="center" vertical="center" wrapText="1"/>
    </xf>
    <xf numFmtId="14" fontId="33" fillId="0" borderId="0" xfId="0" applyNumberFormat="1" applyFont="1" applyAlignment="1">
      <alignment horizontal="center" vertical="center" wrapText="1"/>
    </xf>
    <xf numFmtId="0" fontId="5" fillId="0" borderId="0" xfId="0" applyFont="1" applyAlignment="1">
      <alignment vertical="center" wrapText="1"/>
    </xf>
    <xf numFmtId="0" fontId="0" fillId="0" borderId="133" xfId="0" applyBorder="1"/>
    <xf numFmtId="0" fontId="9" fillId="0" borderId="133" xfId="0" applyFont="1" applyBorder="1"/>
    <xf numFmtId="0" fontId="5" fillId="0" borderId="133" xfId="0" applyFont="1" applyBorder="1" applyAlignment="1">
      <alignment horizontal="center" vertical="center" wrapText="1"/>
    </xf>
    <xf numFmtId="0" fontId="148" fillId="0" borderId="133" xfId="0" applyFont="1" applyBorder="1" applyAlignment="1">
      <alignment horizontal="center" vertical="center"/>
    </xf>
    <xf numFmtId="0" fontId="0" fillId="0" borderId="133" xfId="0" applyBorder="1" applyAlignment="1">
      <alignment horizontal="center" vertical="center"/>
    </xf>
    <xf numFmtId="0" fontId="149" fillId="33" borderId="0" xfId="0" applyFont="1" applyFill="1" applyAlignment="1">
      <alignment horizontal="center" vertical="center" wrapText="1"/>
    </xf>
    <xf numFmtId="0" fontId="149" fillId="33" borderId="0" xfId="0" applyFont="1" applyFill="1" applyAlignment="1">
      <alignment horizontal="center" vertical="center"/>
    </xf>
    <xf numFmtId="183" fontId="149" fillId="33" borderId="0" xfId="0" applyNumberFormat="1" applyFont="1" applyFill="1" applyAlignment="1">
      <alignment horizontal="center" vertical="center" wrapText="1"/>
    </xf>
    <xf numFmtId="183" fontId="149" fillId="33" borderId="0" xfId="0" applyNumberFormat="1"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8" fillId="0" borderId="0" xfId="0" applyFont="1" applyAlignment="1">
      <alignment vertical="center" wrapText="1"/>
    </xf>
    <xf numFmtId="0" fontId="0" fillId="0" borderId="0" xfId="0" applyAlignment="1">
      <alignment horizontal="left" vertical="center" indent="1"/>
    </xf>
    <xf numFmtId="0" fontId="0" fillId="0" borderId="134" xfId="0" applyBorder="1" applyAlignment="1">
      <alignment horizontal="center" vertical="center"/>
    </xf>
    <xf numFmtId="0" fontId="11" fillId="8" borderId="135" xfId="0" applyFont="1" applyFill="1" applyBorder="1" applyAlignment="1">
      <alignment horizontal="center" vertical="center" wrapText="1"/>
    </xf>
    <xf numFmtId="0" fontId="11" fillId="8" borderId="135" xfId="0" applyFont="1" applyFill="1" applyBorder="1" applyAlignment="1">
      <alignment horizontal="center" vertical="center"/>
    </xf>
    <xf numFmtId="0" fontId="0" fillId="0" borderId="137" xfId="0" applyBorder="1" applyAlignment="1">
      <alignment horizontal="center" vertical="center"/>
    </xf>
    <xf numFmtId="0" fontId="150" fillId="0" borderId="26" xfId="0" applyFont="1" applyBorder="1" applyAlignment="1">
      <alignment horizontal="left" vertical="center" wrapText="1"/>
    </xf>
    <xf numFmtId="0" fontId="29" fillId="35" borderId="26" xfId="0" applyFont="1" applyFill="1" applyBorder="1" applyAlignment="1">
      <alignment horizontal="center" vertical="center" wrapText="1"/>
    </xf>
    <xf numFmtId="0" fontId="31" fillId="13" borderId="26" xfId="0" applyFont="1" applyFill="1" applyBorder="1" applyAlignment="1">
      <alignment horizontal="left" vertical="center" wrapText="1"/>
    </xf>
    <xf numFmtId="0" fontId="29" fillId="13" borderId="26" xfId="0" applyFont="1" applyFill="1" applyBorder="1" applyAlignment="1">
      <alignment horizontal="center" vertical="center" wrapText="1"/>
    </xf>
    <xf numFmtId="0" fontId="29" fillId="0" borderId="26" xfId="0" applyFont="1" applyBorder="1" applyAlignment="1">
      <alignment horizontal="center" vertical="center" wrapText="1"/>
    </xf>
    <xf numFmtId="0" fontId="29" fillId="6" borderId="26" xfId="0" applyFont="1" applyFill="1" applyBorder="1" applyAlignment="1">
      <alignment horizontal="center" vertical="center" wrapText="1"/>
    </xf>
    <xf numFmtId="0" fontId="9" fillId="13" borderId="26" xfId="0" applyFont="1" applyFill="1" applyBorder="1" applyAlignment="1">
      <alignment horizontal="left" vertical="center" wrapText="1"/>
    </xf>
    <xf numFmtId="0" fontId="33" fillId="0" borderId="6" xfId="0" applyFont="1" applyBorder="1" applyAlignment="1">
      <alignment horizontal="center" vertical="center"/>
    </xf>
    <xf numFmtId="0" fontId="29" fillId="5" borderId="26" xfId="0" applyFont="1" applyFill="1" applyBorder="1" applyAlignment="1">
      <alignment horizontal="center" vertical="center" wrapText="1"/>
    </xf>
    <xf numFmtId="0" fontId="8" fillId="13" borderId="26" xfId="0" applyFont="1" applyFill="1" applyBorder="1" applyAlignment="1">
      <alignment horizontal="center" vertical="center" wrapText="1"/>
    </xf>
    <xf numFmtId="0" fontId="41" fillId="13" borderId="26" xfId="0" applyFont="1" applyFill="1" applyBorder="1" applyAlignment="1">
      <alignment horizontal="left" vertical="center" wrapText="1"/>
    </xf>
    <xf numFmtId="0" fontId="0" fillId="0" borderId="139" xfId="0" applyBorder="1" applyAlignment="1">
      <alignment horizontal="center" vertical="center"/>
    </xf>
    <xf numFmtId="0" fontId="150" fillId="0" borderId="140" xfId="0" applyFont="1" applyBorder="1" applyAlignment="1">
      <alignment horizontal="left" vertical="center" wrapText="1"/>
    </xf>
    <xf numFmtId="0" fontId="29" fillId="5" borderId="140" xfId="0" applyFont="1" applyFill="1" applyBorder="1" applyAlignment="1">
      <alignment horizontal="center" vertical="center" wrapText="1"/>
    </xf>
    <xf numFmtId="0" fontId="31" fillId="0" borderId="140" xfId="0" applyFont="1" applyBorder="1" applyAlignment="1">
      <alignment horizontal="left" vertical="center" wrapText="1"/>
    </xf>
    <xf numFmtId="0" fontId="31" fillId="13" borderId="140" xfId="0" applyFont="1" applyFill="1" applyBorder="1" applyAlignment="1">
      <alignment horizontal="left" vertical="center" wrapText="1"/>
    </xf>
    <xf numFmtId="0" fontId="29" fillId="13" borderId="140" xfId="0" applyFont="1" applyFill="1" applyBorder="1" applyAlignment="1">
      <alignment horizontal="center" vertical="center" wrapText="1"/>
    </xf>
    <xf numFmtId="0" fontId="29" fillId="0" borderId="140" xfId="0" applyFont="1" applyBorder="1" applyAlignment="1">
      <alignment horizontal="center" vertical="center" wrapText="1"/>
    </xf>
    <xf numFmtId="0" fontId="33" fillId="0" borderId="142" xfId="0" applyFont="1" applyBorder="1" applyAlignment="1">
      <alignment horizontal="center" vertical="center"/>
    </xf>
    <xf numFmtId="0" fontId="8" fillId="0" borderId="0" xfId="0" applyFont="1" applyAlignment="1">
      <alignment horizontal="center" vertical="center"/>
    </xf>
    <xf numFmtId="0" fontId="33" fillId="0" borderId="6" xfId="0" applyFont="1" applyBorder="1" applyAlignment="1">
      <alignment vertical="center" wrapText="1"/>
    </xf>
    <xf numFmtId="0" fontId="5" fillId="0" borderId="6" xfId="0" applyFont="1" applyBorder="1" applyAlignment="1">
      <alignment vertical="center" wrapText="1"/>
    </xf>
    <xf numFmtId="0" fontId="33" fillId="0" borderId="142" xfId="0" applyFont="1" applyBorder="1" applyAlignment="1">
      <alignment vertical="center" wrapText="1"/>
    </xf>
    <xf numFmtId="0" fontId="107" fillId="34" borderId="11" xfId="0" applyFont="1" applyFill="1" applyBorder="1" applyAlignment="1">
      <alignment horizontal="center" vertical="center" wrapText="1"/>
    </xf>
    <xf numFmtId="0" fontId="107" fillId="34" borderId="136" xfId="0" applyFont="1" applyFill="1" applyBorder="1" applyAlignment="1">
      <alignment horizontal="center" vertical="center"/>
    </xf>
    <xf numFmtId="0" fontId="107" fillId="34" borderId="116" xfId="0" applyFont="1" applyFill="1" applyBorder="1" applyAlignment="1">
      <alignment horizontal="center" vertical="center"/>
    </xf>
    <xf numFmtId="0" fontId="35" fillId="0" borderId="0" xfId="0" applyFont="1" applyAlignment="1">
      <alignment horizontal="center" vertical="center"/>
    </xf>
    <xf numFmtId="0" fontId="153" fillId="0" borderId="16" xfId="0" applyFont="1" applyBorder="1" applyAlignment="1">
      <alignment horizontal="center" vertical="center"/>
    </xf>
    <xf numFmtId="0" fontId="153" fillId="0" borderId="143" xfId="0" applyFont="1" applyBorder="1" applyAlignment="1">
      <alignment horizontal="center" vertical="center"/>
    </xf>
    <xf numFmtId="0" fontId="5" fillId="0" borderId="138" xfId="0" applyFont="1" applyBorder="1" applyAlignment="1">
      <alignment horizontal="center" vertical="center" wrapText="1"/>
    </xf>
    <xf numFmtId="0" fontId="5" fillId="0" borderId="6" xfId="0" applyFont="1" applyBorder="1" applyAlignment="1">
      <alignment horizontal="center" vertical="center" wrapText="1"/>
    </xf>
    <xf numFmtId="0" fontId="5" fillId="0" borderId="16" xfId="0" applyFont="1" applyBorder="1" applyAlignment="1">
      <alignment horizontal="center" vertical="center" wrapText="1"/>
    </xf>
    <xf numFmtId="0" fontId="5" fillId="0" borderId="141" xfId="0" applyFont="1" applyBorder="1" applyAlignment="1">
      <alignment horizontal="center" vertical="center" wrapText="1"/>
    </xf>
    <xf numFmtId="0" fontId="5" fillId="0" borderId="142" xfId="0" applyFont="1" applyBorder="1" applyAlignment="1">
      <alignment horizontal="center" vertical="center" wrapText="1"/>
    </xf>
    <xf numFmtId="16" fontId="5" fillId="0" borderId="0" xfId="0" applyNumberFormat="1" applyFont="1" applyAlignment="1">
      <alignment horizontal="center" vertical="center" wrapText="1"/>
    </xf>
    <xf numFmtId="14" fontId="0" fillId="0" borderId="0" xfId="0" applyNumberFormat="1" applyAlignment="1">
      <alignment horizontal="left"/>
    </xf>
    <xf numFmtId="14" fontId="0" fillId="0" borderId="0" xfId="0" applyNumberFormat="1"/>
    <xf numFmtId="0" fontId="108" fillId="0" borderId="0" xfId="0" applyFont="1" applyAlignment="1">
      <alignment horizontal="left" vertical="center"/>
    </xf>
    <xf numFmtId="49" fontId="108" fillId="0" borderId="0" xfId="0" applyNumberFormat="1" applyFont="1" applyAlignment="1">
      <alignment horizontal="left" vertical="center"/>
    </xf>
    <xf numFmtId="49" fontId="0" fillId="0" borderId="0" xfId="0" applyNumberFormat="1" applyAlignment="1">
      <alignment horizontal="center" vertical="center"/>
    </xf>
    <xf numFmtId="49" fontId="0" fillId="0" borderId="0" xfId="0" applyNumberFormat="1"/>
    <xf numFmtId="0" fontId="11" fillId="8" borderId="17" xfId="0" applyFont="1" applyFill="1" applyBorder="1" applyAlignment="1" applyProtection="1">
      <alignment horizontal="center" vertical="center" wrapText="1"/>
      <protection locked="0"/>
    </xf>
    <xf numFmtId="0" fontId="0" fillId="0" borderId="0" xfId="0" applyAlignment="1" applyProtection="1">
      <alignment vertical="center"/>
      <protection locked="0"/>
    </xf>
    <xf numFmtId="0" fontId="11" fillId="8" borderId="17" xfId="0" applyFont="1" applyFill="1" applyBorder="1" applyAlignment="1">
      <alignment horizontal="center" vertical="center" wrapText="1"/>
    </xf>
    <xf numFmtId="0" fontId="11" fillId="8" borderId="1" xfId="0" applyFont="1" applyFill="1" applyBorder="1" applyAlignment="1" applyProtection="1">
      <alignment horizontal="center" vertical="center" wrapText="1"/>
      <protection locked="0"/>
    </xf>
    <xf numFmtId="0" fontId="0" fillId="0" borderId="0" xfId="0" applyAlignment="1" applyProtection="1">
      <alignment horizontal="center" vertical="center"/>
      <protection locked="0"/>
    </xf>
    <xf numFmtId="0" fontId="0" fillId="3" borderId="1" xfId="0" applyFill="1" applyBorder="1" applyAlignment="1">
      <alignment horizontal="center" vertical="center" wrapText="1"/>
    </xf>
    <xf numFmtId="0" fontId="0" fillId="9" borderId="1" xfId="0" applyFill="1" applyBorder="1" applyAlignment="1">
      <alignment horizontal="center" vertical="center" wrapText="1"/>
    </xf>
    <xf numFmtId="0" fontId="0" fillId="0" borderId="1" xfId="0" quotePrefix="1" applyBorder="1" applyAlignment="1">
      <alignment horizontal="center" vertical="center" wrapText="1"/>
    </xf>
    <xf numFmtId="0" fontId="142" fillId="9" borderId="1" xfId="0" applyFont="1" applyFill="1" applyBorder="1" applyAlignment="1">
      <alignment horizontal="center" vertical="center" wrapText="1"/>
    </xf>
    <xf numFmtId="0" fontId="0" fillId="36" borderId="1" xfId="0" applyFill="1" applyBorder="1" applyAlignment="1">
      <alignment horizontal="center" vertical="center" wrapText="1"/>
    </xf>
    <xf numFmtId="0" fontId="142" fillId="36" borderId="1" xfId="0" applyFont="1" applyFill="1" applyBorder="1" applyAlignment="1">
      <alignment horizontal="center" vertical="center" wrapText="1"/>
    </xf>
    <xf numFmtId="0" fontId="12" fillId="8" borderId="1" xfId="0" applyFont="1" applyFill="1" applyBorder="1" applyAlignment="1">
      <alignment horizontal="center" vertical="center" wrapText="1"/>
    </xf>
    <xf numFmtId="0" fontId="105" fillId="0" borderId="0" xfId="0" applyFont="1" applyAlignment="1">
      <alignment horizontal="left" vertical="top"/>
    </xf>
    <xf numFmtId="0" fontId="156" fillId="0" borderId="0" xfId="35" applyFont="1" applyAlignment="1">
      <alignment horizontal="center" vertical="center" wrapText="1"/>
    </xf>
    <xf numFmtId="16" fontId="0" fillId="0" borderId="0" xfId="0" quotePrefix="1" applyNumberFormat="1" applyAlignment="1">
      <alignment horizontal="center" vertical="center" wrapText="1"/>
    </xf>
    <xf numFmtId="2" fontId="0" fillId="0" borderId="148" xfId="0" applyNumberFormat="1" applyBorder="1" applyAlignment="1">
      <alignment horizontal="center" vertical="center"/>
    </xf>
    <xf numFmtId="14" fontId="5" fillId="0" borderId="0" xfId="0" applyNumberFormat="1" applyFont="1" applyAlignment="1">
      <alignment horizontal="center" vertical="center" wrapText="1"/>
    </xf>
    <xf numFmtId="14" fontId="108" fillId="0" borderId="0" xfId="0" applyNumberFormat="1" applyFont="1" applyAlignment="1">
      <alignment horizontal="left" vertical="center"/>
    </xf>
    <xf numFmtId="0" fontId="24" fillId="8" borderId="64" xfId="35" applyFont="1" applyFill="1" applyBorder="1" applyAlignment="1">
      <alignment horizontal="center" vertical="center" wrapText="1"/>
    </xf>
    <xf numFmtId="0" fontId="142" fillId="6" borderId="1" xfId="0" applyFont="1" applyFill="1" applyBorder="1" applyAlignment="1">
      <alignment horizontal="center" vertical="center" wrapText="1"/>
    </xf>
    <xf numFmtId="0" fontId="9" fillId="0" borderId="0" xfId="0" applyFont="1" applyAlignment="1">
      <alignment horizontal="center" vertical="center" wrapText="1"/>
      <extLst>
        <ext xmlns:xfpb="http://schemas.microsoft.com/office/spreadsheetml/2022/featurepropertybag" uri="{C7286773-470A-42A8-94C5-96B5CB345126}">
          <xfpb:xfComplement i="0"/>
        </ext>
      </extLst>
    </xf>
    <xf numFmtId="189" fontId="9" fillId="0" borderId="1" xfId="35" applyNumberFormat="1" applyFont="1" applyBorder="1" applyAlignment="1">
      <alignment horizontal="center" vertical="center" wrapText="1"/>
    </xf>
    <xf numFmtId="188" fontId="9" fillId="0" borderId="0" xfId="35" applyNumberFormat="1" applyFont="1" applyAlignment="1">
      <alignment horizontal="center" vertical="center" wrapText="1"/>
    </xf>
    <xf numFmtId="0" fontId="31" fillId="0" borderId="0" xfId="35" applyFont="1" applyAlignment="1">
      <alignment horizontal="center" vertical="center" wrapText="1"/>
    </xf>
    <xf numFmtId="0" fontId="9" fillId="0" borderId="0" xfId="35" applyFont="1" applyAlignment="1">
      <alignment horizontal="center" vertical="center" wrapText="1"/>
    </xf>
    <xf numFmtId="0" fontId="31" fillId="0" borderId="0" xfId="35" applyFont="1" applyAlignment="1">
      <alignment horizontal="left" vertical="center" wrapText="1"/>
    </xf>
    <xf numFmtId="0" fontId="31" fillId="0" borderId="0" xfId="35" applyFont="1" applyAlignment="1">
      <alignment horizontal="left" vertical="top" wrapText="1"/>
    </xf>
    <xf numFmtId="0" fontId="150" fillId="0" borderId="0" xfId="35" applyFont="1" applyAlignment="1">
      <alignment horizontal="center" vertical="center" wrapText="1"/>
    </xf>
    <xf numFmtId="0" fontId="9" fillId="0" borderId="0" xfId="35" applyFont="1" applyAlignment="1">
      <alignment horizontal="left" vertical="center" wrapText="1"/>
    </xf>
    <xf numFmtId="0" fontId="105" fillId="0" borderId="20" xfId="0" applyFont="1" applyBorder="1" applyAlignment="1">
      <alignment horizontal="left" vertical="center" wrapText="1"/>
    </xf>
    <xf numFmtId="0" fontId="105" fillId="0" borderId="127" xfId="0" applyFont="1" applyBorder="1" applyAlignment="1">
      <alignment horizontal="center" vertical="center" wrapText="1"/>
    </xf>
    <xf numFmtId="0" fontId="154" fillId="0" borderId="20" xfId="0" applyFont="1" applyBorder="1" applyAlignment="1">
      <alignment horizontal="left" vertical="center" wrapText="1"/>
    </xf>
    <xf numFmtId="0" fontId="155" fillId="9" borderId="1" xfId="0" applyFont="1" applyFill="1" applyBorder="1" applyAlignment="1">
      <alignment horizontal="center" vertical="center" textRotation="90"/>
    </xf>
    <xf numFmtId="0" fontId="155" fillId="9" borderId="32" xfId="0" applyFont="1" applyFill="1" applyBorder="1" applyAlignment="1">
      <alignment horizontal="center" vertical="center" textRotation="90"/>
    </xf>
    <xf numFmtId="0" fontId="105" fillId="0" borderId="38" xfId="0" applyFont="1" applyBorder="1" applyAlignment="1">
      <alignment horizontal="center" vertical="center"/>
    </xf>
    <xf numFmtId="0" fontId="105" fillId="0" borderId="35" xfId="0" applyFont="1" applyBorder="1" applyAlignment="1">
      <alignment horizontal="center" vertical="center"/>
    </xf>
    <xf numFmtId="0" fontId="105" fillId="0" borderId="146" xfId="0" applyFont="1" applyBorder="1" applyAlignment="1">
      <alignment horizontal="center" vertical="center" wrapText="1"/>
    </xf>
    <xf numFmtId="0" fontId="105" fillId="0" borderId="128" xfId="0" applyFont="1" applyBorder="1" applyAlignment="1">
      <alignment horizontal="left" vertical="center" wrapText="1"/>
    </xf>
    <xf numFmtId="0" fontId="105" fillId="0" borderId="19" xfId="0" applyFont="1" applyBorder="1" applyAlignment="1">
      <alignment horizontal="center" vertical="center"/>
    </xf>
    <xf numFmtId="0" fontId="105" fillId="0" borderId="5" xfId="0" applyFont="1" applyBorder="1" applyAlignment="1">
      <alignment horizontal="center" vertical="center"/>
    </xf>
    <xf numFmtId="0" fontId="105" fillId="0" borderId="17" xfId="0" applyFont="1" applyBorder="1" applyAlignment="1">
      <alignment horizontal="center" vertical="center"/>
    </xf>
    <xf numFmtId="0" fontId="154" fillId="0" borderId="20" xfId="0" applyFont="1" applyBorder="1" applyAlignment="1">
      <alignment horizontal="center" vertical="center" wrapText="1"/>
    </xf>
    <xf numFmtId="0" fontId="154" fillId="0" borderId="20" xfId="0" applyFont="1" applyBorder="1" applyAlignment="1">
      <alignment horizontal="left" vertical="top" wrapText="1"/>
    </xf>
    <xf numFmtId="0" fontId="154" fillId="0" borderId="128" xfId="0" applyFont="1" applyBorder="1" applyAlignment="1">
      <alignment horizontal="left" vertical="center" wrapText="1"/>
    </xf>
    <xf numFmtId="0" fontId="154" fillId="0" borderId="128" xfId="0" applyFont="1" applyBorder="1" applyAlignment="1">
      <alignment horizontal="left" vertical="top" wrapText="1"/>
    </xf>
    <xf numFmtId="0" fontId="154" fillId="0" borderId="128" xfId="0" applyFont="1" applyBorder="1" applyAlignment="1">
      <alignment horizontal="center" vertical="center" wrapText="1"/>
    </xf>
    <xf numFmtId="0" fontId="105" fillId="6" borderId="128" xfId="0" applyFont="1" applyFill="1" applyBorder="1" applyAlignment="1">
      <alignment horizontal="left" vertical="center" wrapText="1"/>
    </xf>
    <xf numFmtId="0" fontId="105" fillId="0" borderId="21" xfId="0" applyFont="1" applyBorder="1" applyAlignment="1">
      <alignment horizontal="center" vertical="center"/>
    </xf>
    <xf numFmtId="0" fontId="105" fillId="0" borderId="5" xfId="0" applyFont="1" applyBorder="1" applyAlignment="1">
      <alignment horizontal="left" vertical="center" wrapText="1"/>
    </xf>
    <xf numFmtId="0" fontId="105" fillId="0" borderId="5" xfId="0" applyFont="1" applyBorder="1" applyAlignment="1">
      <alignment horizontal="left" vertical="center"/>
    </xf>
    <xf numFmtId="0" fontId="105" fillId="0" borderId="1" xfId="0" applyFont="1" applyBorder="1" applyAlignment="1">
      <alignment horizontal="left" vertical="center"/>
    </xf>
    <xf numFmtId="0" fontId="105" fillId="0" borderId="1" xfId="0" applyFont="1" applyBorder="1" applyAlignment="1">
      <alignment horizontal="left" vertical="center" wrapText="1"/>
    </xf>
    <xf numFmtId="0" fontId="105" fillId="6" borderId="1" xfId="0" applyFont="1" applyFill="1" applyBorder="1" applyAlignment="1">
      <alignment horizontal="left" vertical="center" wrapText="1"/>
    </xf>
    <xf numFmtId="0" fontId="105" fillId="0" borderId="138" xfId="0" applyFont="1" applyBorder="1" applyAlignment="1">
      <alignment horizontal="center" vertical="center"/>
    </xf>
    <xf numFmtId="0" fontId="105" fillId="0" borderId="31" xfId="0" applyFont="1" applyBorder="1" applyAlignment="1">
      <alignment horizontal="center" vertical="center"/>
    </xf>
    <xf numFmtId="0" fontId="105" fillId="6" borderId="1" xfId="0" applyFont="1" applyFill="1" applyBorder="1" applyAlignment="1">
      <alignment horizontal="center" vertical="center"/>
    </xf>
    <xf numFmtId="0" fontId="105" fillId="0" borderId="1" xfId="0" applyFont="1" applyBorder="1" applyAlignment="1">
      <alignment horizontal="center" vertical="center"/>
    </xf>
    <xf numFmtId="0" fontId="105" fillId="0" borderId="32" xfId="0" quotePrefix="1" applyFont="1" applyBorder="1" applyAlignment="1">
      <alignment horizontal="center" vertical="center"/>
    </xf>
    <xf numFmtId="0" fontId="105" fillId="0" borderId="1" xfId="0" applyFont="1" applyBorder="1" applyAlignment="1">
      <alignment horizontal="center" vertical="center" wrapText="1"/>
    </xf>
    <xf numFmtId="0" fontId="105" fillId="0" borderId="5" xfId="0" applyFont="1" applyBorder="1" applyAlignment="1">
      <alignment horizontal="center" vertical="center" wrapText="1"/>
    </xf>
    <xf numFmtId="0" fontId="105" fillId="6" borderId="5" xfId="0" applyFont="1" applyFill="1" applyBorder="1" applyAlignment="1">
      <alignment horizontal="center" vertical="center"/>
    </xf>
    <xf numFmtId="0" fontId="105" fillId="6" borderId="5" xfId="0" applyFont="1" applyFill="1" applyBorder="1" applyAlignment="1">
      <alignment horizontal="left" vertical="center" wrapText="1"/>
    </xf>
    <xf numFmtId="0" fontId="105" fillId="0" borderId="35" xfId="0" quotePrefix="1" applyFont="1" applyBorder="1" applyAlignment="1">
      <alignment horizontal="center" vertical="center"/>
    </xf>
    <xf numFmtId="0" fontId="158" fillId="0" borderId="0" xfId="0" applyFont="1" applyAlignment="1">
      <alignment horizontal="center" vertical="center" wrapText="1"/>
    </xf>
    <xf numFmtId="0" fontId="158" fillId="0" borderId="0" xfId="0" applyFont="1" applyAlignment="1">
      <alignment horizontal="left" vertical="center" wrapText="1"/>
    </xf>
    <xf numFmtId="0" fontId="114" fillId="0" borderId="0" xfId="0" applyFont="1" applyAlignment="1">
      <alignment horizontal="center" vertical="center" wrapText="1"/>
    </xf>
    <xf numFmtId="0" fontId="114" fillId="0" borderId="0" xfId="0" applyFont="1" applyAlignment="1">
      <alignment vertical="center" wrapText="1"/>
    </xf>
    <xf numFmtId="0" fontId="160" fillId="37" borderId="10" xfId="0" applyFont="1" applyFill="1" applyBorder="1" applyAlignment="1">
      <alignment horizontal="center" vertical="center" wrapText="1"/>
    </xf>
    <xf numFmtId="0" fontId="160" fillId="37" borderId="3" xfId="0" applyFont="1" applyFill="1" applyBorder="1" applyAlignment="1">
      <alignment horizontal="center" vertical="center" wrapText="1"/>
    </xf>
    <xf numFmtId="0" fontId="160" fillId="37" borderId="3" xfId="0" applyFont="1" applyFill="1" applyBorder="1" applyAlignment="1">
      <alignment horizontal="center" vertical="center" textRotation="90" wrapText="1"/>
    </xf>
    <xf numFmtId="0" fontId="160" fillId="37" borderId="4" xfId="0" applyFont="1" applyFill="1" applyBorder="1" applyAlignment="1">
      <alignment horizontal="center" vertical="center" textRotation="90" wrapText="1"/>
    </xf>
    <xf numFmtId="0" fontId="161" fillId="0" borderId="11" xfId="0" applyFont="1" applyBorder="1" applyAlignment="1">
      <alignment horizontal="center" vertical="center" wrapText="1"/>
    </xf>
    <xf numFmtId="0" fontId="161" fillId="0" borderId="12" xfId="0" applyFont="1" applyBorder="1" applyAlignment="1">
      <alignment vertical="center" wrapText="1"/>
    </xf>
    <xf numFmtId="0" fontId="161" fillId="0" borderId="12" xfId="0" applyFont="1" applyBorder="1" applyAlignment="1">
      <alignment horizontal="center" vertical="center" wrapText="1"/>
    </xf>
    <xf numFmtId="0" fontId="161" fillId="0" borderId="14" xfId="0" applyFont="1" applyBorder="1" applyAlignment="1">
      <alignment horizontal="center" vertical="center" wrapText="1"/>
    </xf>
    <xf numFmtId="0" fontId="161" fillId="0" borderId="138" xfId="0" applyFont="1" applyBorder="1" applyAlignment="1">
      <alignment horizontal="center" vertical="center" wrapText="1"/>
    </xf>
    <xf numFmtId="0" fontId="161" fillId="0" borderId="5" xfId="0" applyFont="1" applyBorder="1" applyAlignment="1">
      <alignment vertical="center" wrapText="1"/>
    </xf>
    <xf numFmtId="0" fontId="161" fillId="0" borderId="5" xfId="0" applyFont="1" applyBorder="1" applyAlignment="1">
      <alignment horizontal="center" vertical="center" wrapText="1"/>
    </xf>
    <xf numFmtId="0" fontId="161" fillId="0" borderId="35" xfId="0" applyFont="1" applyBorder="1" applyAlignment="1">
      <alignment horizontal="center" vertical="center" wrapText="1"/>
    </xf>
    <xf numFmtId="0" fontId="161" fillId="0" borderId="31" xfId="0" applyFont="1" applyBorder="1" applyAlignment="1">
      <alignment horizontal="center" vertical="center" wrapText="1"/>
    </xf>
    <xf numFmtId="0" fontId="161" fillId="0" borderId="1" xfId="0" applyFont="1" applyBorder="1" applyAlignment="1">
      <alignment vertical="center" wrapText="1"/>
    </xf>
    <xf numFmtId="0" fontId="161" fillId="0" borderId="1" xfId="0" applyFont="1" applyBorder="1" applyAlignment="1">
      <alignment horizontal="center" vertical="center" wrapText="1"/>
    </xf>
    <xf numFmtId="0" fontId="161" fillId="0" borderId="32" xfId="0" applyFont="1" applyBorder="1" applyAlignment="1">
      <alignment horizontal="center" vertical="center" wrapText="1"/>
    </xf>
    <xf numFmtId="0" fontId="161" fillId="0" borderId="25" xfId="0" applyFont="1" applyBorder="1" applyAlignment="1">
      <alignment vertical="center" wrapText="1"/>
    </xf>
    <xf numFmtId="0" fontId="161" fillId="0" borderId="149" xfId="0" applyFont="1" applyBorder="1" applyAlignment="1">
      <alignment vertical="center" wrapText="1"/>
    </xf>
    <xf numFmtId="0" fontId="105" fillId="0" borderId="149" xfId="0" applyFont="1" applyBorder="1" applyAlignment="1">
      <alignment horizontal="center" vertical="center" wrapText="1"/>
    </xf>
    <xf numFmtId="0" fontId="161" fillId="0" borderId="149" xfId="0" applyFont="1" applyBorder="1" applyAlignment="1">
      <alignment horizontal="center" vertical="center" wrapText="1"/>
    </xf>
    <xf numFmtId="9" fontId="161" fillId="0" borderId="149" xfId="0" applyNumberFormat="1" applyFont="1" applyBorder="1" applyAlignment="1">
      <alignment horizontal="center" vertical="center" wrapText="1"/>
    </xf>
    <xf numFmtId="0" fontId="155" fillId="0" borderId="151" xfId="0" applyFont="1" applyBorder="1" applyAlignment="1">
      <alignment vertical="center" wrapText="1"/>
    </xf>
    <xf numFmtId="0" fontId="161" fillId="0" borderId="149" xfId="0" applyFont="1" applyBorder="1" applyAlignment="1">
      <alignment horizontal="left" vertical="center" wrapText="1" indent="1"/>
    </xf>
    <xf numFmtId="0" fontId="105" fillId="0" borderId="150" xfId="0" applyFont="1" applyBorder="1" applyAlignment="1">
      <alignment horizontal="center" vertical="center" wrapText="1"/>
    </xf>
    <xf numFmtId="0" fontId="161" fillId="0" borderId="143" xfId="0" applyFont="1" applyBorder="1" applyAlignment="1">
      <alignment vertical="center" wrapText="1"/>
    </xf>
    <xf numFmtId="9" fontId="161" fillId="0" borderId="143" xfId="0" applyNumberFormat="1" applyFont="1" applyBorder="1" applyAlignment="1">
      <alignment horizontal="center" vertical="center" wrapText="1"/>
    </xf>
    <xf numFmtId="0" fontId="161" fillId="0" borderId="143" xfId="0" applyFont="1" applyBorder="1" applyAlignment="1">
      <alignment horizontal="center" vertical="center" wrapText="1"/>
    </xf>
    <xf numFmtId="0" fontId="161" fillId="0" borderId="25" xfId="0" applyFont="1" applyBorder="1" applyAlignment="1">
      <alignment horizontal="left" vertical="center" wrapText="1" indent="1"/>
    </xf>
    <xf numFmtId="0" fontId="155" fillId="0" borderId="149" xfId="0" applyFont="1" applyBorder="1" applyAlignment="1">
      <alignment vertical="center" wrapText="1"/>
    </xf>
    <xf numFmtId="9" fontId="161" fillId="0" borderId="149" xfId="0" applyNumberFormat="1" applyFont="1" applyBorder="1" applyAlignment="1">
      <alignment vertical="center" wrapText="1"/>
    </xf>
    <xf numFmtId="0" fontId="105" fillId="0" borderId="25" xfId="0" applyFont="1" applyBorder="1" applyAlignment="1">
      <alignment vertical="center" wrapText="1"/>
    </xf>
    <xf numFmtId="0" fontId="105" fillId="0" borderId="151" xfId="0" applyFont="1" applyBorder="1" applyAlignment="1">
      <alignment horizontal="center" vertical="center" wrapText="1"/>
    </xf>
    <xf numFmtId="0" fontId="160" fillId="37" borderId="1" xfId="0" applyFont="1" applyFill="1" applyBorder="1" applyAlignment="1">
      <alignment horizontal="center" vertical="center" textRotation="90" wrapText="1"/>
    </xf>
    <xf numFmtId="0" fontId="105" fillId="0" borderId="1" xfId="0" applyFont="1" applyBorder="1" applyAlignment="1">
      <alignment vertical="center" wrapText="1"/>
    </xf>
    <xf numFmtId="0" fontId="155" fillId="0" borderId="1" xfId="0" applyFont="1" applyBorder="1" applyAlignment="1">
      <alignment horizontal="center" vertical="center" wrapText="1"/>
    </xf>
    <xf numFmtId="0" fontId="54" fillId="0" borderId="0" xfId="0" applyFont="1" applyAlignment="1">
      <alignment horizontal="center" vertical="center" wrapText="1"/>
    </xf>
    <xf numFmtId="0" fontId="66" fillId="0" borderId="0" xfId="0" applyFont="1" applyAlignment="1">
      <alignment horizontal="center" vertical="center" wrapText="1"/>
    </xf>
    <xf numFmtId="0" fontId="54" fillId="3" borderId="0" xfId="0" applyFont="1" applyFill="1" applyAlignment="1">
      <alignment horizontal="left" vertical="center" wrapText="1"/>
    </xf>
    <xf numFmtId="0" fontId="54" fillId="3" borderId="1" xfId="0" applyFont="1" applyFill="1" applyBorder="1" applyAlignment="1">
      <alignment horizontal="left" vertical="center" wrapText="1"/>
    </xf>
    <xf numFmtId="0" fontId="66" fillId="3" borderId="0" xfId="0" applyFont="1" applyFill="1" applyAlignment="1">
      <alignment horizontal="left" vertical="center" wrapText="1"/>
    </xf>
    <xf numFmtId="0" fontId="62" fillId="19" borderId="29" xfId="33" applyFont="1" applyFill="1" applyBorder="1" applyAlignment="1" applyProtection="1">
      <alignment horizontal="center" vertical="center" wrapText="1"/>
      <protection locked="0"/>
    </xf>
    <xf numFmtId="0" fontId="62" fillId="19" borderId="53" xfId="33" applyFont="1" applyFill="1" applyBorder="1" applyAlignment="1" applyProtection="1">
      <alignment horizontal="center" vertical="center" wrapText="1"/>
      <protection locked="0"/>
    </xf>
    <xf numFmtId="0" fontId="62" fillId="19" borderId="48" xfId="33" applyFont="1" applyFill="1" applyBorder="1" applyAlignment="1" applyProtection="1">
      <alignment horizontal="center" vertical="center" wrapText="1"/>
      <protection locked="0"/>
    </xf>
    <xf numFmtId="0" fontId="62" fillId="19" borderId="18" xfId="33" applyFont="1" applyFill="1" applyBorder="1" applyAlignment="1" applyProtection="1">
      <alignment horizontal="center" vertical="center" wrapText="1"/>
      <protection locked="0"/>
    </xf>
    <xf numFmtId="0" fontId="62" fillId="19" borderId="10" xfId="33" applyFont="1" applyFill="1" applyBorder="1" applyAlignment="1" applyProtection="1">
      <alignment horizontal="center" vertical="center" wrapText="1"/>
      <protection locked="0"/>
    </xf>
    <xf numFmtId="0" fontId="62" fillId="19" borderId="17" xfId="33" applyFont="1" applyFill="1" applyBorder="1" applyAlignment="1" applyProtection="1">
      <alignment horizontal="center" vertical="center" wrapText="1"/>
      <protection locked="0"/>
    </xf>
    <xf numFmtId="183" fontId="62" fillId="19" borderId="10" xfId="33" applyNumberFormat="1" applyFont="1" applyFill="1" applyBorder="1" applyAlignment="1" applyProtection="1">
      <alignment horizontal="center" vertical="center" wrapText="1"/>
      <protection locked="0"/>
    </xf>
    <xf numFmtId="14" fontId="62" fillId="19" borderId="10" xfId="33" applyNumberFormat="1" applyFont="1" applyFill="1" applyBorder="1" applyAlignment="1">
      <alignment horizontal="center" vertical="center" wrapText="1"/>
    </xf>
    <xf numFmtId="14" fontId="62" fillId="19" borderId="17" xfId="33" applyNumberFormat="1" applyFont="1" applyFill="1" applyBorder="1" applyAlignment="1">
      <alignment horizontal="center" vertical="center" wrapText="1"/>
    </xf>
    <xf numFmtId="0" fontId="62" fillId="19" borderId="30" xfId="33" applyFont="1" applyFill="1" applyBorder="1" applyAlignment="1" applyProtection="1">
      <alignment horizontal="center" vertical="center" wrapText="1"/>
      <protection locked="0"/>
    </xf>
    <xf numFmtId="0" fontId="62" fillId="19" borderId="21" xfId="33" applyFont="1" applyFill="1" applyBorder="1" applyAlignment="1" applyProtection="1">
      <alignment horizontal="center" vertical="center" wrapText="1"/>
      <protection locked="0"/>
    </xf>
    <xf numFmtId="0" fontId="61" fillId="0" borderId="0" xfId="33" applyFont="1" applyAlignment="1" applyProtection="1">
      <alignment horizontal="left" vertical="top" wrapText="1"/>
      <protection locked="0"/>
    </xf>
    <xf numFmtId="0" fontId="60" fillId="0" borderId="0" xfId="33" applyFont="1" applyAlignment="1" applyProtection="1">
      <alignment horizontal="left" vertical="top" wrapText="1"/>
      <protection locked="0"/>
    </xf>
    <xf numFmtId="183" fontId="62" fillId="19" borderId="17" xfId="33" applyNumberFormat="1" applyFont="1" applyFill="1" applyBorder="1" applyAlignment="1" applyProtection="1">
      <alignment horizontal="center" vertical="center" wrapText="1"/>
      <protection locked="0"/>
    </xf>
    <xf numFmtId="0" fontId="24" fillId="25" borderId="102" xfId="33" applyFont="1" applyFill="1" applyBorder="1" applyAlignment="1" applyProtection="1">
      <alignment horizontal="center" vertical="center" wrapText="1"/>
      <protection locked="0"/>
    </xf>
    <xf numFmtId="0" fontId="24" fillId="25" borderId="105" xfId="33" applyFont="1" applyFill="1" applyBorder="1" applyAlignment="1" applyProtection="1">
      <alignment horizontal="center" vertical="center" wrapText="1"/>
      <protection locked="0"/>
    </xf>
    <xf numFmtId="0" fontId="24" fillId="25" borderId="101" xfId="33" applyFont="1" applyFill="1" applyBorder="1" applyAlignment="1" applyProtection="1">
      <alignment horizontal="center" vertical="center" wrapText="1"/>
      <protection locked="0"/>
    </xf>
    <xf numFmtId="0" fontId="24" fillId="25" borderId="104" xfId="33" applyFont="1" applyFill="1" applyBorder="1" applyAlignment="1" applyProtection="1">
      <alignment horizontal="center" vertical="center" wrapText="1"/>
      <protection locked="0"/>
    </xf>
    <xf numFmtId="14" fontId="24" fillId="25" borderId="102" xfId="33" applyNumberFormat="1" applyFont="1" applyFill="1" applyBorder="1" applyAlignment="1">
      <alignment horizontal="center" vertical="center" wrapText="1"/>
    </xf>
    <xf numFmtId="14" fontId="24" fillId="25" borderId="105" xfId="33" applyNumberFormat="1" applyFont="1" applyFill="1" applyBorder="1" applyAlignment="1">
      <alignment horizontal="center" vertical="center" wrapText="1"/>
    </xf>
    <xf numFmtId="184" fontId="24" fillId="25" borderId="102" xfId="33" applyNumberFormat="1" applyFont="1" applyFill="1" applyBorder="1" applyAlignment="1" applyProtection="1">
      <alignment horizontal="center" vertical="center" wrapText="1"/>
      <protection locked="0"/>
    </xf>
    <xf numFmtId="184" fontId="24" fillId="25" borderId="105" xfId="33" applyNumberFormat="1" applyFont="1" applyFill="1" applyBorder="1" applyAlignment="1" applyProtection="1">
      <alignment horizontal="center" vertical="center" wrapText="1"/>
      <protection locked="0"/>
    </xf>
    <xf numFmtId="183" fontId="24" fillId="25" borderId="102" xfId="33" applyNumberFormat="1" applyFont="1" applyFill="1" applyBorder="1" applyAlignment="1" applyProtection="1">
      <alignment horizontal="center" vertical="center" wrapText="1"/>
      <protection locked="0"/>
    </xf>
    <xf numFmtId="183" fontId="24" fillId="25" borderId="103" xfId="33" applyNumberFormat="1" applyFont="1" applyFill="1" applyBorder="1" applyAlignment="1" applyProtection="1">
      <alignment horizontal="center" vertical="center" wrapText="1"/>
      <protection locked="0"/>
    </xf>
    <xf numFmtId="0" fontId="24" fillId="25" borderId="107" xfId="33" applyFont="1" applyFill="1" applyBorder="1" applyAlignment="1" applyProtection="1">
      <alignment horizontal="center" vertical="center" wrapText="1"/>
      <protection locked="0"/>
    </xf>
    <xf numFmtId="0" fontId="24" fillId="25" borderId="108" xfId="33" applyFont="1" applyFill="1" applyBorder="1" applyAlignment="1" applyProtection="1">
      <alignment horizontal="center" vertical="center" wrapText="1"/>
      <protection locked="0"/>
    </xf>
    <xf numFmtId="49" fontId="97" fillId="0" borderId="1" xfId="37" applyNumberFormat="1" applyFont="1" applyBorder="1" applyAlignment="1" applyProtection="1">
      <alignment horizontal="left" vertical="center" wrapText="1"/>
      <protection locked="0"/>
    </xf>
    <xf numFmtId="49" fontId="97" fillId="0" borderId="7" xfId="37" applyNumberFormat="1" applyFont="1" applyBorder="1" applyAlignment="1" applyProtection="1">
      <alignment horizontal="center" vertical="center" wrapText="1"/>
      <protection locked="0"/>
    </xf>
    <xf numFmtId="49" fontId="97" fillId="0" borderId="1" xfId="37" applyNumberFormat="1" applyFont="1" applyBorder="1" applyAlignment="1" applyProtection="1">
      <alignment horizontal="center" vertical="center" wrapText="1"/>
      <protection locked="0"/>
    </xf>
    <xf numFmtId="49" fontId="97" fillId="0" borderId="80" xfId="37" applyNumberFormat="1" applyFont="1" applyBorder="1" applyAlignment="1" applyProtection="1">
      <alignment horizontal="center" vertical="center" wrapText="1"/>
      <protection locked="0"/>
    </xf>
    <xf numFmtId="49" fontId="13" fillId="0" borderId="0" xfId="37" applyNumberFormat="1" applyFont="1" applyAlignment="1">
      <alignment horizontal="left" vertical="center" wrapText="1"/>
    </xf>
    <xf numFmtId="0" fontId="13" fillId="0" borderId="0" xfId="37" applyFont="1" applyAlignment="1">
      <alignment horizontal="left" vertical="center"/>
    </xf>
    <xf numFmtId="186" fontId="13" fillId="0" borderId="15" xfId="37" applyNumberFormat="1" applyFont="1" applyBorder="1" applyAlignment="1">
      <alignment horizontal="left" vertical="center" wrapText="1"/>
    </xf>
    <xf numFmtId="49" fontId="18" fillId="9" borderId="74" xfId="37" applyNumberFormat="1" applyFont="1" applyFill="1" applyBorder="1" applyAlignment="1" applyProtection="1">
      <alignment horizontal="left" vertical="center" wrapText="1"/>
      <protection locked="0"/>
    </xf>
    <xf numFmtId="49" fontId="18" fillId="9" borderId="75" xfId="37" applyNumberFormat="1" applyFont="1" applyFill="1" applyBorder="1" applyAlignment="1" applyProtection="1">
      <alignment horizontal="left" vertical="center" wrapText="1"/>
      <protection locked="0"/>
    </xf>
    <xf numFmtId="49" fontId="18" fillId="9" borderId="76" xfId="37" applyNumberFormat="1" applyFont="1" applyFill="1" applyBorder="1" applyAlignment="1" applyProtection="1">
      <alignment horizontal="left" vertical="center" wrapText="1"/>
      <protection locked="0"/>
    </xf>
    <xf numFmtId="49" fontId="18" fillId="9" borderId="77" xfId="37" applyNumberFormat="1" applyFont="1" applyFill="1" applyBorder="1" applyAlignment="1" applyProtection="1">
      <alignment horizontal="left" vertical="center" wrapText="1"/>
      <protection locked="0"/>
    </xf>
    <xf numFmtId="49" fontId="18" fillId="9" borderId="78" xfId="37" applyNumberFormat="1" applyFont="1" applyFill="1" applyBorder="1" applyAlignment="1" applyProtection="1">
      <alignment horizontal="left" vertical="center" wrapText="1"/>
      <protection locked="0"/>
    </xf>
    <xf numFmtId="49" fontId="97" fillId="17" borderId="1" xfId="37" applyNumberFormat="1" applyFont="1" applyFill="1" applyBorder="1" applyAlignment="1" applyProtection="1">
      <alignment horizontal="left" vertical="center" wrapText="1"/>
      <protection locked="0"/>
    </xf>
    <xf numFmtId="49" fontId="97" fillId="17" borderId="80" xfId="37" applyNumberFormat="1" applyFont="1" applyFill="1" applyBorder="1" applyAlignment="1" applyProtection="1">
      <alignment horizontal="left" vertical="center" wrapText="1"/>
      <protection locked="0"/>
    </xf>
    <xf numFmtId="49" fontId="97" fillId="0" borderId="22" xfId="37" applyNumberFormat="1" applyFont="1" applyBorder="1" applyAlignment="1" applyProtection="1">
      <alignment horizontal="center" vertical="center" wrapText="1"/>
      <protection locked="0"/>
    </xf>
    <xf numFmtId="49" fontId="97" fillId="0" borderId="81" xfId="37" applyNumberFormat="1" applyFont="1" applyBorder="1" applyAlignment="1" applyProtection="1">
      <alignment horizontal="center" vertical="center" wrapText="1"/>
      <protection locked="0"/>
    </xf>
    <xf numFmtId="49" fontId="97" fillId="0" borderId="2" xfId="37" applyNumberFormat="1" applyFont="1" applyBorder="1" applyAlignment="1" applyProtection="1">
      <alignment horizontal="left" vertical="center" wrapText="1"/>
      <protection locked="0"/>
    </xf>
    <xf numFmtId="49" fontId="97" fillId="0" borderId="22" xfId="37" applyNumberFormat="1" applyFont="1" applyBorder="1" applyAlignment="1" applyProtection="1">
      <alignment horizontal="left" vertical="center" wrapText="1"/>
      <protection locked="0"/>
    </xf>
    <xf numFmtId="49" fontId="97" fillId="0" borderId="7" xfId="37" applyNumberFormat="1" applyFont="1" applyBorder="1" applyAlignment="1" applyProtection="1">
      <alignment horizontal="left" vertical="center" wrapText="1"/>
      <protection locked="0"/>
    </xf>
    <xf numFmtId="49" fontId="97" fillId="0" borderId="2" xfId="37" applyNumberFormat="1" applyFont="1" applyBorder="1" applyAlignment="1" applyProtection="1">
      <alignment horizontal="center" vertical="center" wrapText="1"/>
      <protection locked="0"/>
    </xf>
    <xf numFmtId="49" fontId="97" fillId="17" borderId="2" xfId="37" applyNumberFormat="1" applyFont="1" applyFill="1" applyBorder="1" applyAlignment="1" applyProtection="1">
      <alignment horizontal="left" vertical="center" wrapText="1"/>
      <protection locked="0"/>
    </xf>
    <xf numFmtId="49" fontId="97" fillId="17" borderId="22" xfId="37" applyNumberFormat="1" applyFont="1" applyFill="1" applyBorder="1" applyAlignment="1" applyProtection="1">
      <alignment horizontal="left" vertical="center" wrapText="1"/>
      <protection locked="0"/>
    </xf>
    <xf numFmtId="49" fontId="97" fillId="17" borderId="81" xfId="37" applyNumberFormat="1" applyFont="1" applyFill="1" applyBorder="1" applyAlignment="1" applyProtection="1">
      <alignment horizontal="left" vertical="center" wrapText="1"/>
      <protection locked="0"/>
    </xf>
    <xf numFmtId="49" fontId="97" fillId="0" borderId="5" xfId="37" applyNumberFormat="1" applyFont="1" applyBorder="1" applyAlignment="1" applyProtection="1">
      <alignment horizontal="left" vertical="center" wrapText="1"/>
      <protection locked="0"/>
    </xf>
    <xf numFmtId="49" fontId="97" fillId="0" borderId="83" xfId="37" applyNumberFormat="1" applyFont="1" applyBorder="1" applyAlignment="1" applyProtection="1">
      <alignment horizontal="left" vertical="center" wrapText="1"/>
      <protection locked="0"/>
    </xf>
    <xf numFmtId="49" fontId="97" fillId="0" borderId="84" xfId="37" applyNumberFormat="1" applyFont="1" applyBorder="1" applyAlignment="1" applyProtection="1">
      <alignment horizontal="left" vertical="center" wrapText="1"/>
      <protection locked="0"/>
    </xf>
    <xf numFmtId="49" fontId="97" fillId="0" borderId="84" xfId="37" applyNumberFormat="1" applyFont="1" applyBorder="1" applyAlignment="1" applyProtection="1">
      <alignment horizontal="center" vertical="center" wrapText="1"/>
      <protection locked="0"/>
    </xf>
    <xf numFmtId="49" fontId="97" fillId="0" borderId="85" xfId="37" applyNumberFormat="1" applyFont="1" applyBorder="1" applyAlignment="1" applyProtection="1">
      <alignment horizontal="center" vertical="center" wrapText="1"/>
      <protection locked="0"/>
    </xf>
    <xf numFmtId="49" fontId="18" fillId="9" borderId="87" xfId="37" applyNumberFormat="1" applyFont="1" applyFill="1" applyBorder="1" applyAlignment="1" applyProtection="1">
      <alignment horizontal="left" vertical="center" wrapText="1"/>
      <protection locked="0"/>
    </xf>
    <xf numFmtId="49" fontId="18" fillId="9" borderId="88" xfId="37" applyNumberFormat="1" applyFont="1" applyFill="1" applyBorder="1" applyAlignment="1" applyProtection="1">
      <alignment horizontal="left" vertical="center" wrapText="1"/>
      <protection locked="0"/>
    </xf>
    <xf numFmtId="49" fontId="18" fillId="9" borderId="89" xfId="37" applyNumberFormat="1" applyFont="1" applyFill="1" applyBorder="1" applyAlignment="1" applyProtection="1">
      <alignment horizontal="left" vertical="center" wrapText="1"/>
      <protection locked="0"/>
    </xf>
    <xf numFmtId="179" fontId="37" fillId="12" borderId="0" xfId="2" applyNumberFormat="1" applyFont="1" applyFill="1" applyAlignment="1">
      <alignment horizontal="center"/>
    </xf>
    <xf numFmtId="0" fontId="107" fillId="21" borderId="65" xfId="35" applyFont="1" applyFill="1" applyBorder="1" applyAlignment="1">
      <alignment horizontal="center" vertical="center" wrapText="1"/>
    </xf>
    <xf numFmtId="0" fontId="24" fillId="21" borderId="70" xfId="35" applyFont="1" applyFill="1" applyBorder="1" applyAlignment="1">
      <alignment horizontal="center" vertical="center" wrapText="1"/>
    </xf>
    <xf numFmtId="0" fontId="107" fillId="21" borderId="64" xfId="35" applyFont="1" applyFill="1" applyBorder="1" applyAlignment="1">
      <alignment horizontal="center" vertical="center" wrapText="1"/>
    </xf>
    <xf numFmtId="0" fontId="24" fillId="21" borderId="69" xfId="35" applyFont="1" applyFill="1" applyBorder="1" applyAlignment="1">
      <alignment horizontal="center" vertical="center" wrapText="1"/>
    </xf>
    <xf numFmtId="0" fontId="107" fillId="21" borderId="70" xfId="35" applyFont="1" applyFill="1" applyBorder="1" applyAlignment="1">
      <alignment horizontal="center" vertical="center" wrapText="1"/>
    </xf>
    <xf numFmtId="0" fontId="80" fillId="6" borderId="65" xfId="35" applyFont="1" applyFill="1" applyBorder="1" applyAlignment="1">
      <alignment horizontal="center" vertical="center" wrapText="1"/>
    </xf>
    <xf numFmtId="0" fontId="80" fillId="6" borderId="70" xfId="35" applyFont="1" applyFill="1" applyBorder="1" applyAlignment="1">
      <alignment horizontal="center" vertical="center" wrapText="1"/>
    </xf>
    <xf numFmtId="0" fontId="80" fillId="6" borderId="66" xfId="35" applyFont="1" applyFill="1" applyBorder="1" applyAlignment="1">
      <alignment horizontal="center" vertical="center" wrapText="1"/>
    </xf>
    <xf numFmtId="0" fontId="80" fillId="6" borderId="67" xfId="35" applyFont="1" applyFill="1" applyBorder="1" applyAlignment="1">
      <alignment horizontal="center" vertical="center" wrapText="1"/>
    </xf>
    <xf numFmtId="0" fontId="80" fillId="6" borderId="68" xfId="35" applyFont="1" applyFill="1" applyBorder="1" applyAlignment="1">
      <alignment horizontal="center" vertical="center" wrapText="1"/>
    </xf>
    <xf numFmtId="0" fontId="80" fillId="0" borderId="0" xfId="35" applyFont="1" applyAlignment="1">
      <alignment horizontal="center" vertical="center" wrapText="1"/>
    </xf>
    <xf numFmtId="0" fontId="147" fillId="0" borderId="0" xfId="0" applyFont="1" applyAlignment="1">
      <alignment horizontal="center" vertical="center" wrapText="1"/>
    </xf>
    <xf numFmtId="9" fontId="38" fillId="0" borderId="0" xfId="2" applyFont="1" applyBorder="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horizontal="center" vertical="center"/>
    </xf>
    <xf numFmtId="0" fontId="54" fillId="0" borderId="0" xfId="0" applyFont="1" applyAlignment="1">
      <alignment horizontal="center" vertical="center" wrapText="1"/>
    </xf>
    <xf numFmtId="0" fontId="54" fillId="3" borderId="0" xfId="0" applyFont="1" applyFill="1" applyAlignment="1">
      <alignment horizontal="center" vertical="center" wrapText="1"/>
    </xf>
    <xf numFmtId="0" fontId="29" fillId="0" borderId="132" xfId="0" applyFont="1" applyBorder="1" applyAlignment="1">
      <alignment horizontal="center" vertical="center" wrapText="1"/>
    </xf>
    <xf numFmtId="0" fontId="9" fillId="5" borderId="1" xfId="0" applyFont="1" applyFill="1" applyBorder="1" applyAlignment="1">
      <alignment horizontal="center" vertical="center"/>
    </xf>
    <xf numFmtId="0" fontId="9" fillId="5" borderId="0" xfId="0" applyFont="1" applyFill="1" applyAlignment="1">
      <alignment horizontal="center" vertical="center"/>
    </xf>
    <xf numFmtId="0" fontId="54" fillId="3" borderId="1" xfId="0" applyFont="1" applyFill="1" applyBorder="1" applyAlignment="1">
      <alignment horizontal="center" vertical="center" wrapText="1"/>
    </xf>
    <xf numFmtId="0" fontId="54" fillId="0" borderId="1" xfId="0" applyFont="1" applyBorder="1" applyAlignment="1">
      <alignment horizontal="center" vertical="center" wrapText="1"/>
    </xf>
    <xf numFmtId="0" fontId="66" fillId="0" borderId="0" xfId="0" applyFont="1" applyAlignment="1">
      <alignment horizontal="center" vertical="center" wrapText="1"/>
    </xf>
    <xf numFmtId="9" fontId="15" fillId="0" borderId="17" xfId="2" applyFont="1" applyFill="1" applyBorder="1" applyAlignment="1">
      <alignment horizontal="center" vertical="center" wrapText="1"/>
    </xf>
    <xf numFmtId="9" fontId="15" fillId="0" borderId="19" xfId="2" applyFont="1" applyFill="1" applyBorder="1" applyAlignment="1">
      <alignment horizontal="center" vertical="center" wrapText="1"/>
    </xf>
    <xf numFmtId="9" fontId="15" fillId="0" borderId="5" xfId="2" applyFont="1" applyFill="1" applyBorder="1" applyAlignment="1">
      <alignment horizontal="center" vertical="center" wrapText="1"/>
    </xf>
    <xf numFmtId="0" fontId="20" fillId="9" borderId="37" xfId="0" applyFont="1" applyFill="1" applyBorder="1" applyAlignment="1">
      <alignment horizontal="left" vertical="center" wrapText="1"/>
    </xf>
    <xf numFmtId="0" fontId="20" fillId="9" borderId="22" xfId="0" applyFont="1" applyFill="1" applyBorder="1" applyAlignment="1">
      <alignment horizontal="left" vertical="center" wrapText="1"/>
    </xf>
    <xf numFmtId="9" fontId="15" fillId="0" borderId="1" xfId="2" applyFont="1" applyFill="1" applyBorder="1" applyAlignment="1">
      <alignment horizontal="center" vertical="center" wrapText="1"/>
    </xf>
    <xf numFmtId="0" fontId="20" fillId="9" borderId="39" xfId="0" applyFont="1" applyFill="1" applyBorder="1" applyAlignment="1">
      <alignment horizontal="left" vertical="center" wrapText="1"/>
    </xf>
    <xf numFmtId="0" fontId="20" fillId="9" borderId="15" xfId="0" applyFont="1" applyFill="1" applyBorder="1" applyAlignment="1">
      <alignment horizontal="left" vertical="center" wrapText="1"/>
    </xf>
    <xf numFmtId="9" fontId="15" fillId="0" borderId="17" xfId="2" applyFont="1" applyBorder="1" applyAlignment="1">
      <alignment horizontal="center" vertical="center" wrapText="1"/>
    </xf>
    <xf numFmtId="9" fontId="15" fillId="0" borderId="19" xfId="2" applyFont="1" applyBorder="1" applyAlignment="1">
      <alignment horizontal="center" vertical="center" wrapText="1"/>
    </xf>
    <xf numFmtId="9" fontId="15" fillId="0" borderId="18" xfId="2" applyFont="1" applyBorder="1" applyAlignment="1">
      <alignment horizontal="center" vertical="center" wrapText="1"/>
    </xf>
    <xf numFmtId="0" fontId="0" fillId="10" borderId="1" xfId="0" applyFill="1" applyBorder="1" applyAlignment="1">
      <alignment horizontal="center" vertical="center"/>
    </xf>
    <xf numFmtId="0" fontId="0" fillId="0" borderId="20" xfId="0" applyBorder="1" applyAlignment="1">
      <alignment horizontal="center" vertical="center"/>
    </xf>
    <xf numFmtId="0" fontId="0" fillId="0" borderId="1" xfId="0" applyBorder="1" applyAlignment="1">
      <alignment horizontal="left" vertical="center" wrapText="1"/>
    </xf>
    <xf numFmtId="0" fontId="105" fillId="10" borderId="1" xfId="0" applyFont="1" applyFill="1" applyBorder="1" applyAlignment="1">
      <alignment horizontal="center" vertical="center"/>
    </xf>
    <xf numFmtId="0" fontId="9" fillId="0" borderId="0" xfId="0" applyFont="1" applyAlignment="1">
      <alignment horizontal="left" vertical="center" wrapText="1" readingOrder="1"/>
    </xf>
    <xf numFmtId="0" fontId="9" fillId="0" borderId="0" xfId="0" applyFont="1" applyAlignment="1">
      <alignment horizontal="center"/>
    </xf>
    <xf numFmtId="0" fontId="9" fillId="0" borderId="0" xfId="0" applyFont="1" applyAlignment="1">
      <alignment horizontal="center" vertical="center" wrapText="1" readingOrder="1"/>
    </xf>
    <xf numFmtId="0" fontId="26" fillId="9" borderId="2" xfId="0" applyFont="1" applyFill="1" applyBorder="1" applyAlignment="1">
      <alignment vertical="center" wrapText="1"/>
    </xf>
    <xf numFmtId="0" fontId="26" fillId="9" borderId="22" xfId="0" applyFont="1" applyFill="1" applyBorder="1" applyAlignment="1">
      <alignment vertical="center" wrapText="1"/>
    </xf>
    <xf numFmtId="0" fontId="26" fillId="9" borderId="7" xfId="0" applyFont="1" applyFill="1" applyBorder="1" applyAlignment="1">
      <alignment vertical="center" wrapText="1"/>
    </xf>
    <xf numFmtId="0" fontId="26" fillId="9" borderId="1" xfId="0" applyFont="1" applyFill="1" applyBorder="1" applyAlignment="1">
      <alignment vertical="center" wrapText="1"/>
    </xf>
    <xf numFmtId="0" fontId="133" fillId="0" borderId="0" xfId="0" applyFont="1" applyAlignment="1">
      <alignment horizontal="left" vertical="top"/>
    </xf>
    <xf numFmtId="0" fontId="121" fillId="0" borderId="0" xfId="0" applyFont="1" applyAlignment="1">
      <alignment horizontal="left" vertical="center"/>
    </xf>
    <xf numFmtId="0" fontId="0" fillId="0" borderId="1" xfId="0" applyBorder="1" applyAlignment="1">
      <alignment horizontal="center" vertical="center" wrapText="1"/>
    </xf>
    <xf numFmtId="0" fontId="158" fillId="0" borderId="0" xfId="0" applyFont="1" applyAlignment="1">
      <alignment horizontal="center" vertical="center" wrapText="1"/>
    </xf>
    <xf numFmtId="0" fontId="11" fillId="8" borderId="46" xfId="0" applyFont="1" applyFill="1" applyBorder="1" applyAlignment="1">
      <alignment horizontal="center" vertical="center" wrapText="1"/>
    </xf>
    <xf numFmtId="0" fontId="11" fillId="8" borderId="6" xfId="0" applyFont="1" applyFill="1" applyBorder="1" applyAlignment="1">
      <alignment horizontal="center" vertical="center" wrapText="1"/>
    </xf>
    <xf numFmtId="0" fontId="62" fillId="8" borderId="2" xfId="0" applyFont="1" applyFill="1" applyBorder="1" applyAlignment="1">
      <alignment horizontal="center" vertical="center"/>
    </xf>
    <xf numFmtId="0" fontId="62" fillId="8" borderId="22" xfId="0" applyFont="1" applyFill="1" applyBorder="1" applyAlignment="1">
      <alignment horizontal="center" vertical="center"/>
    </xf>
    <xf numFmtId="0" fontId="62" fillId="8" borderId="7" xfId="0" applyFont="1" applyFill="1" applyBorder="1" applyAlignment="1">
      <alignment horizontal="center" vertical="center"/>
    </xf>
    <xf numFmtId="0" fontId="62" fillId="16" borderId="2" xfId="0" applyFont="1" applyFill="1" applyBorder="1" applyAlignment="1">
      <alignment horizontal="center" vertical="center"/>
    </xf>
    <xf numFmtId="0" fontId="62" fillId="16" borderId="22" xfId="0" applyFont="1" applyFill="1" applyBorder="1" applyAlignment="1">
      <alignment horizontal="center" vertical="center"/>
    </xf>
    <xf numFmtId="0" fontId="62" fillId="16" borderId="7" xfId="0" applyFont="1" applyFill="1" applyBorder="1" applyAlignment="1">
      <alignment horizontal="center" vertical="center"/>
    </xf>
    <xf numFmtId="0" fontId="104" fillId="0" borderId="0" xfId="33" quotePrefix="1" applyFont="1" applyAlignment="1">
      <alignment horizontal="center" vertical="center"/>
    </xf>
    <xf numFmtId="0" fontId="91" fillId="20" borderId="0" xfId="33" applyFont="1" applyFill="1" applyAlignment="1">
      <alignment horizontal="center" vertical="center"/>
    </xf>
    <xf numFmtId="0" fontId="0" fillId="0" borderId="0" xfId="0" applyAlignment="1">
      <alignment horizontal="center" vertical="center"/>
    </xf>
    <xf numFmtId="0" fontId="160" fillId="37" borderId="10" xfId="0" applyFont="1" applyFill="1" applyBorder="1" applyAlignment="1">
      <alignment horizontal="center" vertical="center" wrapText="1"/>
    </xf>
    <xf numFmtId="0" fontId="160" fillId="37" borderId="30" xfId="0" applyFont="1" applyFill="1" applyBorder="1" applyAlignment="1">
      <alignment horizontal="center" vertical="center" wrapText="1"/>
    </xf>
    <xf numFmtId="0" fontId="160" fillId="37" borderId="29" xfId="0" applyFont="1" applyFill="1" applyBorder="1" applyAlignment="1">
      <alignment horizontal="center" vertical="center" textRotation="90" wrapText="1"/>
    </xf>
    <xf numFmtId="0" fontId="160" fillId="37" borderId="145" xfId="0" applyFont="1" applyFill="1" applyBorder="1" applyAlignment="1">
      <alignment horizontal="center" vertical="center" textRotation="90" wrapText="1"/>
    </xf>
    <xf numFmtId="0" fontId="160" fillId="37" borderId="3" xfId="0" applyFont="1" applyFill="1" applyBorder="1" applyAlignment="1">
      <alignment horizontal="center" vertical="center" wrapText="1"/>
    </xf>
    <xf numFmtId="0" fontId="161" fillId="0" borderId="31" xfId="0" applyFont="1" applyBorder="1" applyAlignment="1">
      <alignment vertical="center" wrapText="1"/>
    </xf>
    <xf numFmtId="0" fontId="161" fillId="0" borderId="1" xfId="0" applyFont="1" applyBorder="1" applyAlignment="1">
      <alignment vertical="center" wrapText="1"/>
    </xf>
    <xf numFmtId="0" fontId="161" fillId="0" borderId="32" xfId="0" applyFont="1" applyBorder="1" applyAlignment="1">
      <alignment vertical="center" wrapText="1"/>
    </xf>
    <xf numFmtId="0" fontId="162" fillId="0" borderId="145" xfId="0" applyFont="1" applyBorder="1" applyAlignment="1">
      <alignment vertical="center" wrapText="1"/>
    </xf>
    <xf numFmtId="0" fontId="162" fillId="0" borderId="3" xfId="0" applyFont="1" applyBorder="1" applyAlignment="1">
      <alignment vertical="center" wrapText="1"/>
    </xf>
    <xf numFmtId="0" fontId="162" fillId="0" borderId="4" xfId="0" applyFont="1" applyBorder="1" applyAlignment="1">
      <alignment vertical="center" wrapText="1"/>
    </xf>
    <xf numFmtId="0" fontId="161" fillId="37" borderId="31" xfId="0" applyFont="1" applyFill="1" applyBorder="1" applyAlignment="1">
      <alignment vertical="center" wrapText="1"/>
    </xf>
    <xf numFmtId="0" fontId="161" fillId="37" borderId="1" xfId="0" applyFont="1" applyFill="1" applyBorder="1" applyAlignment="1">
      <alignment vertical="center" wrapText="1"/>
    </xf>
    <xf numFmtId="0" fontId="161" fillId="37" borderId="32" xfId="0" applyFont="1" applyFill="1" applyBorder="1" applyAlignment="1">
      <alignment vertical="center" wrapText="1"/>
    </xf>
    <xf numFmtId="0" fontId="161" fillId="37" borderId="11" xfId="0" applyFont="1" applyFill="1" applyBorder="1" applyAlignment="1">
      <alignment vertical="center" wrapText="1"/>
    </xf>
    <xf numFmtId="0" fontId="161" fillId="37" borderId="12" xfId="0" applyFont="1" applyFill="1" applyBorder="1" applyAlignment="1">
      <alignment vertical="center" wrapText="1"/>
    </xf>
    <xf numFmtId="0" fontId="161" fillId="37" borderId="14" xfId="0" applyFont="1" applyFill="1" applyBorder="1" applyAlignment="1">
      <alignment vertical="center" wrapText="1"/>
    </xf>
    <xf numFmtId="0" fontId="161" fillId="37" borderId="147" xfId="0" applyFont="1" applyFill="1" applyBorder="1" applyAlignment="1">
      <alignment vertical="center" wrapText="1"/>
    </xf>
    <xf numFmtId="0" fontId="161" fillId="37" borderId="144" xfId="0" applyFont="1" applyFill="1" applyBorder="1" applyAlignment="1">
      <alignment vertical="center" wrapText="1"/>
    </xf>
    <xf numFmtId="0" fontId="161" fillId="37" borderId="116" xfId="0" applyFont="1" applyFill="1" applyBorder="1" applyAlignment="1">
      <alignment vertical="center" wrapText="1"/>
    </xf>
    <xf numFmtId="0" fontId="155" fillId="9" borderId="10" xfId="0" applyFont="1" applyFill="1" applyBorder="1" applyAlignment="1">
      <alignment horizontal="center" vertical="center" wrapText="1"/>
    </xf>
    <xf numFmtId="0" fontId="155" fillId="9" borderId="1" xfId="0" applyFont="1" applyFill="1" applyBorder="1" applyAlignment="1">
      <alignment horizontal="center" vertical="center" wrapText="1"/>
    </xf>
    <xf numFmtId="0" fontId="155" fillId="9" borderId="30" xfId="0" applyFont="1" applyFill="1" applyBorder="1" applyAlignment="1">
      <alignment horizontal="center" vertical="center" wrapText="1"/>
    </xf>
    <xf numFmtId="0" fontId="105" fillId="9" borderId="29" xfId="0" applyFont="1" applyFill="1" applyBorder="1" applyAlignment="1">
      <alignment horizontal="center" vertical="center" textRotation="90"/>
    </xf>
    <xf numFmtId="0" fontId="105" fillId="9" borderId="31" xfId="0" applyFont="1" applyFill="1" applyBorder="1" applyAlignment="1">
      <alignment horizontal="center" vertical="center" textRotation="90"/>
    </xf>
    <xf numFmtId="0" fontId="161" fillId="0" borderId="149" xfId="0" applyFont="1" applyBorder="1" applyAlignment="1">
      <alignment horizontal="center" vertical="center" wrapText="1"/>
    </xf>
    <xf numFmtId="0" fontId="161" fillId="0" borderId="150" xfId="0" applyFont="1" applyBorder="1" applyAlignment="1">
      <alignment horizontal="center" vertical="center" wrapText="1"/>
    </xf>
    <xf numFmtId="0" fontId="105" fillId="0" borderId="149" xfId="0" applyFont="1" applyBorder="1" applyAlignment="1">
      <alignment horizontal="center" vertical="center" wrapText="1"/>
    </xf>
    <xf numFmtId="0" fontId="105" fillId="0" borderId="150" xfId="0" applyFont="1" applyBorder="1" applyAlignment="1">
      <alignment horizontal="center" vertical="center" wrapText="1"/>
    </xf>
    <xf numFmtId="0" fontId="161" fillId="0" borderId="149" xfId="0" applyFont="1" applyBorder="1" applyAlignment="1">
      <alignment vertical="center" wrapText="1"/>
    </xf>
    <xf numFmtId="0" fontId="161" fillId="0" borderId="150" xfId="0" applyFont="1" applyBorder="1" applyAlignment="1">
      <alignment vertical="center" wrapText="1"/>
    </xf>
    <xf numFmtId="9" fontId="161" fillId="0" borderId="149" xfId="0" applyNumberFormat="1" applyFont="1" applyBorder="1" applyAlignment="1">
      <alignment vertical="center" wrapText="1"/>
    </xf>
    <xf numFmtId="9" fontId="161" fillId="0" borderId="150" xfId="0" applyNumberFormat="1" applyFont="1" applyBorder="1" applyAlignment="1">
      <alignment vertical="center" wrapText="1"/>
    </xf>
    <xf numFmtId="0" fontId="162" fillId="0" borderId="1" xfId="0" applyFont="1" applyBorder="1" applyAlignment="1">
      <alignment vertical="center" wrapText="1"/>
    </xf>
    <xf numFmtId="0" fontId="160" fillId="37" borderId="1" xfId="0" applyFont="1" applyFill="1" applyBorder="1" applyAlignment="1">
      <alignment horizontal="center" vertical="center" wrapText="1"/>
    </xf>
    <xf numFmtId="0" fontId="160" fillId="37" borderId="1" xfId="0" applyFont="1" applyFill="1" applyBorder="1" applyAlignment="1">
      <alignment horizontal="center" vertical="center" textRotation="90" wrapText="1"/>
    </xf>
    <xf numFmtId="0" fontId="105" fillId="0" borderId="11" xfId="0" applyFont="1" applyBorder="1" applyAlignment="1">
      <alignment horizontal="left" vertical="center"/>
    </xf>
    <xf numFmtId="0" fontId="105" fillId="0" borderId="12" xfId="0" applyFont="1" applyBorder="1" applyAlignment="1">
      <alignment horizontal="left" vertical="center"/>
    </xf>
    <xf numFmtId="0" fontId="105" fillId="0" borderId="14" xfId="0" applyFont="1" applyBorder="1" applyAlignment="1">
      <alignment horizontal="left" vertical="center"/>
    </xf>
    <xf numFmtId="0" fontId="0" fillId="0" borderId="145" xfId="0" applyBorder="1" applyAlignment="1">
      <alignment horizontal="left" vertical="top" wrapText="1"/>
    </xf>
    <xf numFmtId="0" fontId="0" fillId="0" borderId="3" xfId="0" applyBorder="1" applyAlignment="1">
      <alignment horizontal="left" vertical="top"/>
    </xf>
    <xf numFmtId="0" fontId="0" fillId="0" borderId="4" xfId="0" applyBorder="1" applyAlignment="1">
      <alignment horizontal="left" vertical="top"/>
    </xf>
    <xf numFmtId="0" fontId="105" fillId="0" borderId="31" xfId="0" applyFont="1" applyBorder="1" applyAlignment="1">
      <alignment horizontal="left" vertical="top" wrapText="1"/>
    </xf>
    <xf numFmtId="0" fontId="105" fillId="0" borderId="1" xfId="0" applyFont="1" applyBorder="1" applyAlignment="1">
      <alignment horizontal="left" vertical="top" wrapText="1"/>
    </xf>
    <xf numFmtId="0" fontId="105" fillId="0" borderId="32" xfId="0" applyFont="1" applyBorder="1" applyAlignment="1">
      <alignment horizontal="left" vertical="top" wrapText="1"/>
    </xf>
    <xf numFmtId="0" fontId="105" fillId="0" borderId="31" xfId="0" applyFont="1" applyBorder="1" applyAlignment="1">
      <alignment horizontal="center" vertical="center"/>
    </xf>
    <xf numFmtId="0" fontId="105" fillId="0" borderId="1" xfId="0" applyFont="1" applyBorder="1" applyAlignment="1">
      <alignment horizontal="left" vertical="center"/>
    </xf>
    <xf numFmtId="0" fontId="105" fillId="0" borderId="1" xfId="0" applyFont="1" applyBorder="1" applyAlignment="1">
      <alignment horizontal="left" vertical="center" wrapText="1"/>
    </xf>
    <xf numFmtId="0" fontId="105" fillId="0" borderId="1" xfId="0" applyFont="1" applyBorder="1" applyAlignment="1">
      <alignment horizontal="center" vertical="center" wrapText="1"/>
    </xf>
    <xf numFmtId="0" fontId="105" fillId="6" borderId="1" xfId="0" applyFont="1" applyFill="1" applyBorder="1" applyAlignment="1">
      <alignment horizontal="left" vertical="center" wrapText="1"/>
    </xf>
    <xf numFmtId="0" fontId="105" fillId="0" borderId="1" xfId="0" applyFont="1" applyBorder="1" applyAlignment="1">
      <alignment horizontal="center" vertical="center"/>
    </xf>
    <xf numFmtId="0" fontId="105" fillId="0" borderId="32" xfId="0" applyFont="1" applyBorder="1" applyAlignment="1">
      <alignment horizontal="center" vertical="center"/>
    </xf>
    <xf numFmtId="0" fontId="105" fillId="0" borderId="147" xfId="0" applyFont="1" applyBorder="1" applyAlignment="1">
      <alignment horizontal="left" vertical="center"/>
    </xf>
    <xf numFmtId="0" fontId="105" fillId="0" borderId="144" xfId="0" applyFont="1" applyBorder="1" applyAlignment="1">
      <alignment horizontal="left" vertical="center"/>
    </xf>
    <xf numFmtId="0" fontId="105" fillId="0" borderId="116" xfId="0" applyFont="1" applyBorder="1" applyAlignment="1">
      <alignment horizontal="left" vertical="center"/>
    </xf>
    <xf numFmtId="0" fontId="105" fillId="0" borderId="5" xfId="0" applyFont="1" applyBorder="1" applyAlignment="1">
      <alignment horizontal="left" vertical="center" wrapText="1"/>
    </xf>
    <xf numFmtId="0" fontId="105" fillId="0" borderId="5" xfId="0" applyFont="1" applyBorder="1" applyAlignment="1">
      <alignment horizontal="left" vertical="center"/>
    </xf>
    <xf numFmtId="0" fontId="105" fillId="0" borderId="138" xfId="0" applyFont="1" applyBorder="1" applyAlignment="1">
      <alignment horizontal="center" vertical="center"/>
    </xf>
    <xf numFmtId="0" fontId="105" fillId="0" borderId="19" xfId="0" applyFont="1" applyBorder="1" applyAlignment="1">
      <alignment horizontal="center" vertical="center"/>
    </xf>
    <xf numFmtId="0" fontId="105" fillId="0" borderId="38" xfId="0" applyFont="1" applyBorder="1" applyAlignment="1">
      <alignment horizontal="center" vertical="center"/>
    </xf>
    <xf numFmtId="0" fontId="105" fillId="0" borderId="20" xfId="0" applyFont="1" applyBorder="1" applyAlignment="1">
      <alignment horizontal="center" vertical="center"/>
    </xf>
    <xf numFmtId="0" fontId="105" fillId="0" borderId="20" xfId="0" applyFont="1" applyBorder="1" applyAlignment="1">
      <alignment horizontal="left" vertical="center" wrapText="1"/>
    </xf>
    <xf numFmtId="0" fontId="105" fillId="0" borderId="145" xfId="0" applyFont="1" applyBorder="1" applyAlignment="1">
      <alignment horizontal="left" vertical="top" wrapText="1"/>
    </xf>
    <xf numFmtId="0" fontId="105" fillId="0" borderId="3" xfId="0" applyFont="1" applyBorder="1" applyAlignment="1">
      <alignment horizontal="left" vertical="top"/>
    </xf>
    <xf numFmtId="0" fontId="105" fillId="0" borderId="4" xfId="0" applyFont="1" applyBorder="1" applyAlignment="1">
      <alignment horizontal="left" vertical="top"/>
    </xf>
    <xf numFmtId="0" fontId="84" fillId="0" borderId="17" xfId="33" applyFont="1" applyBorder="1" applyAlignment="1">
      <alignment horizontal="left" vertical="center"/>
    </xf>
    <xf numFmtId="0" fontId="84" fillId="0" borderId="19" xfId="33" applyFont="1" applyBorder="1" applyAlignment="1">
      <alignment horizontal="left" vertical="center"/>
    </xf>
    <xf numFmtId="0" fontId="84" fillId="0" borderId="5" xfId="33" applyFont="1" applyBorder="1" applyAlignment="1">
      <alignment horizontal="left" vertical="center"/>
    </xf>
    <xf numFmtId="0" fontId="84" fillId="0" borderId="2" xfId="33" applyFont="1" applyBorder="1" applyAlignment="1">
      <alignment horizontal="left" vertical="center"/>
    </xf>
    <xf numFmtId="0" fontId="84" fillId="0" borderId="7" xfId="33" applyFont="1" applyBorder="1" applyAlignment="1">
      <alignment horizontal="left" vertical="center"/>
    </xf>
    <xf numFmtId="0" fontId="89" fillId="0" borderId="0" xfId="33" applyFont="1" applyAlignment="1">
      <alignment horizontal="center" vertical="center"/>
    </xf>
    <xf numFmtId="0" fontId="90" fillId="0" borderId="0" xfId="33" applyFont="1" applyAlignment="1">
      <alignment horizontal="left" vertical="center"/>
    </xf>
    <xf numFmtId="0" fontId="9" fillId="0" borderId="49" xfId="0" applyFont="1" applyBorder="1" applyAlignment="1">
      <alignment vertical="center" wrapText="1"/>
    </xf>
    <xf numFmtId="0" fontId="9" fillId="0" borderId="50" xfId="0" applyFont="1" applyBorder="1" applyAlignment="1">
      <alignment vertical="center" wrapText="1"/>
    </xf>
    <xf numFmtId="0" fontId="9" fillId="0" borderId="27" xfId="0" applyFont="1" applyBorder="1" applyAlignment="1">
      <alignment vertical="center" wrapText="1"/>
    </xf>
    <xf numFmtId="0" fontId="0" fillId="0" borderId="49" xfId="0" applyBorder="1" applyAlignment="1">
      <alignment horizontal="left" vertical="center" wrapText="1"/>
    </xf>
    <xf numFmtId="0" fontId="0" fillId="0" borderId="50" xfId="0" applyBorder="1" applyAlignment="1">
      <alignment horizontal="left" vertical="center" wrapText="1"/>
    </xf>
    <xf numFmtId="0" fontId="0" fillId="0" borderId="27" xfId="0" applyBorder="1" applyAlignment="1">
      <alignment horizontal="left" vertical="center" wrapText="1"/>
    </xf>
    <xf numFmtId="0" fontId="9" fillId="0" borderId="26" xfId="0" applyFont="1" applyBorder="1" applyAlignment="1">
      <alignment vertical="center" wrapText="1"/>
    </xf>
    <xf numFmtId="0" fontId="9" fillId="0" borderId="49" xfId="0" applyFont="1" applyBorder="1" applyAlignment="1">
      <alignment horizontal="left" vertical="center" wrapText="1"/>
    </xf>
    <xf numFmtId="0" fontId="9" fillId="0" borderId="50" xfId="0" applyFont="1" applyBorder="1" applyAlignment="1">
      <alignment horizontal="left" vertical="center" wrapText="1"/>
    </xf>
    <xf numFmtId="0" fontId="9" fillId="0" borderId="26" xfId="0" applyFont="1" applyBorder="1" applyAlignment="1">
      <alignment horizontal="left" vertical="center" wrapText="1"/>
    </xf>
    <xf numFmtId="0" fontId="9" fillId="0" borderId="27" xfId="0" applyFont="1" applyBorder="1" applyAlignment="1">
      <alignment horizontal="left" vertical="center" wrapText="1"/>
    </xf>
    <xf numFmtId="0" fontId="0" fillId="0" borderId="26" xfId="0" applyBorder="1" applyAlignment="1">
      <alignment vertical="center" wrapText="1"/>
    </xf>
    <xf numFmtId="0" fontId="44" fillId="0" borderId="0" xfId="0" applyFont="1" applyAlignment="1">
      <alignment horizontal="center" vertical="center" wrapText="1"/>
    </xf>
    <xf numFmtId="0" fontId="31" fillId="0" borderId="26" xfId="0" applyFont="1" applyBorder="1" applyAlignment="1">
      <alignment vertical="center" wrapText="1"/>
    </xf>
    <xf numFmtId="0" fontId="31" fillId="0" borderId="26" xfId="0" applyFont="1" applyBorder="1" applyAlignment="1">
      <alignment horizontal="left" vertical="center" wrapText="1"/>
    </xf>
    <xf numFmtId="0" fontId="31" fillId="0" borderId="26" xfId="0" applyFont="1" applyBorder="1" applyAlignment="1">
      <alignment horizontal="center" vertical="center" wrapText="1"/>
    </xf>
  </cellXfs>
  <cellStyles count="50">
    <cellStyle name="Comma 2" xfId="38" xr:uid="{4E7DF484-C114-4857-AC84-619E93A09870}"/>
    <cellStyle name="Comma 3" xfId="49" xr:uid="{411CF131-F4E7-4635-B6C2-5A48A1A7848E}"/>
    <cellStyle name="Good" xfId="1" builtinId="26"/>
    <cellStyle name="Hyperlink" xfId="3" builtinId="8"/>
    <cellStyle name="Hyperlink 2" xfId="18" xr:uid="{2F10245A-AED0-4345-AF5A-1FFCFF7E09EA}"/>
    <cellStyle name="Normal" xfId="0" builtinId="0"/>
    <cellStyle name="Normal 10" xfId="43" xr:uid="{BA7EF1EF-4E15-4E82-B150-732BCB8736FF}"/>
    <cellStyle name="Normal 11" xfId="44" xr:uid="{D5A938FD-CE9A-496F-9B7E-4BEA1E610154}"/>
    <cellStyle name="Normal 16" xfId="14" xr:uid="{7FA6A254-9009-4E16-A34F-DFED06C39706}"/>
    <cellStyle name="Normal 2" xfId="5" xr:uid="{7FA7A527-4BB0-44EF-8018-70287FB50F1C}"/>
    <cellStyle name="Normal 2 2" xfId="10" xr:uid="{1F7F7A99-F420-4F52-94BD-20043910DA86}"/>
    <cellStyle name="Normal 2 2 2" xfId="46" xr:uid="{6139F13A-CAB0-4A5B-9CB7-98B8D89039BA}"/>
    <cellStyle name="Normal 2 3" xfId="17" xr:uid="{C1073DEE-6C4F-42EC-B9C6-84E1E4955C24}"/>
    <cellStyle name="Normal 2 3 2" xfId="42" xr:uid="{94B2D4A9-8D80-4D1A-A1ED-98B1EC26C4A1}"/>
    <cellStyle name="Normal 2 4" xfId="36" xr:uid="{174B9073-0D6D-42A4-9B70-7797F389DF30}"/>
    <cellStyle name="Normal 2 5" xfId="45" xr:uid="{7441957B-8F8E-4814-8117-0ACDE15E39A4}"/>
    <cellStyle name="Normal 3" xfId="6" xr:uid="{7C7017DD-5530-44A0-8684-8CEC76576E28}"/>
    <cellStyle name="Normal 3 2" xfId="11" xr:uid="{5A39F769-80F1-4575-973C-EEEBD006920A}"/>
    <cellStyle name="Normal 3 3" xfId="12" xr:uid="{2C784C59-CB8E-48CB-B696-15DF8C3AF2DF}"/>
    <cellStyle name="Normal 3 4" xfId="35" xr:uid="{8E3A57A0-512C-4F9C-B449-E5785E3C1659}"/>
    <cellStyle name="Normal 4" xfId="9" xr:uid="{DA09EDA6-180C-4152-A6E7-3F2BE8D2D45F}"/>
    <cellStyle name="Normal 5" xfId="13" xr:uid="{78DC1706-0155-4C42-9F6B-1D354C8F6EB4}"/>
    <cellStyle name="Normal 5 2" xfId="19" xr:uid="{A84740DF-DA6D-4712-A8C3-5E1D1463801E}"/>
    <cellStyle name="Normal 5 2 2" xfId="23" xr:uid="{1A5E6A44-32D2-4F39-8C8A-B181B2B40E2B}"/>
    <cellStyle name="Normal 5 2 2 2" xfId="31" xr:uid="{399F6D1D-85F0-4AE2-A6DC-A89FEA97CA1A}"/>
    <cellStyle name="Normal 5 2 3" xfId="27" xr:uid="{B1099688-EEFC-447C-A041-AF52CEA0C079}"/>
    <cellStyle name="Normal 5 3" xfId="21" xr:uid="{738E1963-1573-40F5-8F98-98FF713B831B}"/>
    <cellStyle name="Normal 5 3 2" xfId="29" xr:uid="{7DDEBA50-9AFD-453A-804D-4006D24322E3}"/>
    <cellStyle name="Normal 5 4" xfId="25" xr:uid="{1B1F44E3-4BE7-45EF-8947-18A98880401C}"/>
    <cellStyle name="Normal 6" xfId="8" xr:uid="{ED93F9DE-D483-4FA0-AF9F-219B1C9B6B00}"/>
    <cellStyle name="Normal 6 2" xfId="40" xr:uid="{87D30043-1661-4590-B17C-E68979BC73A2}"/>
    <cellStyle name="Normal 7" xfId="7" xr:uid="{2884B9ED-E8DB-497C-813C-27B9958282F8}"/>
    <cellStyle name="Normal 7 2" xfId="39" xr:uid="{5D4A735D-6F68-4F0F-9466-433492D6A6A1}"/>
    <cellStyle name="Normal 8" xfId="15" xr:uid="{1E110495-3854-4BF3-8E0C-B9214526B3BB}"/>
    <cellStyle name="Normal 8 2" xfId="20" xr:uid="{219E7BDF-89CB-429C-80D3-68C114257BB9}"/>
    <cellStyle name="Normal 8 2 2" xfId="24" xr:uid="{FF5E1819-A44A-4436-8C76-CDC0EB33226A}"/>
    <cellStyle name="Normal 8 2 2 2" xfId="32" xr:uid="{3675A7DB-333B-4E47-8B57-A27988C07126}"/>
    <cellStyle name="Normal 8 2 3" xfId="28" xr:uid="{713DE660-2222-4B11-8799-0EAD681C32C8}"/>
    <cellStyle name="Normal 8 3" xfId="22" xr:uid="{7F385DF4-6C37-49D4-AB71-30B4D2CED27C}"/>
    <cellStyle name="Normal 8 3 2" xfId="30" xr:uid="{7F217EF3-C4FA-4069-86B6-8A06DFC0DAC0}"/>
    <cellStyle name="Normal 8 4" xfId="26" xr:uid="{7183E258-2A88-4A86-9919-7CA52260F92A}"/>
    <cellStyle name="Normal 9" xfId="33" xr:uid="{43A4CB85-7148-49D8-87C2-B597F07EEC0C}"/>
    <cellStyle name="Percent" xfId="2" builtinId="5"/>
    <cellStyle name="Percent 2" xfId="48" xr:uid="{FE79E4C7-DEB8-442A-8313-58F352ECEFAB}"/>
    <cellStyle name="Standaard 2" xfId="47" xr:uid="{3D03491A-B511-4789-8537-50AB52F7BC0E}"/>
    <cellStyle name="一般 2" xfId="16" xr:uid="{5514438F-74A1-4B13-A344-89B9CC652215}"/>
    <cellStyle name="一般 2 2" xfId="37" xr:uid="{DAF1227F-3B09-4C47-B647-2312C8ED41AD}"/>
    <cellStyle name="一般 3" xfId="4" xr:uid="{408C3210-0BDD-47FB-91F0-3776ED15ADBC}"/>
    <cellStyle name="一般 3 2" xfId="34" xr:uid="{0FE89397-C2DF-4B90-AF18-5AD39E5098DE}"/>
    <cellStyle name="표준 3" xfId="41" xr:uid="{89CF25DE-E2A2-4200-8871-AFE2623BA45F}"/>
  </cellStyles>
  <dxfs count="1000">
    <dxf>
      <font>
        <color rgb="FF9C0006"/>
      </font>
      <fill>
        <patternFill>
          <bgColor rgb="FFFFC7CE"/>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FFCC"/>
        </patternFill>
      </fill>
    </dxf>
    <dxf>
      <fill>
        <patternFill>
          <bgColor rgb="FFCCFFCC"/>
        </patternFill>
      </fill>
    </dxf>
    <dxf>
      <fill>
        <patternFill>
          <bgColor rgb="FFCCFFCC"/>
        </patternFill>
      </fill>
    </dxf>
    <dxf>
      <font>
        <color rgb="FF9C0006"/>
      </font>
      <fill>
        <patternFill>
          <bgColor rgb="FFFFC7CE"/>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ont>
        <color rgb="FF9C0006"/>
      </font>
      <fill>
        <patternFill>
          <bgColor rgb="FFFFC7CE"/>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ont>
        <color rgb="FF9C0006"/>
      </font>
      <fill>
        <patternFill>
          <bgColor rgb="FFFFC7CE"/>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ont>
        <color rgb="FF9C0006"/>
      </font>
      <fill>
        <patternFill>
          <bgColor rgb="FFFFC7CE"/>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ont>
        <color rgb="FF9C0006"/>
      </font>
      <fill>
        <patternFill>
          <bgColor rgb="FFFFC7CE"/>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font>
        <color theme="0" tint="-0.34998626667073579"/>
      </font>
      <fill>
        <patternFill patternType="none">
          <bgColor auto="1"/>
        </patternFill>
      </fill>
    </dxf>
    <dxf>
      <fill>
        <patternFill>
          <bgColor rgb="FFFFCCCC"/>
        </patternFill>
      </fill>
    </dxf>
    <dxf>
      <font>
        <color theme="0" tint="-0.34998626667073579"/>
      </font>
      <fill>
        <patternFill patternType="none">
          <bgColor auto="1"/>
        </patternFill>
      </fill>
    </dxf>
    <dxf>
      <fill>
        <patternFill>
          <bgColor rgb="FFFFCCCC"/>
        </patternFill>
      </fill>
    </dxf>
    <dxf>
      <font>
        <b val="0"/>
        <i val="0"/>
        <strike val="0"/>
        <condense val="0"/>
        <extend val="0"/>
        <outline val="0"/>
        <shadow val="0"/>
        <u val="none"/>
        <vertAlign val="baseline"/>
        <sz val="10"/>
        <color auto="1"/>
        <name val="Calibri"/>
        <family val="2"/>
        <scheme val="none"/>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auto="1"/>
        <name val="Calibri"/>
        <family val="2"/>
        <scheme val="none"/>
      </font>
      <fill>
        <patternFill patternType="none">
          <fgColor indexed="64"/>
          <bgColor auto="1"/>
        </patternFill>
      </fill>
      <alignment horizontal="center" vertical="center" textRotation="0" wrapText="0" indent="0" justifyLastLine="0" shrinkToFit="0" readingOrder="0"/>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5"/>
      </font>
      <fill>
        <patternFill patternType="none">
          <bgColor auto="1"/>
        </patternFill>
      </fill>
    </dxf>
    <dxf>
      <font>
        <color theme="9"/>
      </font>
      <fill>
        <patternFill patternType="none">
          <bgColor auto="1"/>
        </patternFill>
      </fill>
    </dxf>
    <dxf>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numFmt numFmtId="179" formatCode="0.0%"/>
    </dxf>
    <dxf>
      <numFmt numFmtId="13" formatCode="0%"/>
    </dxf>
    <dxf>
      <font>
        <color rgb="FF006100"/>
      </font>
      <fill>
        <patternFill>
          <bgColor rgb="FFC6EFCE"/>
        </patternFill>
      </fill>
    </dxf>
    <dxf>
      <font>
        <color rgb="FF9C0006"/>
      </font>
      <fill>
        <patternFill>
          <bgColor rgb="FFFFC7CE"/>
        </patternFill>
      </fill>
    </dxf>
    <dxf>
      <font>
        <color theme="0" tint="-0.499984740745262"/>
      </font>
      <fill>
        <patternFill>
          <bgColor theme="0" tint="-0.24994659260841701"/>
        </patternFill>
      </fill>
    </dxf>
    <dxf>
      <font>
        <color theme="1"/>
      </font>
      <fill>
        <patternFill>
          <bgColor rgb="FFFFCCCC"/>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font>
      <fill>
        <patternFill>
          <bgColor rgb="FFFFC000"/>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theme="9" tint="0.39994506668294322"/>
        </patternFill>
      </fill>
    </dxf>
    <dxf>
      <font>
        <color rgb="FF9C0006"/>
      </font>
      <fill>
        <patternFill>
          <bgColor rgb="FFFFC7CE"/>
        </patternFill>
      </fill>
    </dxf>
    <dxf>
      <fill>
        <patternFill>
          <bgColor rgb="FFFFC000"/>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theme="9" tint="0.39994506668294322"/>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ont>
        <strike/>
      </font>
      <fill>
        <patternFill>
          <bgColor rgb="FFFFC000"/>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A9D08E"/>
        </patternFill>
      </fill>
    </dxf>
    <dxf>
      <fill>
        <patternFill>
          <bgColor rgb="FFFFC000"/>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theme="9" tint="0.39994506668294322"/>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CCFFCC"/>
        </patternFill>
      </fill>
    </dxf>
    <dxf>
      <fill>
        <patternFill>
          <bgColor rgb="FFFFC000"/>
        </patternFill>
      </fill>
    </dxf>
    <dxf>
      <fill>
        <patternFill>
          <bgColor rgb="FFFFCCCC"/>
        </patternFill>
      </fill>
    </dxf>
    <dxf>
      <fill>
        <patternFill>
          <bgColor rgb="FFFFCCCC"/>
        </patternFill>
      </fill>
    </dxf>
    <dxf>
      <fill>
        <patternFill>
          <bgColor rgb="FFFFFFCC"/>
        </patternFill>
      </fill>
    </dxf>
    <dxf>
      <fill>
        <patternFill>
          <bgColor rgb="FFCCFFCC"/>
        </patternFill>
      </fill>
    </dxf>
    <dxf>
      <fill>
        <patternFill>
          <bgColor rgb="FFA9D08E"/>
        </patternFill>
      </fill>
    </dxf>
    <dxf>
      <fill>
        <patternFill>
          <bgColor rgb="FFFFCCCC"/>
        </patternFill>
      </fill>
    </dxf>
    <dxf>
      <fill>
        <patternFill>
          <bgColor rgb="FFCCFFCC"/>
        </patternFill>
      </fill>
    </dxf>
    <dxf>
      <font>
        <strike/>
      </font>
      <fill>
        <patternFill>
          <bgColor rgb="FFFFC000"/>
        </patternFill>
      </fill>
    </dxf>
    <dxf>
      <fill>
        <patternFill>
          <bgColor rgb="FFFFCCCC"/>
        </patternFill>
      </fill>
    </dxf>
    <dxf>
      <fill>
        <patternFill>
          <bgColor rgb="FFFFFFCC"/>
        </patternFill>
      </fill>
    </dxf>
    <dxf>
      <fill>
        <patternFill>
          <bgColor theme="9" tint="0.39994506668294322"/>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9" formatCode="0.0%"/>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3" formatCode="0%"/>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9" formatCode="0.0%"/>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179" formatCode="0.0%"/>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alignment horizontal="left" vertical="center" textRotation="0" wrapText="1" indent="0" justifyLastLine="0" shrinkToFit="0" readingOrder="0"/>
      <protection locked="0" hidden="0"/>
    </dxf>
    <dxf>
      <font>
        <b/>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diagonalUp="0" diagonalDown="0">
        <left style="medium">
          <color indexed="64"/>
        </left>
        <right style="medium">
          <color indexed="64"/>
        </right>
        <top style="medium">
          <color indexed="64"/>
        </top>
        <bottom style="medium">
          <color indexed="64"/>
        </bottom>
      </border>
    </dxf>
    <dxf>
      <font>
        <strike val="0"/>
        <color auto="1"/>
      </font>
      <fill>
        <patternFill>
          <bgColor rgb="FFFFCCCC"/>
        </patternFill>
      </fill>
    </dxf>
    <dxf>
      <fill>
        <patternFill>
          <bgColor rgb="FFFF0000"/>
        </patternFill>
      </fill>
    </dxf>
    <dxf>
      <font>
        <strike val="0"/>
        <color auto="1"/>
      </font>
      <fill>
        <patternFill>
          <bgColor rgb="FFFFCCCC"/>
        </patternFill>
      </fill>
    </dxf>
    <dxf>
      <font>
        <color rgb="FF2B343A"/>
      </font>
      <fill>
        <patternFill patternType="solid">
          <bgColor rgb="FFFFC7CE"/>
        </patternFill>
      </fill>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i val="0"/>
        <strike val="0"/>
        <condense val="0"/>
        <extend val="0"/>
        <outline val="0"/>
        <shadow val="0"/>
        <u val="none"/>
        <vertAlign val="baseline"/>
        <sz val="11"/>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bgColor rgb="FFFF0000"/>
        </patternFill>
      </fill>
    </dxf>
    <dxf>
      <font>
        <strike val="0"/>
        <color auto="1"/>
      </font>
      <fill>
        <patternFill>
          <bgColor rgb="FFFFCCCC"/>
        </patternFill>
      </fill>
    </dxf>
    <dxf>
      <font>
        <color rgb="FF2B343A"/>
      </font>
      <fill>
        <patternFill patternType="solid">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ill>
        <patternFill>
          <bgColor rgb="FFCCFFCC"/>
        </patternFill>
      </fill>
    </dxf>
    <dxf>
      <font>
        <b/>
        <i val="0"/>
      </font>
      <fill>
        <patternFill>
          <bgColor rgb="FFFFCCCC"/>
        </patternFill>
      </fill>
    </dxf>
    <dxf>
      <font>
        <b/>
        <i val="0"/>
      </font>
      <fill>
        <patternFill>
          <bgColor rgb="FFFFCC99"/>
        </patternFill>
      </fill>
    </dxf>
    <dxf>
      <fill>
        <patternFill>
          <bgColor rgb="FFFFFF99"/>
        </patternFill>
      </fill>
    </dxf>
    <dxf>
      <fill>
        <patternFill>
          <bgColor rgb="FFCCFFCC"/>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ill>
        <patternFill>
          <bgColor rgb="FFCCFFCC"/>
        </patternFill>
      </fill>
    </dxf>
    <dxf>
      <font>
        <b/>
        <i val="0"/>
      </font>
      <fill>
        <patternFill>
          <bgColor rgb="FFFFCCCC"/>
        </patternFill>
      </fill>
    </dxf>
    <dxf>
      <font>
        <b/>
        <i val="0"/>
      </font>
      <fill>
        <patternFill>
          <bgColor rgb="FFFFCC99"/>
        </patternFill>
      </fill>
    </dxf>
    <dxf>
      <fill>
        <patternFill>
          <bgColor rgb="FFFFFF99"/>
        </patternFill>
      </fill>
    </dxf>
    <dxf>
      <font>
        <b/>
        <i val="0"/>
      </font>
      <fill>
        <patternFill>
          <bgColor rgb="FFFFCCCC"/>
        </patternFill>
      </fill>
    </dxf>
    <dxf>
      <font>
        <b/>
        <i val="0"/>
      </font>
      <fill>
        <patternFill>
          <bgColor rgb="FFFFCC99"/>
        </patternFill>
      </fill>
    </dxf>
    <dxf>
      <fill>
        <patternFill>
          <bgColor rgb="FFFFFF99"/>
        </patternFill>
      </fill>
    </dxf>
    <dxf>
      <fill>
        <patternFill>
          <bgColor rgb="FFCCFFCC"/>
        </patternFill>
      </fill>
    </dxf>
    <dxf>
      <font>
        <b/>
        <i val="0"/>
      </font>
      <fill>
        <patternFill>
          <bgColor rgb="FFFFCCCC"/>
        </patternFill>
      </fill>
    </dxf>
    <dxf>
      <font>
        <b/>
        <i val="0"/>
      </font>
      <fill>
        <patternFill>
          <bgColor rgb="FFFFCC99"/>
        </patternFill>
      </fill>
    </dxf>
    <dxf>
      <fill>
        <patternFill>
          <bgColor rgb="FFFFFF99"/>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color auto="1"/>
      </font>
      <fill>
        <patternFill>
          <bgColor rgb="FFC6EFCE"/>
        </patternFill>
      </fill>
    </dxf>
    <dxf>
      <font>
        <color auto="1"/>
      </font>
      <fill>
        <patternFill>
          <bgColor rgb="FFFFC7CE"/>
        </patternFill>
      </fill>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auto="1"/>
        <name val="Calibri"/>
        <family val="2"/>
        <scheme val="minor"/>
      </font>
      <alignment horizontal="left"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auto="1"/>
        <name val="Calibri"/>
        <family val="2"/>
        <scheme val="minor"/>
      </font>
      <alignment horizontal="left" vertical="center"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auto="1"/>
        <name val="Calibri"/>
        <family val="2"/>
        <scheme val="minor"/>
      </font>
      <numFmt numFmtId="0" formatCode="General"/>
      <alignment horizontal="center" vertical="center" textRotation="0" wrapText="1"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center" textRotation="0" wrapText="0" indent="0" justifyLastLine="0" shrinkToFit="0" readingOrder="0"/>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ont>
        <color theme="5"/>
      </font>
    </dxf>
    <dxf>
      <font>
        <color rgb="FF00C800"/>
      </font>
    </dxf>
    <dxf>
      <fill>
        <patternFill patternType="solid">
          <fgColor rgb="FFFFFF00"/>
          <bgColor rgb="FF000000"/>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border>
        <left style="thin">
          <color auto="1"/>
        </left>
        <right style="thin">
          <color auto="1"/>
        </right>
        <top style="dashed">
          <color auto="1"/>
        </top>
        <bottom style="thin">
          <color auto="1"/>
        </bottom>
        <vertical/>
        <horizontal/>
      </border>
    </dxf>
    <dxf>
      <fill>
        <patternFill>
          <bgColor rgb="FFFFCCCC"/>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tint="-0.34998626667073579"/>
      </font>
      <fill>
        <patternFill patternType="none">
          <bgColor auto="1"/>
        </patternFill>
      </fill>
    </dxf>
    <dxf>
      <font>
        <color theme="0"/>
      </font>
      <fill>
        <patternFill>
          <bgColor rgb="FFFF0000"/>
        </patternFill>
      </fill>
    </dxf>
    <dxf>
      <font>
        <color theme="0"/>
      </font>
      <fill>
        <patternFill>
          <bgColor rgb="FFFF0000"/>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tint="-0.34998626667073579"/>
      </font>
      <fill>
        <patternFill patternType="none">
          <bgColor auto="1"/>
        </patternFill>
      </fill>
    </dxf>
    <dxf>
      <fill>
        <patternFill>
          <bgColor rgb="FFFFCCCC"/>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border>
        <left style="thin">
          <color auto="1"/>
        </left>
        <right style="thin">
          <color auto="1"/>
        </right>
        <top style="dashed">
          <color auto="1"/>
        </top>
        <bottom style="thin">
          <color auto="1"/>
        </bottom>
        <vertical/>
        <horizontal/>
      </border>
    </dxf>
    <dxf>
      <font>
        <color theme="0" tint="-0.34998626667073579"/>
      </font>
      <fill>
        <patternFill patternType="none">
          <bgColor auto="1"/>
        </patternFill>
      </fill>
    </dxf>
    <dxf>
      <fill>
        <patternFill>
          <bgColor rgb="FFFFCCCC"/>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fill>
        <patternFill>
          <bgColor rgb="FFFFE1FF"/>
        </patternFill>
      </fill>
    </dxf>
    <dxf>
      <font>
        <color rgb="FF9C0006"/>
      </font>
      <fill>
        <patternFill>
          <bgColor rgb="FFFFC7CE"/>
        </patternFill>
      </fill>
    </dxf>
    <dxf>
      <font>
        <color theme="0" tint="-0.34998626667073579"/>
      </font>
    </dxf>
    <dxf>
      <fill>
        <patternFill>
          <bgColor rgb="FFCAFAD5"/>
        </patternFill>
      </fill>
    </dxf>
    <dxf>
      <fill>
        <patternFill>
          <bgColor rgb="FFDDEBF7"/>
        </patternFill>
      </fill>
    </dxf>
    <dxf>
      <fill>
        <patternFill>
          <bgColor rgb="FFFFD5DA"/>
        </patternFill>
      </fill>
    </dxf>
    <dxf>
      <font>
        <color theme="0" tint="-0.34998626667073579"/>
      </font>
    </dxf>
    <dxf>
      <fill>
        <patternFill>
          <bgColor rgb="FFCAFAD5"/>
        </patternFill>
      </fill>
    </dxf>
    <dxf>
      <fill>
        <patternFill>
          <bgColor rgb="FFDDEBF7"/>
        </patternFill>
      </fill>
    </dxf>
    <dxf>
      <fill>
        <patternFill>
          <bgColor rgb="FFFFD5DA"/>
        </patternFill>
      </fill>
    </dxf>
    <dxf>
      <fill>
        <patternFill>
          <bgColor rgb="FFDDEBF7"/>
        </patternFill>
      </fill>
    </dxf>
    <dxf>
      <fill>
        <patternFill>
          <bgColor rgb="FFDEF5DF"/>
        </patternFill>
      </fill>
    </dxf>
    <dxf>
      <fill>
        <patternFill>
          <bgColor rgb="FFFFF8CC"/>
        </patternFill>
      </fill>
    </dxf>
    <dxf>
      <font>
        <color theme="1"/>
      </font>
      <fill>
        <patternFill patternType="solid">
          <bgColor rgb="FF00B050"/>
        </patternFill>
      </fill>
    </dxf>
    <dxf>
      <font>
        <color theme="1"/>
      </font>
      <fill>
        <patternFill patternType="solid">
          <bgColor theme="9"/>
        </patternFill>
      </fill>
    </dxf>
    <dxf>
      <font>
        <color theme="1"/>
      </font>
      <fill>
        <patternFill patternType="solid">
          <bgColor rgb="FFFF0000"/>
        </patternFill>
      </fill>
    </dxf>
    <dxf>
      <font>
        <color rgb="FFFF0000"/>
      </font>
      <fill>
        <patternFill patternType="solid">
          <bgColor theme="5" tint="-0.499984740745262"/>
        </patternFill>
      </fill>
    </dxf>
    <dxf>
      <font>
        <color rgb="FFFF0000"/>
      </font>
      <fill>
        <patternFill patternType="solid">
          <bgColor theme="5" tint="-0.249977111117893"/>
        </patternFill>
      </fill>
    </dxf>
    <dxf>
      <font>
        <color rgb="FF9C0006"/>
      </font>
      <fill>
        <patternFill patternType="solid">
          <bgColor theme="5" tint="0.39997558519241921"/>
        </patternFill>
      </fill>
    </dxf>
    <dxf>
      <font>
        <color rgb="FF9C0006"/>
      </font>
      <fill>
        <patternFill patternType="solid">
          <bgColor theme="5" tint="0.59999389629810485"/>
        </patternFill>
      </fill>
    </dxf>
    <dxf>
      <font>
        <color theme="1"/>
      </font>
      <fill>
        <patternFill patternType="solid">
          <bgColor theme="5" tint="0.79998168889431442"/>
        </patternFill>
      </fill>
    </dxf>
    <dxf>
      <fill>
        <patternFill patternType="solid">
          <bgColor rgb="FF00B050"/>
        </patternFill>
      </fill>
    </dxf>
    <dxf>
      <font>
        <color theme="1"/>
      </font>
      <fill>
        <patternFill patternType="solid">
          <bgColor rgb="FFFFC000"/>
        </patternFill>
      </fill>
    </dxf>
    <dxf>
      <font>
        <color theme="1"/>
      </font>
      <fill>
        <patternFill patternType="solid">
          <bgColor rgb="FFFF0000"/>
        </patternFill>
      </fill>
    </dxf>
    <dxf>
      <font>
        <color auto="1"/>
      </font>
      <fill>
        <patternFill>
          <bgColor theme="8" tint="0.79998168889431442"/>
        </patternFill>
      </fill>
    </dxf>
    <dxf>
      <font>
        <color theme="1"/>
      </font>
      <fill>
        <patternFill>
          <bgColor rgb="FFFFC7CE"/>
        </patternFill>
      </fill>
    </dxf>
    <dxf>
      <fill>
        <patternFill>
          <bgColor rgb="FF98F6AE"/>
        </patternFill>
      </fill>
    </dxf>
    <dxf>
      <font>
        <color theme="0" tint="-0.14996795556505021"/>
      </font>
    </dxf>
  </dxfs>
  <tableStyles count="0" defaultTableStyle="TableStyleMedium2" defaultPivotStyle="PivotStyleLight16"/>
  <colors>
    <mruColors>
      <color rgb="FFFFE1FF"/>
      <color rgb="FFFFCCFF"/>
      <color rgb="FF009900"/>
      <color rgb="FF000000"/>
      <color rgb="FFFFD9D9"/>
      <color rgb="FF4472C4"/>
      <color rgb="FF172C51"/>
      <color rgb="FF00C800"/>
      <color rgb="FFFFC000"/>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4.xml"/><Relationship Id="rId21" Type="http://schemas.openxmlformats.org/officeDocument/2006/relationships/worksheet" Target="worksheets/sheet19.xml"/><Relationship Id="rId42" Type="http://schemas.openxmlformats.org/officeDocument/2006/relationships/worksheet" Target="worksheets/sheet40.xml"/><Relationship Id="rId47" Type="http://schemas.openxmlformats.org/officeDocument/2006/relationships/worksheet" Target="worksheets/sheet45.xml"/><Relationship Id="rId63" Type="http://schemas.openxmlformats.org/officeDocument/2006/relationships/worksheet" Target="worksheets/sheet61.xml"/><Relationship Id="rId68" Type="http://schemas.openxmlformats.org/officeDocument/2006/relationships/worksheet" Target="worksheets/sheet66.xml"/><Relationship Id="rId84" Type="http://schemas.openxmlformats.org/officeDocument/2006/relationships/connections" Target="connections.xml"/><Relationship Id="rId89" Type="http://schemas.microsoft.com/office/2022/11/relationships/FeaturePropertyBag" Target="featurePropertyBag/featurePropertyBag.xml"/><Relationship Id="rId112" Type="http://schemas.microsoft.com/office/2006/relationships/vbaProject" Target="vbaProject.bin"/><Relationship Id="rId16" Type="http://schemas.openxmlformats.org/officeDocument/2006/relationships/chartsheet" Target="chartsheets/sheet1.xml"/><Relationship Id="rId107" Type="http://schemas.openxmlformats.org/officeDocument/2006/relationships/customXml" Target="../customXml/item17.xml"/><Relationship Id="rId11" Type="http://schemas.openxmlformats.org/officeDocument/2006/relationships/worksheet" Target="worksheets/sheet11.xml"/><Relationship Id="rId32" Type="http://schemas.openxmlformats.org/officeDocument/2006/relationships/worksheet" Target="worksheets/sheet30.xml"/><Relationship Id="rId37" Type="http://schemas.openxmlformats.org/officeDocument/2006/relationships/worksheet" Target="worksheets/sheet35.xml"/><Relationship Id="rId53" Type="http://schemas.openxmlformats.org/officeDocument/2006/relationships/worksheet" Target="worksheets/sheet51.xml"/><Relationship Id="rId58" Type="http://schemas.openxmlformats.org/officeDocument/2006/relationships/worksheet" Target="worksheets/sheet56.xml"/><Relationship Id="rId74" Type="http://schemas.openxmlformats.org/officeDocument/2006/relationships/worksheet" Target="worksheets/sheet72.xml"/><Relationship Id="rId79" Type="http://schemas.openxmlformats.org/officeDocument/2006/relationships/chartsheet" Target="chartsheets/sheet3.xml"/><Relationship Id="rId102" Type="http://schemas.openxmlformats.org/officeDocument/2006/relationships/customXml" Target="../customXml/item12.xml"/><Relationship Id="rId5" Type="http://schemas.openxmlformats.org/officeDocument/2006/relationships/worksheet" Target="worksheets/sheet5.xml"/><Relationship Id="rId90" Type="http://schemas.openxmlformats.org/officeDocument/2006/relationships/calcChain" Target="calcChain.xml"/><Relationship Id="rId95" Type="http://schemas.openxmlformats.org/officeDocument/2006/relationships/customXml" Target="../customXml/item5.xml"/><Relationship Id="rId22" Type="http://schemas.openxmlformats.org/officeDocument/2006/relationships/worksheet" Target="worksheets/sheet20.xml"/><Relationship Id="rId27" Type="http://schemas.openxmlformats.org/officeDocument/2006/relationships/worksheet" Target="worksheets/sheet25.xml"/><Relationship Id="rId43" Type="http://schemas.openxmlformats.org/officeDocument/2006/relationships/worksheet" Target="worksheets/sheet41.xml"/><Relationship Id="rId48" Type="http://schemas.openxmlformats.org/officeDocument/2006/relationships/worksheet" Target="worksheets/sheet46.xml"/><Relationship Id="rId64" Type="http://schemas.openxmlformats.org/officeDocument/2006/relationships/worksheet" Target="worksheets/sheet62.xml"/><Relationship Id="rId69" Type="http://schemas.openxmlformats.org/officeDocument/2006/relationships/worksheet" Target="worksheets/sheet67.xml"/><Relationship Id="rId80" Type="http://schemas.openxmlformats.org/officeDocument/2006/relationships/pivotCacheDefinition" Target="pivotCache/pivotCacheDefinition1.xml"/><Relationship Id="rId85"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chartsheet" Target="chartsheets/sheet2.xml"/><Relationship Id="rId33" Type="http://schemas.openxmlformats.org/officeDocument/2006/relationships/worksheet" Target="worksheets/sheet31.xml"/><Relationship Id="rId38" Type="http://schemas.openxmlformats.org/officeDocument/2006/relationships/worksheet" Target="worksheets/sheet36.xml"/><Relationship Id="rId59" Type="http://schemas.openxmlformats.org/officeDocument/2006/relationships/worksheet" Target="worksheets/sheet57.xml"/><Relationship Id="rId103" Type="http://schemas.openxmlformats.org/officeDocument/2006/relationships/customXml" Target="../customXml/item13.xml"/><Relationship Id="rId108" Type="http://schemas.openxmlformats.org/officeDocument/2006/relationships/customXml" Target="../customXml/item18.xml"/><Relationship Id="rId54" Type="http://schemas.openxmlformats.org/officeDocument/2006/relationships/worksheet" Target="worksheets/sheet52.xml"/><Relationship Id="rId70" Type="http://schemas.openxmlformats.org/officeDocument/2006/relationships/worksheet" Target="worksheets/sheet68.xml"/><Relationship Id="rId75" Type="http://schemas.openxmlformats.org/officeDocument/2006/relationships/worksheet" Target="worksheets/sheet73.xml"/><Relationship Id="rId91" Type="http://schemas.openxmlformats.org/officeDocument/2006/relationships/customXml" Target="../customXml/item1.xml"/><Relationship Id="rId96"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openxmlformats.org/officeDocument/2006/relationships/worksheet" Target="worksheets/sheet47.xml"/><Relationship Id="rId57" Type="http://schemas.openxmlformats.org/officeDocument/2006/relationships/worksheet" Target="worksheets/sheet55.xml"/><Relationship Id="rId106" Type="http://schemas.openxmlformats.org/officeDocument/2006/relationships/customXml" Target="../customXml/item16.xml"/><Relationship Id="rId10" Type="http://schemas.openxmlformats.org/officeDocument/2006/relationships/worksheet" Target="worksheets/sheet10.xml"/><Relationship Id="rId31" Type="http://schemas.openxmlformats.org/officeDocument/2006/relationships/worksheet" Target="worksheets/sheet29.xml"/><Relationship Id="rId44" Type="http://schemas.openxmlformats.org/officeDocument/2006/relationships/worksheet" Target="worksheets/sheet42.xml"/><Relationship Id="rId52" Type="http://schemas.openxmlformats.org/officeDocument/2006/relationships/worksheet" Target="worksheets/sheet50.xml"/><Relationship Id="rId60" Type="http://schemas.openxmlformats.org/officeDocument/2006/relationships/worksheet" Target="worksheets/sheet58.xml"/><Relationship Id="rId65" Type="http://schemas.openxmlformats.org/officeDocument/2006/relationships/worksheet" Target="worksheets/sheet63.xml"/><Relationship Id="rId73" Type="http://schemas.openxmlformats.org/officeDocument/2006/relationships/worksheet" Target="worksheets/sheet71.xml"/><Relationship Id="rId78" Type="http://schemas.openxmlformats.org/officeDocument/2006/relationships/worksheet" Target="worksheets/sheet76.xml"/><Relationship Id="rId81" Type="http://schemas.openxmlformats.org/officeDocument/2006/relationships/pivotCacheDefinition" Target="pivotCache/pivotCacheDefinition2.xml"/><Relationship Id="rId86" Type="http://schemas.openxmlformats.org/officeDocument/2006/relationships/sharedStrings" Target="sharedStrings.xml"/><Relationship Id="rId94" Type="http://schemas.openxmlformats.org/officeDocument/2006/relationships/customXml" Target="../customXml/item4.xml"/><Relationship Id="rId99" Type="http://schemas.openxmlformats.org/officeDocument/2006/relationships/customXml" Target="../customXml/item9.xml"/><Relationship Id="rId101" Type="http://schemas.openxmlformats.org/officeDocument/2006/relationships/customXml" Target="../customXml/item1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6.xml"/><Relationship Id="rId39" Type="http://schemas.openxmlformats.org/officeDocument/2006/relationships/worksheet" Target="worksheets/sheet37.xml"/><Relationship Id="rId109" Type="http://schemas.openxmlformats.org/officeDocument/2006/relationships/customXml" Target="../customXml/item19.xml"/><Relationship Id="rId34" Type="http://schemas.openxmlformats.org/officeDocument/2006/relationships/worksheet" Target="worksheets/sheet32.xml"/><Relationship Id="rId50" Type="http://schemas.openxmlformats.org/officeDocument/2006/relationships/worksheet" Target="worksheets/sheet48.xml"/><Relationship Id="rId55" Type="http://schemas.openxmlformats.org/officeDocument/2006/relationships/worksheet" Target="worksheets/sheet53.xml"/><Relationship Id="rId76" Type="http://schemas.openxmlformats.org/officeDocument/2006/relationships/worksheet" Target="worksheets/sheet74.xml"/><Relationship Id="rId97" Type="http://schemas.openxmlformats.org/officeDocument/2006/relationships/customXml" Target="../customXml/item7.xml"/><Relationship Id="rId104" Type="http://schemas.openxmlformats.org/officeDocument/2006/relationships/customXml" Target="../customXml/item14.xml"/><Relationship Id="rId7" Type="http://schemas.openxmlformats.org/officeDocument/2006/relationships/worksheet" Target="worksheets/sheet7.xml"/><Relationship Id="rId71" Type="http://schemas.openxmlformats.org/officeDocument/2006/relationships/worksheet" Target="worksheets/sheet69.xml"/><Relationship Id="rId92" Type="http://schemas.openxmlformats.org/officeDocument/2006/relationships/customXml" Target="../customXml/item2.xml"/><Relationship Id="rId2" Type="http://schemas.openxmlformats.org/officeDocument/2006/relationships/worksheet" Target="worksheets/sheet2.xml"/><Relationship Id="rId29" Type="http://schemas.openxmlformats.org/officeDocument/2006/relationships/worksheet" Target="worksheets/sheet27.xml"/><Relationship Id="rId24" Type="http://schemas.openxmlformats.org/officeDocument/2006/relationships/worksheet" Target="worksheets/sheet22.xml"/><Relationship Id="rId40" Type="http://schemas.openxmlformats.org/officeDocument/2006/relationships/worksheet" Target="worksheets/sheet38.xml"/><Relationship Id="rId45" Type="http://schemas.openxmlformats.org/officeDocument/2006/relationships/worksheet" Target="worksheets/sheet43.xml"/><Relationship Id="rId66" Type="http://schemas.openxmlformats.org/officeDocument/2006/relationships/worksheet" Target="worksheets/sheet64.xml"/><Relationship Id="rId87" Type="http://schemas.openxmlformats.org/officeDocument/2006/relationships/sheetMetadata" Target="metadata.xml"/><Relationship Id="rId110" Type="http://schemas.openxmlformats.org/officeDocument/2006/relationships/customXml" Target="../customXml/item20.xml"/><Relationship Id="rId61" Type="http://schemas.openxmlformats.org/officeDocument/2006/relationships/worksheet" Target="worksheets/sheet59.xml"/><Relationship Id="rId82" Type="http://schemas.microsoft.com/office/2007/relationships/slicerCache" Target="slicerCaches/slicerCache1.xml"/><Relationship Id="rId19" Type="http://schemas.openxmlformats.org/officeDocument/2006/relationships/worksheet" Target="worksheets/sheet17.xml"/><Relationship Id="rId14" Type="http://schemas.openxmlformats.org/officeDocument/2006/relationships/worksheet" Target="worksheets/sheet14.xml"/><Relationship Id="rId30" Type="http://schemas.openxmlformats.org/officeDocument/2006/relationships/worksheet" Target="worksheets/sheet28.xml"/><Relationship Id="rId35" Type="http://schemas.openxmlformats.org/officeDocument/2006/relationships/worksheet" Target="worksheets/sheet33.xml"/><Relationship Id="rId56" Type="http://schemas.openxmlformats.org/officeDocument/2006/relationships/worksheet" Target="worksheets/sheet54.xml"/><Relationship Id="rId77" Type="http://schemas.openxmlformats.org/officeDocument/2006/relationships/worksheet" Target="worksheets/sheet75.xml"/><Relationship Id="rId100" Type="http://schemas.openxmlformats.org/officeDocument/2006/relationships/customXml" Target="../customXml/item10.xml"/><Relationship Id="rId105" Type="http://schemas.openxmlformats.org/officeDocument/2006/relationships/customXml" Target="../customXml/item15.xml"/><Relationship Id="rId8" Type="http://schemas.openxmlformats.org/officeDocument/2006/relationships/worksheet" Target="worksheets/sheet8.xml"/><Relationship Id="rId51" Type="http://schemas.openxmlformats.org/officeDocument/2006/relationships/worksheet" Target="worksheets/sheet49.xml"/><Relationship Id="rId72" Type="http://schemas.openxmlformats.org/officeDocument/2006/relationships/worksheet" Target="worksheets/sheet70.xml"/><Relationship Id="rId93" Type="http://schemas.openxmlformats.org/officeDocument/2006/relationships/customXml" Target="../customXml/item3.xml"/><Relationship Id="rId98" Type="http://schemas.openxmlformats.org/officeDocument/2006/relationships/customXml" Target="../customXml/item8.xml"/><Relationship Id="rId3" Type="http://schemas.openxmlformats.org/officeDocument/2006/relationships/worksheet" Target="worksheets/sheet3.xml"/><Relationship Id="rId25" Type="http://schemas.openxmlformats.org/officeDocument/2006/relationships/worksheet" Target="worksheets/sheet23.xml"/><Relationship Id="rId46" Type="http://schemas.openxmlformats.org/officeDocument/2006/relationships/worksheet" Target="worksheets/sheet44.xml"/><Relationship Id="rId67" Type="http://schemas.openxmlformats.org/officeDocument/2006/relationships/worksheet" Target="worksheets/sheet65.xml"/><Relationship Id="rId20" Type="http://schemas.openxmlformats.org/officeDocument/2006/relationships/worksheet" Target="worksheets/sheet18.xml"/><Relationship Id="rId41" Type="http://schemas.openxmlformats.org/officeDocument/2006/relationships/worksheet" Target="worksheets/sheet39.xml"/><Relationship Id="rId62" Type="http://schemas.openxmlformats.org/officeDocument/2006/relationships/worksheet" Target="worksheets/sheet60.xml"/><Relationship Id="rId83" Type="http://schemas.openxmlformats.org/officeDocument/2006/relationships/theme" Target="theme/theme1.xml"/><Relationship Id="rId88" Type="http://schemas.microsoft.com/office/2017/10/relationships/person" Target="persons/person.xml"/><Relationship Id="rId111"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radarChart>
        <c:radarStyle val="marker"/>
        <c:varyColors val="0"/>
        <c:ser>
          <c:idx val="4"/>
          <c:order val="4"/>
          <c:spPr>
            <a:ln w="28575" cap="rnd">
              <a:solidFill>
                <a:schemeClr val="accent5"/>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0-63AB-4944-8CE1-D6AECE2C341C}"/>
            </c:ext>
          </c:extLst>
        </c:ser>
        <c:ser>
          <c:idx val="5"/>
          <c:order val="5"/>
          <c:spPr>
            <a:ln w="28575" cap="rnd">
              <a:solidFill>
                <a:schemeClr val="accent6"/>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1-63AB-4944-8CE1-D6AECE2C341C}"/>
            </c:ext>
          </c:extLst>
        </c:ser>
        <c:ser>
          <c:idx val="6"/>
          <c:order val="6"/>
          <c:spPr>
            <a:ln w="28575" cap="rnd">
              <a:solidFill>
                <a:schemeClr val="accent1">
                  <a:lumMod val="6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2-63AB-4944-8CE1-D6AECE2C341C}"/>
            </c:ext>
          </c:extLst>
        </c:ser>
        <c:ser>
          <c:idx val="7"/>
          <c:order val="7"/>
          <c:spPr>
            <a:ln w="28575" cap="rnd">
              <a:solidFill>
                <a:schemeClr val="accent2">
                  <a:lumMod val="6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3-63AB-4944-8CE1-D6AECE2C341C}"/>
            </c:ext>
          </c:extLst>
        </c:ser>
        <c:ser>
          <c:idx val="8"/>
          <c:order val="8"/>
          <c:spPr>
            <a:ln w="76200" cap="rnd">
              <a:solidFill>
                <a:srgbClr val="FFFF99"/>
              </a:solidFill>
              <a:round/>
            </a:ln>
            <a:effectLst/>
          </c:spPr>
          <c:marker>
            <c:symbol val="none"/>
          </c:marker>
          <c:val>
            <c:numRef>
              <c:f>(#REF!,#REF!)</c:f>
              <c:numCache>
                <c:formatCode>General</c:formatCode>
                <c:ptCount val="1"/>
                <c:pt idx="0">
                  <c:v>1</c:v>
                </c:pt>
              </c:numCache>
              <c:extLst/>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4-63AB-4944-8CE1-D6AECE2C341C}"/>
            </c:ext>
          </c:extLst>
        </c:ser>
        <c:ser>
          <c:idx val="12"/>
          <c:order val="12"/>
          <c:spPr>
            <a:ln w="28575" cap="rnd">
              <a:solidFill>
                <a:schemeClr val="accent1">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5-63AB-4944-8CE1-D6AECE2C341C}"/>
            </c:ext>
          </c:extLst>
        </c:ser>
        <c:ser>
          <c:idx val="13"/>
          <c:order val="13"/>
          <c:spPr>
            <a:ln w="28575" cap="rnd">
              <a:solidFill>
                <a:schemeClr val="accent2">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6-63AB-4944-8CE1-D6AECE2C341C}"/>
            </c:ext>
          </c:extLst>
        </c:ser>
        <c:ser>
          <c:idx val="14"/>
          <c:order val="14"/>
          <c:spPr>
            <a:ln w="28575" cap="rnd">
              <a:solidFill>
                <a:schemeClr val="accent3">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7-63AB-4944-8CE1-D6AECE2C341C}"/>
            </c:ext>
          </c:extLst>
        </c:ser>
        <c:ser>
          <c:idx val="15"/>
          <c:order val="15"/>
          <c:spPr>
            <a:ln w="28575" cap="rnd">
              <a:solidFill>
                <a:schemeClr val="accent4">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8-63AB-4944-8CE1-D6AECE2C341C}"/>
            </c:ext>
          </c:extLst>
        </c:ser>
        <c:ser>
          <c:idx val="16"/>
          <c:order val="16"/>
          <c:spPr>
            <a:ln w="28575" cap="rnd">
              <a:solidFill>
                <a:schemeClr val="accent5">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9-63AB-4944-8CE1-D6AECE2C341C}"/>
            </c:ext>
          </c:extLst>
        </c:ser>
        <c:ser>
          <c:idx val="17"/>
          <c:order val="17"/>
          <c:spPr>
            <a:ln w="28575" cap="rnd">
              <a:solidFill>
                <a:schemeClr val="accent6">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A-63AB-4944-8CE1-D6AECE2C341C}"/>
            </c:ext>
          </c:extLst>
        </c:ser>
        <c:ser>
          <c:idx val="18"/>
          <c:order val="18"/>
          <c:spPr>
            <a:ln w="28575" cap="rnd">
              <a:solidFill>
                <a:schemeClr val="accent1">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B-63AB-4944-8CE1-D6AECE2C341C}"/>
            </c:ext>
          </c:extLst>
        </c:ser>
        <c:ser>
          <c:idx val="19"/>
          <c:order val="19"/>
          <c:spPr>
            <a:ln w="28575" cap="rnd">
              <a:solidFill>
                <a:schemeClr val="accent2">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C-63AB-4944-8CE1-D6AECE2C341C}"/>
            </c:ext>
          </c:extLst>
        </c:ser>
        <c:ser>
          <c:idx val="20"/>
          <c:order val="20"/>
          <c:spPr>
            <a:ln w="28575" cap="rnd">
              <a:solidFill>
                <a:schemeClr val="accent3">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D-63AB-4944-8CE1-D6AECE2C341C}"/>
            </c:ext>
          </c:extLst>
        </c:ser>
        <c:ser>
          <c:idx val="21"/>
          <c:order val="21"/>
          <c:spPr>
            <a:ln w="28575" cap="rnd">
              <a:solidFill>
                <a:schemeClr val="accent4">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E-63AB-4944-8CE1-D6AECE2C341C}"/>
            </c:ext>
          </c:extLst>
        </c:ser>
        <c:dLbls>
          <c:showLegendKey val="0"/>
          <c:showVal val="0"/>
          <c:showCatName val="0"/>
          <c:showSerName val="0"/>
          <c:showPercent val="0"/>
          <c:showBubbleSize val="0"/>
        </c:dLbls>
        <c:axId val="1714246015"/>
        <c:axId val="1714243615"/>
        <c:extLst>
          <c:ext xmlns:c15="http://schemas.microsoft.com/office/drawing/2012/chart" uri="{02D57815-91ED-43cb-92C2-25804820EDAC}">
            <c15:filteredRadarSeries>
              <c15:ser>
                <c:idx val="0"/>
                <c:order val="0"/>
                <c:spPr>
                  <a:ln w="28575" cap="rnd">
                    <a:solidFill>
                      <a:schemeClr val="accent1"/>
                    </a:solidFill>
                    <a:round/>
                  </a:ln>
                  <a:effectLst/>
                </c:spPr>
                <c:marker>
                  <c:symbol val="none"/>
                </c:marker>
                <c:val>
                  <c:numRef>
                    <c:extLst>
                      <c:ext uri="{02D57815-91ED-43cb-92C2-25804820EDAC}">
                        <c15:formulaRef>
                          <c15:sqref>(#REF!,#REF!)</c15:sqref>
                        </c15:formulaRef>
                      </c:ext>
                    </c:extLst>
                    <c:numCache>
                      <c:formatCode>General</c:formatCode>
                      <c:ptCount val="1"/>
                      <c:pt idx="0">
                        <c:v>1</c:v>
                      </c:pt>
                    </c:numCache>
                  </c:numRef>
                </c:val>
                <c:extLst>
                  <c:ex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F-63AB-4944-8CE1-D6AECE2C341C}"/>
                  </c:ext>
                </c:extLst>
              </c15:ser>
            </c15:filteredRadarSeries>
            <c15:filteredRadarSeries>
              <c15:ser>
                <c:idx val="1"/>
                <c:order val="1"/>
                <c:spPr>
                  <a:ln w="28575" cap="rnd">
                    <a:solidFill>
                      <a:schemeClr val="accent2"/>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0-63AB-4944-8CE1-D6AECE2C341C}"/>
                  </c:ext>
                </c:extLst>
              </c15:ser>
            </c15:filteredRadarSeries>
            <c15:filteredRadarSeries>
              <c15:ser>
                <c:idx val="2"/>
                <c:order val="2"/>
                <c:spPr>
                  <a:ln w="28575" cap="rnd">
                    <a:solidFill>
                      <a:schemeClr val="accent3"/>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1-63AB-4944-8CE1-D6AECE2C341C}"/>
                  </c:ext>
                </c:extLst>
              </c15:ser>
            </c15:filteredRadarSeries>
            <c15:filteredRadarSeries>
              <c15:ser>
                <c:idx val="3"/>
                <c:order val="3"/>
                <c:spPr>
                  <a:ln w="28575" cap="rnd">
                    <a:solidFill>
                      <a:schemeClr val="accent4"/>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2-63AB-4944-8CE1-D6AECE2C341C}"/>
                  </c:ext>
                </c:extLst>
              </c15:ser>
            </c15:filteredRadarSeries>
            <c15:filteredRadarSeries>
              <c15:ser>
                <c:idx val="9"/>
                <c:order val="9"/>
                <c:spPr>
                  <a:ln w="28575" cap="rnd">
                    <a:solidFill>
                      <a:schemeClr val="accent4">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3-63AB-4944-8CE1-D6AECE2C341C}"/>
                  </c:ext>
                </c:extLst>
              </c15:ser>
            </c15:filteredRadarSeries>
            <c15:filteredRadarSeries>
              <c15:ser>
                <c:idx val="10"/>
                <c:order val="10"/>
                <c:spPr>
                  <a:ln w="28575" cap="rnd">
                    <a:solidFill>
                      <a:schemeClr val="accent5">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4-63AB-4944-8CE1-D6AECE2C341C}"/>
                  </c:ext>
                </c:extLst>
              </c15:ser>
            </c15:filteredRadarSeries>
            <c15:filteredRadarSeries>
              <c15:ser>
                <c:idx val="11"/>
                <c:order val="11"/>
                <c:spPr>
                  <a:ln w="28575" cap="rnd">
                    <a:solidFill>
                      <a:schemeClr val="accent6">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5-63AB-4944-8CE1-D6AECE2C341C}"/>
                  </c:ext>
                </c:extLst>
              </c15:ser>
            </c15:filteredRadarSeries>
            <c15:filteredRadarSeries>
              <c15:ser>
                <c:idx val="22"/>
                <c:order val="22"/>
                <c:spPr>
                  <a:ln w="28575" cap="rnd">
                    <a:solidFill>
                      <a:schemeClr val="accent5">
                        <a:lumMod val="8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6-63AB-4944-8CE1-D6AECE2C341C}"/>
                  </c:ext>
                </c:extLst>
              </c15:ser>
            </c15:filteredRadarSeries>
            <c15:filteredRadarSeries>
              <c15:ser>
                <c:idx val="23"/>
                <c:order val="23"/>
                <c:spPr>
                  <a:ln w="28575" cap="rnd">
                    <a:solidFill>
                      <a:schemeClr val="accent6">
                        <a:lumMod val="8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7-63AB-4944-8CE1-D6AECE2C341C}"/>
                  </c:ext>
                </c:extLst>
              </c15:ser>
            </c15:filteredRadarSeries>
          </c:ext>
        </c:extLst>
      </c:radarChart>
      <c:catAx>
        <c:axId val="171424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714243615"/>
        <c:crosses val="autoZero"/>
        <c:auto val="1"/>
        <c:lblAlgn val="ctr"/>
        <c:lblOffset val="100"/>
        <c:noMultiLvlLbl val="0"/>
      </c:catAx>
      <c:valAx>
        <c:axId val="171424361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714246015"/>
        <c:crosses val="autoZero"/>
        <c:crossBetween val="between"/>
        <c:majorUnit val="0.2"/>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sz="1200" baseline="0">
          <a:solidFill>
            <a:schemeClr val="bg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radarChart>
        <c:radarStyle val="marker"/>
        <c:varyColors val="0"/>
        <c:ser>
          <c:idx val="0"/>
          <c:order val="2"/>
          <c:spPr>
            <a:ln w="76200" cap="rnd">
              <a:solidFill>
                <a:schemeClr val="accent1"/>
              </a:solidFill>
              <a:round/>
            </a:ln>
            <a:effectLst/>
          </c:spPr>
          <c:marker>
            <c:symbol val="none"/>
          </c:marker>
          <c:val>
            <c:numRef>
              <c:f>(#REF!,#REF!)</c:f>
              <c:numCache>
                <c:formatCode>General</c:formatCode>
                <c:ptCount val="1"/>
                <c:pt idx="0">
                  <c:v>1</c:v>
                </c:pt>
              </c:numCache>
              <c:extLst/>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0-FD5A-4FC8-BBCD-24CF4FBF7F12}"/>
            </c:ext>
          </c:extLst>
        </c:ser>
        <c:ser>
          <c:idx val="4"/>
          <c:order val="4"/>
          <c:spPr>
            <a:ln w="28575" cap="rnd">
              <a:solidFill>
                <a:schemeClr val="accent5"/>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1-FD5A-4FC8-BBCD-24CF4FBF7F12}"/>
            </c:ext>
          </c:extLst>
        </c:ser>
        <c:ser>
          <c:idx val="5"/>
          <c:order val="5"/>
          <c:spPr>
            <a:ln w="28575" cap="rnd">
              <a:solidFill>
                <a:schemeClr val="accent6"/>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2-FD5A-4FC8-BBCD-24CF4FBF7F12}"/>
            </c:ext>
          </c:extLst>
        </c:ser>
        <c:ser>
          <c:idx val="6"/>
          <c:order val="6"/>
          <c:spPr>
            <a:ln w="28575" cap="rnd">
              <a:solidFill>
                <a:schemeClr val="accent1">
                  <a:lumMod val="6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3-FD5A-4FC8-BBCD-24CF4FBF7F12}"/>
            </c:ext>
          </c:extLst>
        </c:ser>
        <c:ser>
          <c:idx val="7"/>
          <c:order val="7"/>
          <c:spPr>
            <a:ln w="28575" cap="rnd">
              <a:solidFill>
                <a:schemeClr val="accent2">
                  <a:lumMod val="6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4-FD5A-4FC8-BBCD-24CF4FBF7F12}"/>
            </c:ext>
          </c:extLst>
        </c:ser>
        <c:ser>
          <c:idx val="12"/>
          <c:order val="12"/>
          <c:spPr>
            <a:ln w="28575" cap="rnd">
              <a:solidFill>
                <a:schemeClr val="accent1">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5-FD5A-4FC8-BBCD-24CF4FBF7F12}"/>
            </c:ext>
          </c:extLst>
        </c:ser>
        <c:ser>
          <c:idx val="13"/>
          <c:order val="13"/>
          <c:spPr>
            <a:ln w="28575" cap="rnd">
              <a:solidFill>
                <a:schemeClr val="accent2">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6-FD5A-4FC8-BBCD-24CF4FBF7F12}"/>
            </c:ext>
          </c:extLst>
        </c:ser>
        <c:ser>
          <c:idx val="14"/>
          <c:order val="14"/>
          <c:spPr>
            <a:ln w="28575" cap="rnd">
              <a:solidFill>
                <a:schemeClr val="accent3">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7-FD5A-4FC8-BBCD-24CF4FBF7F12}"/>
            </c:ext>
          </c:extLst>
        </c:ser>
        <c:ser>
          <c:idx val="15"/>
          <c:order val="15"/>
          <c:spPr>
            <a:ln w="28575" cap="rnd">
              <a:solidFill>
                <a:schemeClr val="accent4">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8-FD5A-4FC8-BBCD-24CF4FBF7F12}"/>
            </c:ext>
          </c:extLst>
        </c:ser>
        <c:ser>
          <c:idx val="16"/>
          <c:order val="16"/>
          <c:spPr>
            <a:ln w="28575" cap="rnd">
              <a:solidFill>
                <a:schemeClr val="accent5">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9-FD5A-4FC8-BBCD-24CF4FBF7F12}"/>
            </c:ext>
          </c:extLst>
        </c:ser>
        <c:ser>
          <c:idx val="17"/>
          <c:order val="17"/>
          <c:spPr>
            <a:ln w="28575" cap="rnd">
              <a:solidFill>
                <a:schemeClr val="accent6">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A-FD5A-4FC8-BBCD-24CF4FBF7F12}"/>
            </c:ext>
          </c:extLst>
        </c:ser>
        <c:ser>
          <c:idx val="18"/>
          <c:order val="18"/>
          <c:spPr>
            <a:ln w="28575" cap="rnd">
              <a:solidFill>
                <a:schemeClr val="accent1">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B-FD5A-4FC8-BBCD-24CF4FBF7F12}"/>
            </c:ext>
          </c:extLst>
        </c:ser>
        <c:ser>
          <c:idx val="19"/>
          <c:order val="19"/>
          <c:spPr>
            <a:ln w="28575" cap="rnd">
              <a:solidFill>
                <a:schemeClr val="accent2">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C-FD5A-4FC8-BBCD-24CF4FBF7F12}"/>
            </c:ext>
          </c:extLst>
        </c:ser>
        <c:ser>
          <c:idx val="20"/>
          <c:order val="20"/>
          <c:spPr>
            <a:ln w="28575" cap="rnd">
              <a:solidFill>
                <a:schemeClr val="accent3">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D-FD5A-4FC8-BBCD-24CF4FBF7F12}"/>
            </c:ext>
          </c:extLst>
        </c:ser>
        <c:ser>
          <c:idx val="21"/>
          <c:order val="21"/>
          <c:spPr>
            <a:ln w="28575" cap="rnd">
              <a:solidFill>
                <a:schemeClr val="accent4">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E-FD5A-4FC8-BBCD-24CF4FBF7F12}"/>
            </c:ext>
          </c:extLst>
        </c:ser>
        <c:dLbls>
          <c:showLegendKey val="0"/>
          <c:showVal val="0"/>
          <c:showCatName val="0"/>
          <c:showSerName val="0"/>
          <c:showPercent val="0"/>
          <c:showBubbleSize val="0"/>
        </c:dLbls>
        <c:axId val="1714246015"/>
        <c:axId val="1714243615"/>
        <c:extLst>
          <c:ext xmlns:c15="http://schemas.microsoft.com/office/drawing/2012/chart" uri="{02D57815-91ED-43cb-92C2-25804820EDAC}">
            <c15:filteredRadarSeries>
              <c15:ser>
                <c:idx val="1"/>
                <c:order val="0"/>
                <c:spPr>
                  <a:ln w="28575" cap="rnd">
                    <a:solidFill>
                      <a:schemeClr val="accent2"/>
                    </a:solidFill>
                    <a:round/>
                  </a:ln>
                  <a:effectLst/>
                </c:spPr>
                <c:marker>
                  <c:symbol val="none"/>
                </c:marker>
                <c:val>
                  <c:numRef>
                    <c:extLst>
                      <c:ext uri="{02D57815-91ED-43cb-92C2-25804820EDAC}">
                        <c15:formulaRef>
                          <c15:sqref>(#REF!,#REF!)</c15:sqref>
                        </c15:formulaRef>
                      </c:ext>
                    </c:extLst>
                    <c:numCache>
                      <c:formatCode>General</c:formatCode>
                      <c:ptCount val="1"/>
                      <c:pt idx="0">
                        <c:v>1</c:v>
                      </c:pt>
                    </c:numCache>
                  </c:numRef>
                </c:val>
                <c:extLst>
                  <c:ex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F-FD5A-4FC8-BBCD-24CF4FBF7F12}"/>
                  </c:ext>
                </c:extLst>
              </c15:ser>
            </c15:filteredRadarSeries>
            <c15:filteredRadarSeries>
              <c15:ser>
                <c:idx val="2"/>
                <c:order val="1"/>
                <c:spPr>
                  <a:ln w="28575" cap="rnd">
                    <a:solidFill>
                      <a:schemeClr val="accent3"/>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0-FD5A-4FC8-BBCD-24CF4FBF7F12}"/>
                  </c:ext>
                </c:extLst>
              </c15:ser>
            </c15:filteredRadarSeries>
            <c15:filteredRadarSeries>
              <c15:ser>
                <c:idx val="3"/>
                <c:order val="3"/>
                <c:spPr>
                  <a:ln w="28575" cap="rnd">
                    <a:solidFill>
                      <a:schemeClr val="accent4"/>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1-FD5A-4FC8-BBCD-24CF4FBF7F12}"/>
                  </c:ext>
                </c:extLst>
              </c15:ser>
            </c15:filteredRadarSeries>
            <c15:filteredRadarSeries>
              <c15:ser>
                <c:idx val="8"/>
                <c:order val="8"/>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2-FD5A-4FC8-BBCD-24CF4FBF7F12}"/>
                  </c:ext>
                </c:extLst>
              </c15:ser>
            </c15:filteredRadarSeries>
            <c15:filteredRadarSeries>
              <c15:ser>
                <c:idx val="9"/>
                <c:order val="9"/>
                <c:spPr>
                  <a:ln w="28575" cap="rnd">
                    <a:solidFill>
                      <a:schemeClr val="accent4">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3-FD5A-4FC8-BBCD-24CF4FBF7F12}"/>
                  </c:ext>
                </c:extLst>
              </c15:ser>
            </c15:filteredRadarSeries>
            <c15:filteredRadarSeries>
              <c15:ser>
                <c:idx val="10"/>
                <c:order val="10"/>
                <c:spPr>
                  <a:ln w="28575" cap="rnd">
                    <a:solidFill>
                      <a:schemeClr val="accent5">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4-FD5A-4FC8-BBCD-24CF4FBF7F12}"/>
                  </c:ext>
                </c:extLst>
              </c15:ser>
            </c15:filteredRadarSeries>
            <c15:filteredRadarSeries>
              <c15:ser>
                <c:idx val="11"/>
                <c:order val="11"/>
                <c:spPr>
                  <a:ln w="28575" cap="rnd">
                    <a:solidFill>
                      <a:schemeClr val="accent6">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5-FD5A-4FC8-BBCD-24CF4FBF7F12}"/>
                  </c:ext>
                </c:extLst>
              </c15:ser>
            </c15:filteredRadarSeries>
            <c15:filteredRadarSeries>
              <c15:ser>
                <c:idx val="22"/>
                <c:order val="22"/>
                <c:spPr>
                  <a:ln w="28575" cap="rnd">
                    <a:solidFill>
                      <a:schemeClr val="accent5">
                        <a:lumMod val="8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6-FD5A-4FC8-BBCD-24CF4FBF7F12}"/>
                  </c:ext>
                </c:extLst>
              </c15:ser>
            </c15:filteredRadarSeries>
            <c15:filteredRadarSeries>
              <c15:ser>
                <c:idx val="23"/>
                <c:order val="23"/>
                <c:spPr>
                  <a:ln w="28575" cap="rnd">
                    <a:solidFill>
                      <a:schemeClr val="accent6">
                        <a:lumMod val="8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7-FD5A-4FC8-BBCD-24CF4FBF7F12}"/>
                  </c:ext>
                </c:extLst>
              </c15:ser>
            </c15:filteredRadarSeries>
          </c:ext>
        </c:extLst>
      </c:radarChart>
      <c:catAx>
        <c:axId val="171424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714243615"/>
        <c:crosses val="autoZero"/>
        <c:auto val="1"/>
        <c:lblAlgn val="ctr"/>
        <c:lblOffset val="100"/>
        <c:noMultiLvlLbl val="0"/>
      </c:catAx>
      <c:valAx>
        <c:axId val="171424361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714246015"/>
        <c:crosses val="autoZero"/>
        <c:crossBetween val="between"/>
        <c:majorUnit val="0.2"/>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sz="1200" baseline="0">
          <a:solidFill>
            <a:schemeClr val="bg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lang="en-US" sz="3600" b="0" i="0" u="none" strike="noStrike" kern="1200" spc="0" baseline="0">
              <a:solidFill>
                <a:schemeClr val="bg1"/>
              </a:solidFill>
              <a:latin typeface="+mn-lt"/>
              <a:ea typeface="+mn-ea"/>
              <a:cs typeface="+mn-cs"/>
            </a:defRPr>
          </a:pPr>
          <a:endParaRPr lang="en-US"/>
        </a:p>
      </c:txPr>
    </c:title>
    <c:autoTitleDeleted val="0"/>
    <c:plotArea>
      <c:layout/>
      <c:radarChart>
        <c:radarStyle val="marker"/>
        <c:varyColors val="0"/>
        <c:ser>
          <c:idx val="2"/>
          <c:order val="2"/>
          <c:spPr>
            <a:ln w="76200" cap="rnd">
              <a:solidFill>
                <a:srgbClr val="ED7D31"/>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0-6D91-4868-A93A-F4C30A0AB637}"/>
            </c:ext>
          </c:extLst>
        </c:ser>
        <c:ser>
          <c:idx val="4"/>
          <c:order val="4"/>
          <c:spPr>
            <a:ln w="28575" cap="rnd">
              <a:solidFill>
                <a:schemeClr val="accent5"/>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1-6D91-4868-A93A-F4C30A0AB637}"/>
            </c:ext>
          </c:extLst>
        </c:ser>
        <c:ser>
          <c:idx val="5"/>
          <c:order val="5"/>
          <c:spPr>
            <a:ln w="28575" cap="rnd">
              <a:solidFill>
                <a:schemeClr val="accent6"/>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2-6D91-4868-A93A-F4C30A0AB637}"/>
            </c:ext>
          </c:extLst>
        </c:ser>
        <c:ser>
          <c:idx val="6"/>
          <c:order val="6"/>
          <c:spPr>
            <a:ln w="28575" cap="rnd">
              <a:solidFill>
                <a:schemeClr val="accent1">
                  <a:lumMod val="6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3-6D91-4868-A93A-F4C30A0AB637}"/>
            </c:ext>
          </c:extLst>
        </c:ser>
        <c:ser>
          <c:idx val="7"/>
          <c:order val="7"/>
          <c:spPr>
            <a:ln w="28575" cap="rnd">
              <a:solidFill>
                <a:schemeClr val="accent2">
                  <a:lumMod val="6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4-6D91-4868-A93A-F4C30A0AB637}"/>
            </c:ext>
          </c:extLst>
        </c:ser>
        <c:ser>
          <c:idx val="12"/>
          <c:order val="12"/>
          <c:spPr>
            <a:ln w="28575" cap="rnd">
              <a:solidFill>
                <a:schemeClr val="accent1">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5-6D91-4868-A93A-F4C30A0AB637}"/>
            </c:ext>
          </c:extLst>
        </c:ser>
        <c:ser>
          <c:idx val="13"/>
          <c:order val="13"/>
          <c:spPr>
            <a:ln w="28575" cap="rnd">
              <a:solidFill>
                <a:schemeClr val="accent2">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6-6D91-4868-A93A-F4C30A0AB637}"/>
            </c:ext>
          </c:extLst>
        </c:ser>
        <c:ser>
          <c:idx val="14"/>
          <c:order val="14"/>
          <c:spPr>
            <a:ln w="28575" cap="rnd">
              <a:solidFill>
                <a:schemeClr val="accent3">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7-6D91-4868-A93A-F4C30A0AB637}"/>
            </c:ext>
          </c:extLst>
        </c:ser>
        <c:ser>
          <c:idx val="15"/>
          <c:order val="15"/>
          <c:spPr>
            <a:ln w="28575" cap="rnd">
              <a:solidFill>
                <a:schemeClr val="accent4">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8-6D91-4868-A93A-F4C30A0AB637}"/>
            </c:ext>
          </c:extLst>
        </c:ser>
        <c:ser>
          <c:idx val="16"/>
          <c:order val="16"/>
          <c:spPr>
            <a:ln w="28575" cap="rnd">
              <a:solidFill>
                <a:schemeClr val="accent5">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9-6D91-4868-A93A-F4C30A0AB637}"/>
            </c:ext>
          </c:extLst>
        </c:ser>
        <c:ser>
          <c:idx val="17"/>
          <c:order val="17"/>
          <c:spPr>
            <a:ln w="28575" cap="rnd">
              <a:solidFill>
                <a:schemeClr val="accent6">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A-6D91-4868-A93A-F4C30A0AB637}"/>
            </c:ext>
          </c:extLst>
        </c:ser>
        <c:ser>
          <c:idx val="18"/>
          <c:order val="18"/>
          <c:spPr>
            <a:ln w="28575" cap="rnd">
              <a:solidFill>
                <a:schemeClr val="accent1">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B-6D91-4868-A93A-F4C30A0AB637}"/>
            </c:ext>
          </c:extLst>
        </c:ser>
        <c:ser>
          <c:idx val="19"/>
          <c:order val="19"/>
          <c:spPr>
            <a:ln w="28575" cap="rnd">
              <a:solidFill>
                <a:schemeClr val="accent2">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C-6D91-4868-A93A-F4C30A0AB637}"/>
            </c:ext>
          </c:extLst>
        </c:ser>
        <c:ser>
          <c:idx val="20"/>
          <c:order val="20"/>
          <c:spPr>
            <a:ln w="28575" cap="rnd">
              <a:solidFill>
                <a:schemeClr val="accent3">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D-6D91-4868-A93A-F4C30A0AB637}"/>
            </c:ext>
          </c:extLst>
        </c:ser>
        <c:ser>
          <c:idx val="21"/>
          <c:order val="21"/>
          <c:spPr>
            <a:ln w="28575" cap="rnd">
              <a:solidFill>
                <a:schemeClr val="accent4">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E-6D91-4868-A93A-F4C30A0AB637}"/>
            </c:ext>
          </c:extLst>
        </c:ser>
        <c:dLbls>
          <c:showLegendKey val="0"/>
          <c:showVal val="0"/>
          <c:showCatName val="0"/>
          <c:showSerName val="0"/>
          <c:showPercent val="0"/>
          <c:showBubbleSize val="0"/>
        </c:dLbls>
        <c:axId val="1714246015"/>
        <c:axId val="1714243615"/>
        <c:extLst>
          <c:ext xmlns:c15="http://schemas.microsoft.com/office/drawing/2012/chart" uri="{02D57815-91ED-43cb-92C2-25804820EDAC}">
            <c15:filteredRadarSeries>
              <c15:ser>
                <c:idx val="0"/>
                <c:order val="0"/>
                <c:spPr>
                  <a:ln w="28575" cap="rnd">
                    <a:solidFill>
                      <a:schemeClr val="accent1"/>
                    </a:solidFill>
                    <a:round/>
                  </a:ln>
                  <a:effectLst/>
                </c:spPr>
                <c:marker>
                  <c:symbol val="none"/>
                </c:marker>
                <c:val>
                  <c:numRef>
                    <c:extLst>
                      <c:ext uri="{02D57815-91ED-43cb-92C2-25804820EDAC}">
                        <c15:formulaRef>
                          <c15:sqref>(#REF!,#REF!)</c15:sqref>
                        </c15:formulaRef>
                      </c:ext>
                    </c:extLst>
                    <c:numCache>
                      <c:formatCode>General</c:formatCode>
                      <c:ptCount val="1"/>
                      <c:pt idx="0">
                        <c:v>1</c:v>
                      </c:pt>
                    </c:numCache>
                  </c:numRef>
                </c:val>
                <c:extLst>
                  <c:ex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F-6D91-4868-A93A-F4C30A0AB637}"/>
                  </c:ext>
                </c:extLst>
              </c15:ser>
            </c15:filteredRadarSeries>
            <c15:filteredRadarSeries>
              <c15:ser>
                <c:idx val="1"/>
                <c:order val="1"/>
                <c:spPr>
                  <a:ln w="28575" cap="rnd">
                    <a:solidFill>
                      <a:schemeClr val="accent2"/>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0-6D91-4868-A93A-F4C30A0AB637}"/>
                  </c:ext>
                </c:extLst>
              </c15:ser>
            </c15:filteredRadarSeries>
            <c15:filteredRadarSeries>
              <c15:ser>
                <c:idx val="3"/>
                <c:order val="3"/>
                <c:spPr>
                  <a:ln w="28575" cap="rnd">
                    <a:solidFill>
                      <a:schemeClr val="accent4"/>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1-6D91-4868-A93A-F4C30A0AB637}"/>
                  </c:ext>
                </c:extLst>
              </c15:ser>
            </c15:filteredRadarSeries>
            <c15:filteredRadarSeries>
              <c15:ser>
                <c:idx val="8"/>
                <c:order val="8"/>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2-6D91-4868-A93A-F4C30A0AB637}"/>
                  </c:ext>
                </c:extLst>
              </c15:ser>
            </c15:filteredRadarSeries>
            <c15:filteredRadarSeries>
              <c15:ser>
                <c:idx val="9"/>
                <c:order val="9"/>
                <c:spPr>
                  <a:ln w="28575" cap="rnd">
                    <a:solidFill>
                      <a:schemeClr val="accent4">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3-6D91-4868-A93A-F4C30A0AB637}"/>
                  </c:ext>
                </c:extLst>
              </c15:ser>
            </c15:filteredRadarSeries>
            <c15:filteredRadarSeries>
              <c15:ser>
                <c:idx val="10"/>
                <c:order val="10"/>
                <c:spPr>
                  <a:ln w="28575" cap="rnd">
                    <a:solidFill>
                      <a:schemeClr val="accent5">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4-6D91-4868-A93A-F4C30A0AB637}"/>
                  </c:ext>
                </c:extLst>
              </c15:ser>
            </c15:filteredRadarSeries>
            <c15:filteredRadarSeries>
              <c15:ser>
                <c:idx val="11"/>
                <c:order val="11"/>
                <c:spPr>
                  <a:ln w="28575" cap="rnd">
                    <a:solidFill>
                      <a:schemeClr val="accent6">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5-6D91-4868-A93A-F4C30A0AB637}"/>
                  </c:ext>
                </c:extLst>
              </c15:ser>
            </c15:filteredRadarSeries>
            <c15:filteredRadarSeries>
              <c15:ser>
                <c:idx val="22"/>
                <c:order val="22"/>
                <c:spPr>
                  <a:ln w="28575" cap="rnd">
                    <a:solidFill>
                      <a:schemeClr val="accent5">
                        <a:lumMod val="8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6-6D91-4868-A93A-F4C30A0AB637}"/>
                  </c:ext>
                </c:extLst>
              </c15:ser>
            </c15:filteredRadarSeries>
            <c15:filteredRadarSeries>
              <c15:ser>
                <c:idx val="23"/>
                <c:order val="23"/>
                <c:spPr>
                  <a:ln w="28575" cap="rnd">
                    <a:solidFill>
                      <a:schemeClr val="accent6">
                        <a:lumMod val="8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7-6D91-4868-A93A-F4C30A0AB637}"/>
                  </c:ext>
                </c:extLst>
              </c15:ser>
            </c15:filteredRadarSeries>
          </c:ext>
        </c:extLst>
      </c:radarChart>
      <c:catAx>
        <c:axId val="171424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0" i="0" u="none" strike="noStrike" kern="1200" baseline="0">
                <a:solidFill>
                  <a:schemeClr val="bg1"/>
                </a:solidFill>
                <a:latin typeface="+mn-lt"/>
                <a:ea typeface="+mn-ea"/>
                <a:cs typeface="+mn-cs"/>
              </a:defRPr>
            </a:pPr>
            <a:endParaRPr lang="en-US"/>
          </a:p>
        </c:txPr>
        <c:crossAx val="1714243615"/>
        <c:crosses val="autoZero"/>
        <c:auto val="1"/>
        <c:lblAlgn val="ctr"/>
        <c:lblOffset val="100"/>
        <c:noMultiLvlLbl val="0"/>
      </c:catAx>
      <c:valAx>
        <c:axId val="171424361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en-US" sz="1200" b="0" i="0" u="none" strike="noStrike" kern="1200" baseline="0">
                <a:solidFill>
                  <a:schemeClr val="bg1"/>
                </a:solidFill>
                <a:latin typeface="+mn-lt"/>
                <a:ea typeface="+mn-ea"/>
                <a:cs typeface="+mn-cs"/>
              </a:defRPr>
            </a:pPr>
            <a:endParaRPr lang="en-US"/>
          </a:p>
        </c:txPr>
        <c:crossAx val="1714246015"/>
        <c:crosses val="autoZero"/>
        <c:crossBetween val="between"/>
        <c:majorUnit val="0.2"/>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lang="en-US" sz="1200" b="0" i="0" u="none" strike="noStrike" kern="1200" baseline="0">
          <a:solidFill>
            <a:schemeClr val="bg1"/>
          </a:solidFill>
          <a:latin typeface="+mn-lt"/>
          <a:ea typeface="+mn-ea"/>
          <a:cs typeface="+mn-cs"/>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radarChart>
        <c:radarStyle val="marker"/>
        <c:varyColors val="0"/>
        <c:ser>
          <c:idx val="4"/>
          <c:order val="4"/>
          <c:spPr>
            <a:ln w="28575" cap="rnd">
              <a:solidFill>
                <a:schemeClr val="accent5"/>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0-3A89-49E6-9C88-732008BD7EE0}"/>
            </c:ext>
          </c:extLst>
        </c:ser>
        <c:ser>
          <c:idx val="5"/>
          <c:order val="5"/>
          <c:spPr>
            <a:ln w="28575" cap="rnd">
              <a:solidFill>
                <a:schemeClr val="accent6"/>
              </a:solidFill>
              <a:round/>
            </a:ln>
            <a:effectLst/>
          </c:spPr>
          <c:marker>
            <c:symbol val="none"/>
          </c:marker>
          <c:val>
            <c:numRef>
              <c:f>(#REF!,#REF!)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1-3A89-49E6-9C88-732008BD7EE0}"/>
            </c:ext>
          </c:extLst>
        </c:ser>
        <c:ser>
          <c:idx val="6"/>
          <c:order val="6"/>
          <c:spPr>
            <a:ln w="28575" cap="rnd">
              <a:solidFill>
                <a:schemeClr val="accent1">
                  <a:lumMod val="6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2-3A89-49E6-9C88-732008BD7EE0}"/>
            </c:ext>
          </c:extLst>
        </c:ser>
        <c:ser>
          <c:idx val="7"/>
          <c:order val="7"/>
          <c:spPr>
            <a:ln w="28575" cap="rnd">
              <a:solidFill>
                <a:schemeClr val="accent2">
                  <a:lumMod val="6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3-3A89-49E6-9C88-732008BD7EE0}"/>
            </c:ext>
          </c:extLst>
        </c:ser>
        <c:ser>
          <c:idx val="10"/>
          <c:order val="10"/>
          <c:spPr>
            <a:ln w="76200" cap="rnd">
              <a:solidFill>
                <a:srgbClr val="CCFFCC"/>
              </a:solidFill>
              <a:round/>
            </a:ln>
            <a:effectLst/>
          </c:spPr>
          <c:marker>
            <c:symbol val="none"/>
          </c:marker>
          <c:val>
            <c:numRef>
              <c:f>(#REF!,#REF!)</c:f>
              <c:numCache>
                <c:formatCode>General</c:formatCode>
                <c:ptCount val="1"/>
                <c:pt idx="0">
                  <c:v>1</c:v>
                </c:pt>
              </c:numCache>
              <c:extLst/>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4-3A89-49E6-9C88-732008BD7EE0}"/>
            </c:ext>
          </c:extLst>
        </c:ser>
        <c:ser>
          <c:idx val="12"/>
          <c:order val="12"/>
          <c:spPr>
            <a:ln w="28575" cap="rnd">
              <a:solidFill>
                <a:schemeClr val="accent1">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5-3A89-49E6-9C88-732008BD7EE0}"/>
            </c:ext>
          </c:extLst>
        </c:ser>
        <c:ser>
          <c:idx val="13"/>
          <c:order val="13"/>
          <c:spPr>
            <a:ln w="28575" cap="rnd">
              <a:solidFill>
                <a:schemeClr val="accent2">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6-3A89-49E6-9C88-732008BD7EE0}"/>
            </c:ext>
          </c:extLst>
        </c:ser>
        <c:ser>
          <c:idx val="14"/>
          <c:order val="14"/>
          <c:spPr>
            <a:ln w="28575" cap="rnd">
              <a:solidFill>
                <a:schemeClr val="accent3">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7-3A89-49E6-9C88-732008BD7EE0}"/>
            </c:ext>
          </c:extLst>
        </c:ser>
        <c:ser>
          <c:idx val="15"/>
          <c:order val="15"/>
          <c:spPr>
            <a:ln w="28575" cap="rnd">
              <a:solidFill>
                <a:schemeClr val="accent4">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8-3A89-49E6-9C88-732008BD7EE0}"/>
            </c:ext>
          </c:extLst>
        </c:ser>
        <c:ser>
          <c:idx val="16"/>
          <c:order val="16"/>
          <c:spPr>
            <a:ln w="28575" cap="rnd">
              <a:solidFill>
                <a:schemeClr val="accent5">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9-3A89-49E6-9C88-732008BD7EE0}"/>
            </c:ext>
          </c:extLst>
        </c:ser>
        <c:ser>
          <c:idx val="17"/>
          <c:order val="17"/>
          <c:spPr>
            <a:ln w="28575" cap="rnd">
              <a:solidFill>
                <a:schemeClr val="accent6">
                  <a:lumMod val="80000"/>
                  <a:lumOff val="2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A-3A89-49E6-9C88-732008BD7EE0}"/>
            </c:ext>
          </c:extLst>
        </c:ser>
        <c:ser>
          <c:idx val="18"/>
          <c:order val="18"/>
          <c:spPr>
            <a:ln w="28575" cap="rnd">
              <a:solidFill>
                <a:schemeClr val="accent1">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B-3A89-49E6-9C88-732008BD7EE0}"/>
            </c:ext>
          </c:extLst>
        </c:ser>
        <c:ser>
          <c:idx val="19"/>
          <c:order val="19"/>
          <c:spPr>
            <a:ln w="28575" cap="rnd">
              <a:solidFill>
                <a:schemeClr val="accent2">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C-3A89-49E6-9C88-732008BD7EE0}"/>
            </c:ext>
          </c:extLst>
        </c:ser>
        <c:ser>
          <c:idx val="20"/>
          <c:order val="20"/>
          <c:spPr>
            <a:ln w="28575" cap="rnd">
              <a:solidFill>
                <a:schemeClr val="accent3">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D-3A89-49E6-9C88-732008BD7EE0}"/>
            </c:ext>
          </c:extLst>
        </c:ser>
        <c:ser>
          <c:idx val="21"/>
          <c:order val="21"/>
          <c:spPr>
            <a:ln w="28575" cap="rnd">
              <a:solidFill>
                <a:schemeClr val="accent4">
                  <a:lumMod val="80000"/>
                </a:schemeClr>
              </a:solidFill>
              <a:round/>
            </a:ln>
            <a:effectLst/>
          </c:spPr>
          <c:marker>
            <c:symbol val="none"/>
          </c:marker>
          <c:val>
            <c:numRef>
              <c:f>Summary_Overall!#REF!</c:f>
              <c:numCache>
                <c:formatCode>General</c:formatCode>
                <c:ptCount val="1"/>
                <c:pt idx="0">
                  <c:v>1</c:v>
                </c:pt>
              </c:numCache>
              <c:extLst/>
            </c:numRef>
          </c:val>
          <c:extLst>
            <c:ext xmlns:c15="http://schemas.microsoft.com/office/drawing/2012/chart" uri="{02D57815-91ED-43cb-92C2-25804820EDAC}">
              <c15:filteredSeriesTitle>
                <c15:tx>
                  <c:strRef>
                    <c:extLst>
                      <c:ext uri="{02D57815-91ED-43cb-92C2-25804820EDAC}">
                        <c15:formulaRef>
                          <c15:sqref>Summary_Overall!#REF!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E-3A89-49E6-9C88-732008BD7EE0}"/>
            </c:ext>
          </c:extLst>
        </c:ser>
        <c:dLbls>
          <c:showLegendKey val="0"/>
          <c:showVal val="0"/>
          <c:showCatName val="0"/>
          <c:showSerName val="0"/>
          <c:showPercent val="0"/>
          <c:showBubbleSize val="0"/>
        </c:dLbls>
        <c:axId val="1714246015"/>
        <c:axId val="1714243615"/>
        <c:extLst>
          <c:ext xmlns:c15="http://schemas.microsoft.com/office/drawing/2012/chart" uri="{02D57815-91ED-43cb-92C2-25804820EDAC}">
            <c15:filteredRadarSeries>
              <c15:ser>
                <c:idx val="0"/>
                <c:order val="0"/>
                <c:spPr>
                  <a:ln w="28575" cap="rnd">
                    <a:solidFill>
                      <a:schemeClr val="accent1"/>
                    </a:solidFill>
                    <a:round/>
                  </a:ln>
                  <a:effectLst/>
                </c:spPr>
                <c:marker>
                  <c:symbol val="none"/>
                </c:marker>
                <c:val>
                  <c:numRef>
                    <c:extLst>
                      <c:ext uri="{02D57815-91ED-43cb-92C2-25804820EDAC}">
                        <c15:formulaRef>
                          <c15:sqref>(#REF!,#REF!)</c15:sqref>
                        </c15:formulaRef>
                      </c:ext>
                    </c:extLst>
                    <c:numCache>
                      <c:formatCode>General</c:formatCode>
                      <c:ptCount val="1"/>
                      <c:pt idx="0">
                        <c:v>1</c:v>
                      </c:pt>
                    </c:numCache>
                  </c:numRef>
                </c:val>
                <c:extLst>
                  <c:ex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0F-3A89-49E6-9C88-732008BD7EE0}"/>
                  </c:ext>
                </c:extLst>
              </c15:ser>
            </c15:filteredRadarSeries>
            <c15:filteredRadarSeries>
              <c15:ser>
                <c:idx val="1"/>
                <c:order val="1"/>
                <c:spPr>
                  <a:ln w="28575" cap="rnd">
                    <a:solidFill>
                      <a:schemeClr val="accent2"/>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0-3A89-49E6-9C88-732008BD7EE0}"/>
                  </c:ext>
                </c:extLst>
              </c15:ser>
            </c15:filteredRadarSeries>
            <c15:filteredRadarSeries>
              <c15:ser>
                <c:idx val="2"/>
                <c:order val="2"/>
                <c:spPr>
                  <a:ln w="28575" cap="rnd">
                    <a:solidFill>
                      <a:schemeClr val="accent3"/>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1-3A89-49E6-9C88-732008BD7EE0}"/>
                  </c:ext>
                </c:extLst>
              </c15:ser>
            </c15:filteredRadarSeries>
            <c15:filteredRadarSeries>
              <c15:ser>
                <c:idx val="3"/>
                <c:order val="3"/>
                <c:spPr>
                  <a:ln w="28575" cap="rnd">
                    <a:solidFill>
                      <a:schemeClr val="accent4"/>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2-3A89-49E6-9C88-732008BD7EE0}"/>
                  </c:ext>
                </c:extLst>
              </c15:ser>
            </c15:filteredRadarSeries>
            <c15:filteredRadarSeries>
              <c15:ser>
                <c:idx val="8"/>
                <c:order val="8"/>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3-3A89-49E6-9C88-732008BD7EE0}"/>
                  </c:ext>
                </c:extLst>
              </c15:ser>
            </c15:filteredRadarSeries>
            <c15:filteredRadarSeries>
              <c15:ser>
                <c:idx val="9"/>
                <c:order val="9"/>
                <c:spPr>
                  <a:ln w="28575" cap="rnd">
                    <a:solidFill>
                      <a:schemeClr val="accent4">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4-3A89-49E6-9C88-732008BD7EE0}"/>
                  </c:ext>
                </c:extLst>
              </c15:ser>
            </c15:filteredRadarSeries>
            <c15:filteredRadarSeries>
              <c15:ser>
                <c:idx val="11"/>
                <c:order val="11"/>
                <c:spPr>
                  <a:ln w="28575" cap="rnd">
                    <a:solidFill>
                      <a:schemeClr val="accent6">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5-3A89-49E6-9C88-732008BD7EE0}"/>
                  </c:ext>
                </c:extLst>
              </c15:ser>
            </c15:filteredRadarSeries>
            <c15:filteredRadarSeries>
              <c15:ser>
                <c:idx val="22"/>
                <c:order val="22"/>
                <c:spPr>
                  <a:ln w="28575" cap="rnd">
                    <a:solidFill>
                      <a:schemeClr val="accent5">
                        <a:lumMod val="8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6-3A89-49E6-9C88-732008BD7EE0}"/>
                  </c:ext>
                </c:extLst>
              </c15:ser>
            </c15:filteredRadarSeries>
            <c15:filteredRadarSeries>
              <c15:ser>
                <c:idx val="23"/>
                <c:order val="23"/>
                <c:spPr>
                  <a:ln w="28575" cap="rnd">
                    <a:solidFill>
                      <a:schemeClr val="accent6">
                        <a:lumMod val="80000"/>
                      </a:schemeClr>
                    </a:solidFill>
                    <a:round/>
                  </a:ln>
                  <a:effectLst/>
                </c:spPr>
                <c:marker>
                  <c:symbol val="none"/>
                </c:marker>
                <c:val>
                  <c:numRef>
                    <c:extLst xmlns:c15="http://schemas.microsoft.com/office/drawing/2012/chart">
                      <c:ext xmlns:c15="http://schemas.microsoft.com/office/drawing/2012/chart" uri="{02D57815-91ED-43cb-92C2-25804820EDAC}">
                        <c15:formulaRef>
                          <c15:sqref>(#REF!,#REF!)</c15:sqref>
                        </c15:formulaRef>
                      </c:ext>
                    </c:extLst>
                    <c:numCache>
                      <c:formatCode>General</c:formatCode>
                      <c:ptCount val="1"/>
                      <c:pt idx="0">
                        <c:v>1</c:v>
                      </c:pt>
                    </c:numCache>
                  </c:numRef>
                </c:val>
                <c:extLst xmlns:c15="http://schemas.microsoft.com/office/drawing/2012/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(#REF!,#REF!)</c15:sqref>
                              </c15:formulaRef>
                            </c:ext>
                          </c:extLst>
                        </c:multiLvlStrRef>
                      </c15:cat>
                    </c15:filteredCategoryTitle>
                  </c:ext>
                  <c:ext xmlns:c16="http://schemas.microsoft.com/office/drawing/2014/chart" uri="{C3380CC4-5D6E-409C-BE32-E72D297353CC}">
                    <c16:uniqueId val="{00000017-3A89-49E6-9C88-732008BD7EE0}"/>
                  </c:ext>
                </c:extLst>
              </c15:ser>
            </c15:filteredRadarSeries>
          </c:ext>
        </c:extLst>
      </c:radarChart>
      <c:catAx>
        <c:axId val="17142460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714243615"/>
        <c:crosses val="autoZero"/>
        <c:auto val="1"/>
        <c:lblAlgn val="ctr"/>
        <c:lblOffset val="100"/>
        <c:noMultiLvlLbl val="0"/>
      </c:catAx>
      <c:valAx>
        <c:axId val="171424361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714246015"/>
        <c:crosses val="autoZero"/>
        <c:crossBetween val="between"/>
        <c:majorUnit val="0.2"/>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sz="1200" baseline="0">
          <a:solidFill>
            <a:schemeClr val="bg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600"/>
              <a:t>ITP</a:t>
            </a:r>
            <a:r>
              <a:rPr lang="zh-TW" sz="3600"/>
              <a:t> </a:t>
            </a:r>
            <a:r>
              <a:rPr lang="en-US" sz="3600"/>
              <a:t>Approval Status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dLbl>
          <c:idx val="0"/>
          <c:showLegendKey val="0"/>
          <c:showVal val="1"/>
          <c:showCatName val="0"/>
          <c:showSerName val="0"/>
          <c:showPercent val="0"/>
          <c:showBubbleSize val="0"/>
          <c:extLst>
            <c:ext xmlns:c15="http://schemas.microsoft.com/office/drawing/2012/chart" uri="{CE6537A1-D6FC-4f65-9D91-7224C49458BB}"/>
          </c:extLst>
        </c:dLbl>
      </c:pivotFmt>
      <c:pivotFmt>
        <c:idx val="24"/>
        <c:spPr>
          <a:pattFill prst="pct30">
            <a:fgClr>
              <a:schemeClr val="accent1"/>
            </a:fgClr>
            <a:bgClr>
              <a:schemeClr val="bg1"/>
            </a:bgClr>
          </a:patt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92D050"/>
          </a:soli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pattFill prst="pct30">
            <a:fgClr>
              <a:schemeClr val="accent1"/>
            </a:fgClr>
            <a:bgClr>
              <a:schemeClr val="bg1"/>
            </a:bgClr>
          </a:pattFill>
          <a:ln>
            <a:noFill/>
          </a:ln>
          <a:effectLst>
            <a:outerShdw blurRad="57150" dist="19050" dir="5400000" algn="ctr" rotWithShape="0">
              <a:srgbClr val="000000">
                <a:alpha val="63000"/>
              </a:srgbClr>
            </a:outerShdw>
          </a:effectLst>
        </c:spPr>
      </c:pivotFmt>
      <c:pivotFmt>
        <c:idx val="27"/>
        <c:spPr>
          <a:pattFill prst="pct30">
            <a:fgClr>
              <a:schemeClr val="accent1"/>
            </a:fgClr>
            <a:bgClr>
              <a:schemeClr val="bg1"/>
            </a:bgClr>
          </a:patt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92D05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pattFill prst="pct30">
            <a:fgClr>
              <a:schemeClr val="accent1"/>
            </a:fgClr>
            <a:bgClr>
              <a:schemeClr val="bg1"/>
            </a:bgClr>
          </a:patt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rgbClr val="92D05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pattFill prst="pct30">
            <a:fgClr>
              <a:schemeClr val="accent1"/>
            </a:fgClr>
            <a:bgClr>
              <a:schemeClr val="bg1"/>
            </a:bgClr>
          </a:patt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92D05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pattFill prst="pct30">
            <a:fgClr>
              <a:schemeClr val="accent1"/>
            </a:fgClr>
            <a:bgClr>
              <a:schemeClr val="bg1"/>
            </a:bgClr>
          </a:patt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rgbClr val="92D05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v>Sum of ITP_Approved</c:v>
          </c:tx>
          <c:spPr>
            <a:pattFill prst="pct30">
              <a:fgClr>
                <a:schemeClr val="accent1"/>
              </a:fgClr>
              <a:bgClr>
                <a:schemeClr val="bg1"/>
              </a:bgClr>
            </a:patt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6"/>
              <c:pt idx="0">
                <c:v>LS Cable</c:v>
              </c:pt>
              <c:pt idx="1">
                <c:v>JDN</c:v>
              </c:pt>
              <c:pt idx="2">
                <c:v>Hellenic Cable</c:v>
              </c:pt>
              <c:pt idx="3">
                <c:v>CDWE</c:v>
              </c:pt>
              <c:pt idx="4">
                <c:v>BMS</c:v>
              </c:pt>
              <c:pt idx="5">
                <c:v>Seaway7</c:v>
              </c:pt>
            </c:strLit>
          </c:cat>
          <c:val>
            <c:numLit>
              <c:formatCode>General</c:formatCode>
              <c:ptCount val="6"/>
              <c:pt idx="0">
                <c:v>10</c:v>
              </c:pt>
              <c:pt idx="1">
                <c:v>1</c:v>
              </c:pt>
              <c:pt idx="2">
                <c:v>10</c:v>
              </c:pt>
              <c:pt idx="3">
                <c:v>25</c:v>
              </c:pt>
              <c:pt idx="4">
                <c:v>1</c:v>
              </c:pt>
              <c:pt idx="5">
                <c:v>24</c:v>
              </c:pt>
            </c:numLit>
          </c:val>
          <c:extLst>
            <c:ext xmlns:c16="http://schemas.microsoft.com/office/drawing/2014/chart" uri="{C3380CC4-5D6E-409C-BE32-E72D297353CC}">
              <c16:uniqueId val="{00000000-77BB-4ACC-A509-B8FB86A38D88}"/>
            </c:ext>
          </c:extLst>
        </c:ser>
        <c:ser>
          <c:idx val="0"/>
          <c:order val="0"/>
          <c:tx>
            <c:v>Sum of ITP_Submission</c:v>
          </c:tx>
          <c:spPr>
            <a:solidFill>
              <a:srgbClr val="92D05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6"/>
              <c:pt idx="0">
                <c:v>LS Cable</c:v>
              </c:pt>
              <c:pt idx="1">
                <c:v>JDN</c:v>
              </c:pt>
              <c:pt idx="2">
                <c:v>Hellenic Cable</c:v>
              </c:pt>
              <c:pt idx="3">
                <c:v>CDWE</c:v>
              </c:pt>
              <c:pt idx="4">
                <c:v>BMS</c:v>
              </c:pt>
              <c:pt idx="5">
                <c:v>Seaway7</c:v>
              </c:pt>
            </c:strLit>
          </c:cat>
          <c:val>
            <c:numLit>
              <c:formatCode>General</c:formatCode>
              <c:ptCount val="6"/>
              <c:pt idx="0">
                <c:v>10</c:v>
              </c:pt>
              <c:pt idx="1">
                <c:v>1</c:v>
              </c:pt>
              <c:pt idx="2">
                <c:v>10</c:v>
              </c:pt>
              <c:pt idx="3">
                <c:v>25</c:v>
              </c:pt>
              <c:pt idx="4">
                <c:v>1</c:v>
              </c:pt>
              <c:pt idx="5">
                <c:v>24</c:v>
              </c:pt>
            </c:numLit>
          </c:val>
          <c:extLst>
            <c:ext xmlns:c16="http://schemas.microsoft.com/office/drawing/2014/chart" uri="{C3380CC4-5D6E-409C-BE32-E72D297353CC}">
              <c16:uniqueId val="{00000001-77BB-4ACC-A509-B8FB86A38D88}"/>
            </c:ext>
          </c:extLst>
        </c:ser>
        <c:dLbls>
          <c:showLegendKey val="0"/>
          <c:showVal val="0"/>
          <c:showCatName val="0"/>
          <c:showSerName val="0"/>
          <c:showPercent val="0"/>
          <c:showBubbleSize val="0"/>
        </c:dLbls>
        <c:gapWidth val="100"/>
        <c:overlap val="-24"/>
        <c:axId val="1521841808"/>
        <c:axId val="1521843728"/>
      </c:barChart>
      <c:catAx>
        <c:axId val="15218418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000" b="1" i="0" u="none" strike="noStrike" kern="1200" baseline="0">
                <a:solidFill>
                  <a:schemeClr val="lt1">
                    <a:lumMod val="85000"/>
                  </a:schemeClr>
                </a:solidFill>
                <a:latin typeface="+mn-lt"/>
                <a:ea typeface="+mn-ea"/>
                <a:cs typeface="+mn-cs"/>
              </a:defRPr>
            </a:pPr>
            <a:endParaRPr lang="en-US"/>
          </a:p>
        </c:txPr>
        <c:crossAx val="1521843728"/>
        <c:crosses val="autoZero"/>
        <c:auto val="1"/>
        <c:lblAlgn val="ctr"/>
        <c:lblOffset val="100"/>
        <c:noMultiLvlLbl val="0"/>
      </c:catAx>
      <c:valAx>
        <c:axId val="15218437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lt1">
                    <a:lumMod val="85000"/>
                  </a:schemeClr>
                </a:solidFill>
                <a:latin typeface="+mn-lt"/>
                <a:ea typeface="+mn-ea"/>
                <a:cs typeface="+mn-cs"/>
              </a:defRPr>
            </a:pPr>
            <a:endParaRPr lang="en-US"/>
          </a:p>
        </c:txPr>
        <c:crossAx val="15218418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Work Notebook_HL_20251021.xlsm]Query_Basedata!PivotTable5</c:name>
    <c:fmtId val="14"/>
  </c:pivotSource>
  <c:chart>
    <c:title>
      <c:tx>
        <c:rich>
          <a:bodyPr rot="0" spcFirstLastPara="1" vertOverflow="ellipsis" vert="horz" wrap="square" anchor="ctr" anchorCtr="1"/>
          <a:lstStyle/>
          <a:p>
            <a:pPr>
              <a:defRPr sz="3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600"/>
              <a:t>KPI Trend</a:t>
            </a:r>
          </a:p>
        </c:rich>
      </c:tx>
      <c:overlay val="0"/>
      <c:spPr>
        <a:noFill/>
        <a:ln>
          <a:noFill/>
        </a:ln>
        <a:effectLst/>
      </c:spPr>
      <c:txPr>
        <a:bodyPr rot="0" spcFirstLastPara="1" vertOverflow="ellipsis" vert="horz" wrap="square" anchor="ctr" anchorCtr="1"/>
        <a:lstStyle/>
        <a:p>
          <a:pPr>
            <a:defRPr sz="3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Query_Basedata!$AP$3:$AP$4</c:f>
              <c:strCache>
                <c:ptCount val="1"/>
                <c:pt idx="0">
                  <c:v>Grand 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Query_Basedata!$AO$5:$AO$14</c:f>
              <c:strCache>
                <c:ptCount val="10"/>
                <c:pt idx="0">
                  <c:v>Sum of KPI_2025_02</c:v>
                </c:pt>
                <c:pt idx="1">
                  <c:v>Sum of KPI_2025_03</c:v>
                </c:pt>
                <c:pt idx="2">
                  <c:v>Sum of KPI_2025_04</c:v>
                </c:pt>
                <c:pt idx="3">
                  <c:v>Sum of KPI_2025_05</c:v>
                </c:pt>
                <c:pt idx="4">
                  <c:v>Sum of KPI_2025_06</c:v>
                </c:pt>
                <c:pt idx="5">
                  <c:v>Sum of KPI_2025_07</c:v>
                </c:pt>
                <c:pt idx="6">
                  <c:v>Sum of KPI_2025_08</c:v>
                </c:pt>
                <c:pt idx="7">
                  <c:v>Sum of KPI_2025_09</c:v>
                </c:pt>
                <c:pt idx="8">
                  <c:v>Sum of KPI_2025_10</c:v>
                </c:pt>
                <c:pt idx="9">
                  <c:v>Sum of KPI_2025_11</c:v>
                </c:pt>
              </c:strCache>
            </c:strRef>
          </c:cat>
          <c:val>
            <c:numRef>
              <c:f>Query_Basedata!$AP$5:$AP$14</c:f>
              <c:numCache>
                <c:formatCode>0.0%</c:formatCode>
                <c:ptCount val="10"/>
              </c:numCache>
            </c:numRef>
          </c:val>
          <c:smooth val="0"/>
          <c:extLst>
            <c:ext xmlns:c16="http://schemas.microsoft.com/office/drawing/2014/chart" uri="{C3380CC4-5D6E-409C-BE32-E72D297353CC}">
              <c16:uniqueId val="{00000000-68E0-41C4-940B-6183FA4AD1D1}"/>
            </c:ext>
          </c:extLst>
        </c:ser>
        <c:dLbls>
          <c:dLblPos val="t"/>
          <c:showLegendKey val="0"/>
          <c:showVal val="1"/>
          <c:showCatName val="0"/>
          <c:showSerName val="0"/>
          <c:showPercent val="0"/>
          <c:showBubbleSize val="0"/>
        </c:dLbls>
        <c:marker val="1"/>
        <c:smooth val="0"/>
        <c:axId val="462862256"/>
        <c:axId val="462864176"/>
      </c:lineChart>
      <c:dateAx>
        <c:axId val="462862256"/>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1800000" spcFirstLastPara="1" vertOverflow="ellipsis" wrap="square" anchor="ctr" anchorCtr="1"/>
          <a:lstStyle/>
          <a:p>
            <a:pPr>
              <a:defRPr sz="1400" b="1" i="0" u="none" strike="noStrike" kern="1200" baseline="0">
                <a:solidFill>
                  <a:schemeClr val="lt1">
                    <a:lumMod val="85000"/>
                  </a:schemeClr>
                </a:solidFill>
                <a:latin typeface="+mn-lt"/>
                <a:ea typeface="+mn-ea"/>
                <a:cs typeface="+mn-cs"/>
              </a:defRPr>
            </a:pPr>
            <a:endParaRPr lang="en-US"/>
          </a:p>
        </c:txPr>
        <c:crossAx val="462864176"/>
        <c:crosses val="autoZero"/>
        <c:auto val="0"/>
        <c:lblOffset val="100"/>
        <c:baseTimeUnit val="days"/>
      </c:dateAx>
      <c:valAx>
        <c:axId val="462864176"/>
        <c:scaling>
          <c:orientation val="minMax"/>
          <c:max val="0.86798717948717929"/>
          <c:min val="0.81073076923076925"/>
        </c:scaling>
        <c:delete val="0"/>
        <c:axPos val="l"/>
        <c:majorGridlines>
          <c:spPr>
            <a:ln w="9525" cap="flat" cmpd="sng" algn="ctr">
              <a:solidFill>
                <a:schemeClr val="lt1">
                  <a:lumMod val="95000"/>
                  <a:alpha val="10000"/>
                </a:schemeClr>
              </a:soli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lt1">
                    <a:lumMod val="85000"/>
                  </a:schemeClr>
                </a:solidFill>
                <a:latin typeface="+mn-lt"/>
                <a:ea typeface="+mn-ea"/>
                <a:cs typeface="+mn-cs"/>
              </a:defRPr>
            </a:pPr>
            <a:endParaRPr lang="en-US"/>
          </a:p>
        </c:txPr>
        <c:crossAx val="462862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accent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B5A-40EF-A4EA-CE90B87F9C99}"/>
              </c:ext>
            </c:extLst>
          </c:dPt>
          <c:dPt>
            <c:idx val="1"/>
            <c:bubble3D val="0"/>
            <c:spPr>
              <a:solidFill>
                <a:schemeClr val="accent1"/>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4B5A-40EF-A4EA-CE90B87F9C99}"/>
              </c:ext>
            </c:extLst>
          </c:dPt>
          <c:dPt>
            <c:idx val="2"/>
            <c:bubble3D val="0"/>
            <c:spPr>
              <a:solidFill>
                <a:schemeClr val="accent6"/>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4B5A-40EF-A4EA-CE90B87F9C99}"/>
              </c:ext>
            </c:extLst>
          </c:dPt>
          <c:dPt>
            <c:idx val="3"/>
            <c:bubble3D val="0"/>
            <c:spPr>
              <a:noFill/>
              <a:ln>
                <a:noFill/>
              </a:ln>
              <a:effectLst/>
            </c:spPr>
            <c:extLst>
              <c:ext xmlns:c16="http://schemas.microsoft.com/office/drawing/2014/chart" uri="{C3380CC4-5D6E-409C-BE32-E72D297353CC}">
                <c16:uniqueId val="{00000007-4B5A-40EF-A4EA-CE90B87F9C99}"/>
              </c:ext>
            </c:extLst>
          </c:dPt>
          <c:val>
            <c:numRef>
              <c:f>Query_Basedata!$O$41:$O$44</c:f>
              <c:numCache>
                <c:formatCode>General</c:formatCode>
                <c:ptCount val="4"/>
                <c:pt idx="0">
                  <c:v>40</c:v>
                </c:pt>
                <c:pt idx="1">
                  <c:v>40</c:v>
                </c:pt>
                <c:pt idx="2">
                  <c:v>20</c:v>
                </c:pt>
                <c:pt idx="3">
                  <c:v>100</c:v>
                </c:pt>
              </c:numCache>
            </c:numRef>
          </c:val>
          <c:extLst>
            <c:ext xmlns:c16="http://schemas.microsoft.com/office/drawing/2014/chart" uri="{C3380CC4-5D6E-409C-BE32-E72D297353CC}">
              <c16:uniqueId val="{00000008-4B5A-40EF-A4EA-CE90B87F9C99}"/>
            </c:ext>
          </c:extLst>
        </c:ser>
        <c:dLbls>
          <c:showLegendKey val="0"/>
          <c:showVal val="0"/>
          <c:showCatName val="0"/>
          <c:showSerName val="0"/>
          <c:showPercent val="0"/>
          <c:showBubbleSize val="0"/>
          <c:showLeaderLines val="1"/>
        </c:dLbls>
        <c:firstSliceAng val="270"/>
        <c:holeSize val="75"/>
      </c:doughnutChart>
      <c:scatterChart>
        <c:scatterStyle val="lineMarker"/>
        <c:varyColors val="0"/>
        <c:ser>
          <c:idx val="1"/>
          <c:order val="1"/>
          <c:tx>
            <c:strRef>
              <c:f>Query_Basedata!$M$41:$M$43</c:f>
              <c:strCache>
                <c:ptCount val="3"/>
                <c:pt idx="0">
                  <c:v>X</c:v>
                </c:pt>
                <c:pt idx="1">
                  <c:v>0</c:v>
                </c:pt>
                <c:pt idx="2">
                  <c:v>-1.00</c:v>
                </c:pt>
              </c:strCache>
            </c:strRef>
          </c:tx>
          <c:spPr>
            <a:ln w="34925" cap="rnd">
              <a:solidFill>
                <a:schemeClr val="accent2"/>
              </a:solidFill>
              <a:round/>
              <a:headEnd type="oval"/>
            </a:ln>
            <a:effectLst>
              <a:outerShdw blurRad="57150" dist="19050" dir="5400000" algn="ctr" rotWithShape="0">
                <a:srgbClr val="000000">
                  <a:alpha val="63000"/>
                </a:srgbClr>
              </a:outerShdw>
            </a:effectLst>
          </c:spPr>
          <c:marker>
            <c:symbol val="none"/>
          </c:marker>
          <c:dPt>
            <c:idx val="0"/>
            <c:marker>
              <c:symbol val="none"/>
            </c:marker>
            <c:bubble3D val="0"/>
            <c:spPr>
              <a:ln w="123825" cap="rnd">
                <a:solidFill>
                  <a:schemeClr val="accent2"/>
                </a:solidFill>
                <a:round/>
                <a:headEnd type="ova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4B5A-40EF-A4EA-CE90B87F9C99}"/>
              </c:ext>
            </c:extLst>
          </c:dPt>
          <c:xVal>
            <c:numRef>
              <c:f>Query_Basedata!$M$42:$M$43</c:f>
              <c:numCache>
                <c:formatCode>0.00</c:formatCode>
                <c:ptCount val="2"/>
                <c:pt idx="0" formatCode="General">
                  <c:v>0</c:v>
                </c:pt>
                <c:pt idx="1">
                  <c:v>-1</c:v>
                </c:pt>
              </c:numCache>
            </c:numRef>
          </c:xVal>
          <c:yVal>
            <c:numRef>
              <c:f>Query_Basedata!$N$42:$N$43</c:f>
              <c:numCache>
                <c:formatCode>0.00</c:formatCode>
                <c:ptCount val="2"/>
                <c:pt idx="0" formatCode="General">
                  <c:v>0</c:v>
                </c:pt>
                <c:pt idx="1">
                  <c:v>0</c:v>
                </c:pt>
              </c:numCache>
            </c:numRef>
          </c:yVal>
          <c:smooth val="0"/>
          <c:extLst>
            <c:ext xmlns:c16="http://schemas.microsoft.com/office/drawing/2014/chart" uri="{C3380CC4-5D6E-409C-BE32-E72D297353CC}">
              <c16:uniqueId val="{0000000B-4B5A-40EF-A4EA-CE90B87F9C99}"/>
            </c:ext>
          </c:extLst>
        </c:ser>
        <c:dLbls>
          <c:showLegendKey val="0"/>
          <c:showVal val="0"/>
          <c:showCatName val="0"/>
          <c:showSerName val="0"/>
          <c:showPercent val="0"/>
          <c:showBubbleSize val="0"/>
        </c:dLbls>
        <c:axId val="1963770607"/>
        <c:axId val="1963773967"/>
      </c:scatterChart>
      <c:valAx>
        <c:axId val="1963773967"/>
        <c:scaling>
          <c:orientation val="minMax"/>
          <c:max val="1"/>
          <c:min val="-1"/>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963770607"/>
        <c:crosses val="autoZero"/>
        <c:crossBetween val="midCat"/>
      </c:valAx>
      <c:valAx>
        <c:axId val="1963770607"/>
        <c:scaling>
          <c:orientation val="minMax"/>
          <c:max val="1"/>
          <c:min val="-1"/>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96377396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4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Obs Status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spPr>
            <a:solidFill>
              <a:srgbClr val="92D050"/>
            </a:solidFill>
            <a:ln>
              <a:noFill/>
            </a:ln>
          </c:spPr>
          <c:dPt>
            <c:idx val="0"/>
            <c:bubble3D val="0"/>
            <c:spPr>
              <a:solidFill>
                <a:schemeClr val="accent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3CA-450A-B296-E6568CB39757}"/>
              </c:ext>
            </c:extLst>
          </c:dPt>
          <c:dPt>
            <c:idx val="1"/>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3CA-450A-B296-E6568CB39757}"/>
              </c:ext>
            </c:extLst>
          </c:dPt>
          <c:dLbls>
            <c:dLbl>
              <c:idx val="0"/>
              <c:layout>
                <c:manualLayout>
                  <c:x val="0.40894911803002826"/>
                  <c:y val="-8.0567490412064971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7762469920353228"/>
                      <c:h val="0.19874535021194378"/>
                    </c:manualLayout>
                  </c15:layout>
                </c:ext>
                <c:ext xmlns:c16="http://schemas.microsoft.com/office/drawing/2014/chart" uri="{C3380CC4-5D6E-409C-BE32-E72D297353CC}">
                  <c16:uniqueId val="{00000001-23CA-450A-B296-E6568CB39757}"/>
                </c:ext>
              </c:extLst>
            </c:dLbl>
            <c:dLbl>
              <c:idx val="1"/>
              <c:layout>
                <c:manualLayout>
                  <c:x val="-0.34969579682821339"/>
                  <c:y val="6.9581238785829738E-2"/>
                </c:manualLayout>
              </c:layout>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4509032466236502"/>
                      <c:h val="0.19874535021194378"/>
                    </c:manualLayout>
                  </c15:layout>
                </c:ext>
                <c:ext xmlns:c16="http://schemas.microsoft.com/office/drawing/2014/chart" uri="{C3380CC4-5D6E-409C-BE32-E72D297353CC}">
                  <c16:uniqueId val="{00000003-23CA-450A-B296-E6568CB39757}"/>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19050">
                  <a:solidFill>
                    <a:schemeClr val="lt1">
                      <a:lumMod val="95000"/>
                    </a:schemeClr>
                  </a:solidFill>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Query_Basedata!$U$34:$U$36</c15:sqref>
                  </c15:fullRef>
                </c:ext>
              </c:extLst>
              <c:f>Query_Basedata!$U$35:$U$36</c:f>
              <c:strCache>
                <c:ptCount val="2"/>
                <c:pt idx="0">
                  <c:v>OBS_Opening</c:v>
                </c:pt>
                <c:pt idx="1">
                  <c:v>OBS_Closed</c:v>
                </c:pt>
              </c:strCache>
            </c:strRef>
          </c:cat>
          <c:val>
            <c:numRef>
              <c:extLst>
                <c:ext xmlns:c15="http://schemas.microsoft.com/office/drawing/2012/chart" uri="{02D57815-91ED-43cb-92C2-25804820EDAC}">
                  <c15:fullRef>
                    <c15:sqref>Query_Basedata!$V$34:$V$36</c15:sqref>
                  </c15:fullRef>
                </c:ext>
              </c:extLst>
              <c:f>Query_Basedata!$V$35:$V$36</c:f>
              <c:numCache>
                <c:formatCode>General</c:formatCode>
                <c:ptCount val="2"/>
                <c:pt idx="0">
                  <c:v>0</c:v>
                </c:pt>
                <c:pt idx="1">
                  <c:v>0</c:v>
                </c:pt>
              </c:numCache>
            </c:numRef>
          </c:val>
          <c:extLst>
            <c:ext xmlns:c15="http://schemas.microsoft.com/office/drawing/2012/chart" uri="{02D57815-91ED-43cb-92C2-25804820EDAC}">
              <c15:categoryFilterExceptions>
                <c15:categoryFilterException>
                  <c15:sqref>Query_Basedata!$V$34</c15:sqref>
                  <c15:spPr xmlns:c15="http://schemas.microsoft.com/office/drawing/2012/chart">
                    <a:solidFill>
                      <a:srgbClr val="92D050"/>
                    </a:solidFill>
                    <a:ln>
                      <a:noFill/>
                    </a:ln>
                    <a:effectLst>
                      <a:outerShdw blurRad="57150" dist="19050" dir="5400000" algn="ctr" rotWithShape="0">
                        <a:srgbClr val="000000">
                          <a:alpha val="63000"/>
                        </a:srgbClr>
                      </a:outerShdw>
                    </a:effectLst>
                  </c15:spPr>
                  <c15:bubble3D val="0"/>
                </c15:categoryFilterException>
              </c15:categoryFilterExceptions>
            </c:ext>
            <c:ext xmlns:c16="http://schemas.microsoft.com/office/drawing/2014/chart" uri="{C3380CC4-5D6E-409C-BE32-E72D297353CC}">
              <c16:uniqueId val="{00000004-23CA-450A-B296-E6568CB39757}"/>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Work Notebook_HL_20251021.xlsm]Query_Basedata!PivotTable4</c:name>
    <c:fmtId val="2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600"/>
              <a:t>NCR Status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noFill/>
            <a:ln w="9525">
              <a:no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2"/>
        <c:spPr>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Query_Basedata!$AE$3</c:f>
              <c:strCache>
                <c:ptCount val="1"/>
                <c:pt idx="0">
                  <c:v>Sum of NCR_Closed</c:v>
                </c:pt>
              </c:strCache>
            </c:strRef>
          </c:tx>
          <c:spPr>
            <a:solidFill>
              <a:schemeClr val="accent6"/>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Query_Basedata!$AD$4</c:f>
              <c:strCache>
                <c:ptCount val="1"/>
                <c:pt idx="0">
                  <c:v>Grand Total</c:v>
                </c:pt>
              </c:strCache>
            </c:strRef>
          </c:cat>
          <c:val>
            <c:numRef>
              <c:f>Query_Basedata!$AE$4</c:f>
              <c:numCache>
                <c:formatCode>General</c:formatCode>
                <c:ptCount val="1"/>
              </c:numCache>
            </c:numRef>
          </c:val>
          <c:extLst>
            <c:ext xmlns:c16="http://schemas.microsoft.com/office/drawing/2014/chart" uri="{C3380CC4-5D6E-409C-BE32-E72D297353CC}">
              <c16:uniqueId val="{00000000-7CEB-4204-9547-C9DECC6F5486}"/>
            </c:ext>
          </c:extLst>
        </c:ser>
        <c:ser>
          <c:idx val="1"/>
          <c:order val="1"/>
          <c:tx>
            <c:strRef>
              <c:f>Query_Basedata!$AF$3</c:f>
              <c:strCache>
                <c:ptCount val="1"/>
                <c:pt idx="0">
                  <c:v>Sum of NCR_Opening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Query_Basedata!$AD$4</c:f>
              <c:strCache>
                <c:ptCount val="1"/>
                <c:pt idx="0">
                  <c:v>Grand Total</c:v>
                </c:pt>
              </c:strCache>
            </c:strRef>
          </c:cat>
          <c:val>
            <c:numRef>
              <c:f>Query_Basedata!$AF$4</c:f>
              <c:numCache>
                <c:formatCode>General</c:formatCode>
                <c:ptCount val="1"/>
              </c:numCache>
            </c:numRef>
          </c:val>
          <c:extLst>
            <c:ext xmlns:c16="http://schemas.microsoft.com/office/drawing/2014/chart" uri="{C3380CC4-5D6E-409C-BE32-E72D297353CC}">
              <c16:uniqueId val="{00000001-7CEB-4204-9547-C9DECC6F5486}"/>
            </c:ext>
          </c:extLst>
        </c:ser>
        <c:dLbls>
          <c:showLegendKey val="0"/>
          <c:showVal val="0"/>
          <c:showCatName val="0"/>
          <c:showSerName val="0"/>
          <c:showPercent val="0"/>
          <c:showBubbleSize val="0"/>
        </c:dLbls>
        <c:gapWidth val="219"/>
        <c:overlap val="100"/>
        <c:axId val="943648783"/>
        <c:axId val="943649743"/>
      </c:barChart>
      <c:lineChart>
        <c:grouping val="standard"/>
        <c:varyColors val="0"/>
        <c:ser>
          <c:idx val="2"/>
          <c:order val="2"/>
          <c:tx>
            <c:strRef>
              <c:f>Query_Basedata!$AG$3</c:f>
              <c:strCache>
                <c:ptCount val="1"/>
                <c:pt idx="0">
                  <c:v>Sum of NCR_Total2</c:v>
                </c:pt>
              </c:strCache>
            </c:strRef>
          </c:tx>
          <c:spPr>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Query_Basedata!$AD$4</c:f>
              <c:strCache>
                <c:ptCount val="1"/>
                <c:pt idx="0">
                  <c:v>Grand Total</c:v>
                </c:pt>
              </c:strCache>
            </c:strRef>
          </c:cat>
          <c:val>
            <c:numRef>
              <c:f>Query_Basedata!$AG$4</c:f>
              <c:numCache>
                <c:formatCode>0.00%</c:formatCode>
                <c:ptCount val="1"/>
              </c:numCache>
            </c:numRef>
          </c:val>
          <c:smooth val="1"/>
          <c:extLst>
            <c:ext xmlns:c16="http://schemas.microsoft.com/office/drawing/2014/chart" uri="{C3380CC4-5D6E-409C-BE32-E72D297353CC}">
              <c16:uniqueId val="{00000002-7CEB-4204-9547-C9DECC6F5486}"/>
            </c:ext>
          </c:extLst>
        </c:ser>
        <c:ser>
          <c:idx val="3"/>
          <c:order val="3"/>
          <c:tx>
            <c:strRef>
              <c:f>Query_Basedata!$AH$3</c:f>
              <c:strCache>
                <c:ptCount val="1"/>
                <c:pt idx="0">
                  <c:v>Sum of NCR_Total</c:v>
                </c:pt>
              </c:strCache>
            </c:strRef>
          </c:tx>
          <c:spPr>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cat>
            <c:strRef>
              <c:f>Query_Basedata!$AD$4</c:f>
              <c:strCache>
                <c:ptCount val="1"/>
                <c:pt idx="0">
                  <c:v>Grand Total</c:v>
                </c:pt>
              </c:strCache>
            </c:strRef>
          </c:cat>
          <c:val>
            <c:numRef>
              <c:f>Query_Basedata!$AH$4</c:f>
              <c:numCache>
                <c:formatCode>General</c:formatCode>
                <c:ptCount val="1"/>
              </c:numCache>
            </c:numRef>
          </c:val>
          <c:smooth val="0"/>
          <c:extLst>
            <c:ext xmlns:c16="http://schemas.microsoft.com/office/drawing/2014/chart" uri="{C3380CC4-5D6E-409C-BE32-E72D297353CC}">
              <c16:uniqueId val="{00000003-7CEB-4204-9547-C9DECC6F5486}"/>
            </c:ext>
          </c:extLst>
        </c:ser>
        <c:dLbls>
          <c:showLegendKey val="0"/>
          <c:showVal val="0"/>
          <c:showCatName val="0"/>
          <c:showSerName val="0"/>
          <c:showPercent val="0"/>
          <c:showBubbleSize val="0"/>
        </c:dLbls>
        <c:marker val="1"/>
        <c:smooth val="0"/>
        <c:axId val="179826015"/>
        <c:axId val="179826975"/>
      </c:lineChart>
      <c:catAx>
        <c:axId val="94364878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400" b="1" i="0" u="none" strike="noStrike" kern="1200" baseline="0">
                <a:solidFill>
                  <a:schemeClr val="lt1">
                    <a:lumMod val="85000"/>
                  </a:schemeClr>
                </a:solidFill>
                <a:latin typeface="+mn-lt"/>
                <a:ea typeface="+mn-ea"/>
                <a:cs typeface="+mn-cs"/>
              </a:defRPr>
            </a:pPr>
            <a:endParaRPr lang="en-US"/>
          </a:p>
        </c:txPr>
        <c:crossAx val="943649743"/>
        <c:crosses val="autoZero"/>
        <c:auto val="1"/>
        <c:lblAlgn val="ctr"/>
        <c:lblOffset val="100"/>
        <c:noMultiLvlLbl val="0"/>
      </c:catAx>
      <c:valAx>
        <c:axId val="94364974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lt1">
                    <a:lumMod val="85000"/>
                  </a:schemeClr>
                </a:solidFill>
                <a:latin typeface="+mn-lt"/>
                <a:ea typeface="+mn-ea"/>
                <a:cs typeface="+mn-cs"/>
              </a:defRPr>
            </a:pPr>
            <a:endParaRPr lang="en-US"/>
          </a:p>
        </c:txPr>
        <c:crossAx val="943648783"/>
        <c:crosses val="autoZero"/>
        <c:crossBetween val="between"/>
      </c:valAx>
      <c:valAx>
        <c:axId val="179826975"/>
        <c:scaling>
          <c:orientation val="minMax"/>
          <c:max val="1"/>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lt1">
                    <a:lumMod val="85000"/>
                  </a:schemeClr>
                </a:solidFill>
                <a:latin typeface="+mn-lt"/>
                <a:ea typeface="+mn-ea"/>
                <a:cs typeface="+mn-cs"/>
              </a:defRPr>
            </a:pPr>
            <a:endParaRPr lang="en-US"/>
          </a:p>
        </c:txPr>
        <c:crossAx val="179826015"/>
        <c:crosses val="max"/>
        <c:crossBetween val="between"/>
      </c:valAx>
      <c:catAx>
        <c:axId val="179826015"/>
        <c:scaling>
          <c:orientation val="minMax"/>
        </c:scaling>
        <c:delete val="1"/>
        <c:axPos val="b"/>
        <c:numFmt formatCode="General" sourceLinked="1"/>
        <c:majorTickMark val="out"/>
        <c:minorTickMark val="none"/>
        <c:tickLblPos val="nextTo"/>
        <c:crossAx val="179826975"/>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4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NCR Status</a:t>
            </a:r>
          </a:p>
        </c:rich>
      </c:tx>
      <c:overlay val="0"/>
      <c:spPr>
        <a:noFill/>
        <a:ln>
          <a:noFill/>
        </a:ln>
        <a:effectLst/>
      </c:spPr>
    </c:title>
    <c:autoTitleDeleted val="0"/>
    <c:plotArea>
      <c:layout/>
      <c:doughnutChart>
        <c:varyColors val="1"/>
        <c:ser>
          <c:idx val="0"/>
          <c:order val="0"/>
          <c:dPt>
            <c:idx val="0"/>
            <c:bubble3D val="0"/>
            <c:spPr>
              <a:solidFill>
                <a:schemeClr val="accent2"/>
              </a:solidFill>
            </c:spPr>
            <c:extLst>
              <c:ext xmlns:c16="http://schemas.microsoft.com/office/drawing/2014/chart" uri="{C3380CC4-5D6E-409C-BE32-E72D297353CC}">
                <c16:uniqueId val="{00000001-23CA-450A-B296-E6568CB39757}"/>
              </c:ext>
            </c:extLst>
          </c:dPt>
          <c:dPt>
            <c:idx val="1"/>
            <c:bubble3D val="0"/>
            <c:spPr>
              <a:solidFill>
                <a:srgbClr val="92D050"/>
              </a:solidFill>
              <a:ln>
                <a:noFill/>
              </a:ln>
            </c:spPr>
            <c:extLst>
              <c:ext xmlns:c16="http://schemas.microsoft.com/office/drawing/2014/chart" uri="{C3380CC4-5D6E-409C-BE32-E72D297353CC}">
                <c16:uniqueId val="{00000003-23CA-450A-B296-E6568CB39757}"/>
              </c:ext>
            </c:extLst>
          </c:dPt>
          <c:dLbls>
            <c:dLbl>
              <c:idx val="0"/>
              <c:layout>
                <c:manualLayout>
                  <c:x val="0.29116981969915257"/>
                  <c:y val="-9.1652822541651455E-2"/>
                </c:manualLayout>
              </c:layout>
              <c:spPr>
                <a:noFill/>
                <a:ln>
                  <a:noFill/>
                </a:ln>
                <a:effectLst/>
              </c:spPr>
              <c:txPr>
                <a:bodyPr wrap="square" lIns="38100" tIns="19050" rIns="38100" bIns="19050" anchor="ctr">
                  <a:spAutoFit/>
                </a:bodyPr>
                <a:lstStyle/>
                <a:p>
                  <a:pPr>
                    <a:defRPr sz="1400" b="1">
                      <a:solidFill>
                        <a:schemeClr val="bg1"/>
                      </a:solidFill>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5142315927207437"/>
                      <c:h val="0.19895963385115889"/>
                    </c:manualLayout>
                  </c15:layout>
                </c:ext>
                <c:ext xmlns:c16="http://schemas.microsoft.com/office/drawing/2014/chart" uri="{C3380CC4-5D6E-409C-BE32-E72D297353CC}">
                  <c16:uniqueId val="{00000001-23CA-450A-B296-E6568CB39757}"/>
                </c:ext>
              </c:extLst>
            </c:dLbl>
            <c:dLbl>
              <c:idx val="1"/>
              <c:layout>
                <c:manualLayout>
                  <c:x val="-0.30649454705173967"/>
                  <c:y val="6.2323965515499409E-2"/>
                </c:manualLayout>
              </c:layout>
              <c:spPr>
                <a:noFill/>
                <a:ln>
                  <a:noFill/>
                </a:ln>
                <a:effectLst/>
              </c:spPr>
              <c:txPr>
                <a:bodyPr wrap="square" lIns="38100" tIns="19050" rIns="38100" bIns="19050" anchor="ctr">
                  <a:spAutoFit/>
                </a:bodyPr>
                <a:lstStyle/>
                <a:p>
                  <a:pPr>
                    <a:defRPr sz="1400" b="1">
                      <a:solidFill>
                        <a:schemeClr val="bg1"/>
                      </a:solidFill>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7188852637553412"/>
                      <c:h val="0.19895963385115889"/>
                    </c:manualLayout>
                  </c15:layout>
                </c:ext>
                <c:ext xmlns:c16="http://schemas.microsoft.com/office/drawing/2014/chart" uri="{C3380CC4-5D6E-409C-BE32-E72D297353CC}">
                  <c16:uniqueId val="{00000003-23CA-450A-B296-E6568CB39757}"/>
                </c:ext>
              </c:extLst>
            </c:dLbl>
            <c:spPr>
              <a:noFill/>
              <a:ln>
                <a:noFill/>
              </a:ln>
              <a:effectLst/>
            </c:spPr>
            <c:txPr>
              <a:bodyPr wrap="square" lIns="38100" tIns="19050" rIns="38100" bIns="19050" anchor="ctr">
                <a:spAutoFit/>
              </a:bodyPr>
              <a:lstStyle/>
              <a:p>
                <a:pPr>
                  <a:defRPr sz="1400">
                    <a:solidFill>
                      <a:schemeClr val="bg1"/>
                    </a:solidFill>
                  </a:defRPr>
                </a:pPr>
                <a:endParaRPr lang="en-US"/>
              </a:p>
            </c:txPr>
            <c:showLegendKey val="0"/>
            <c:showVal val="0"/>
            <c:showCatName val="1"/>
            <c:showSerName val="0"/>
            <c:showPercent val="1"/>
            <c:showBubbleSize val="0"/>
            <c:showLeaderLines val="1"/>
            <c:leaderLines>
              <c:spPr>
                <a:ln w="19050">
                  <a:solidFill>
                    <a:schemeClr val="bg1"/>
                  </a:solidFill>
                </a:ln>
              </c:spPr>
            </c:leaderLines>
            <c:extLst>
              <c:ext xmlns:c15="http://schemas.microsoft.com/office/drawing/2012/chart" uri="{CE6537A1-D6FC-4f65-9D91-7224C49458BB}"/>
            </c:extLst>
          </c:dLbls>
          <c:cat>
            <c:strRef>
              <c:extLst>
                <c:ext xmlns:c15="http://schemas.microsoft.com/office/drawing/2012/chart" uri="{02D57815-91ED-43cb-92C2-25804820EDAC}">
                  <c15:fullRef>
                    <c15:sqref>Query_Basedata!$AD$34:$AD$36</c15:sqref>
                  </c15:fullRef>
                </c:ext>
              </c:extLst>
              <c:f>Query_Basedata!$AD$35:$AD$36</c:f>
              <c:strCache>
                <c:ptCount val="2"/>
                <c:pt idx="0">
                  <c:v>NCR_Opening</c:v>
                </c:pt>
                <c:pt idx="1">
                  <c:v>NCR_Closed</c:v>
                </c:pt>
              </c:strCache>
            </c:strRef>
          </c:cat>
          <c:val>
            <c:numRef>
              <c:extLst>
                <c:ext xmlns:c15="http://schemas.microsoft.com/office/drawing/2012/chart" uri="{02D57815-91ED-43cb-92C2-25804820EDAC}">
                  <c15:fullRef>
                    <c15:sqref>Query_Basedata!$AE$34:$AE$36</c15:sqref>
                  </c15:fullRef>
                </c:ext>
              </c:extLst>
              <c:f>Query_Basedata!$AE$35:$AE$36</c:f>
              <c:numCache>
                <c:formatCode>General</c:formatCode>
                <c:ptCount val="2"/>
                <c:pt idx="0">
                  <c:v>0</c:v>
                </c:pt>
                <c:pt idx="1">
                  <c:v>0</c:v>
                </c:pt>
              </c:numCache>
            </c:numRef>
          </c:val>
          <c:extLst>
            <c:ext xmlns:c16="http://schemas.microsoft.com/office/drawing/2014/chart" uri="{C3380CC4-5D6E-409C-BE32-E72D297353CC}">
              <c16:uniqueId val="{00000004-23CA-450A-B296-E6568CB39757}"/>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4"/>
          <c:order val="0"/>
          <c:tx>
            <c:v>Today</c:v>
          </c:tx>
          <c:spPr>
            <a:solidFill>
              <a:srgbClr val="FF0000"/>
            </a:solidFill>
            <a:ln w="3175">
              <a:solidFill>
                <a:srgbClr val="FF0000"/>
              </a:solidFill>
            </a:ln>
            <a:effectLst>
              <a:outerShdw blurRad="57150" dist="19050" dir="5400000" algn="ctr" rotWithShape="0">
                <a:srgbClr val="000000">
                  <a:alpha val="63000"/>
                </a:srgbClr>
              </a:outerShdw>
            </a:effectLst>
          </c:spPr>
          <c:invertIfNegative val="0"/>
          <c:val>
            <c:numRef>
              <c:f>KCT_Pivot!$M$4:$M$33</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546</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0-ED89-4480-911D-44D50C1F97C4}"/>
            </c:ext>
          </c:extLst>
        </c:ser>
        <c:dLbls>
          <c:showLegendKey val="0"/>
          <c:showVal val="0"/>
          <c:showCatName val="0"/>
          <c:showSerName val="0"/>
          <c:showPercent val="0"/>
          <c:showBubbleSize val="0"/>
        </c:dLbls>
        <c:gapWidth val="500"/>
        <c:axId val="1495972351"/>
        <c:axId val="1495971871"/>
      </c:barChart>
      <c:barChart>
        <c:barDir val="col"/>
        <c:grouping val="clustered"/>
        <c:varyColors val="0"/>
        <c:ser>
          <c:idx val="3"/>
          <c:order val="4"/>
          <c:tx>
            <c:strRef>
              <c:f>KCT_Pivot!$K$3</c:f>
              <c:strCache>
                <c:ptCount val="1"/>
                <c:pt idx="0">
                  <c:v>Windows</c:v>
                </c:pt>
              </c:strCache>
            </c:strRef>
          </c:tx>
          <c:spPr>
            <a:solidFill>
              <a:srgbClr val="FFD9D9">
                <a:alpha val="50000"/>
              </a:srgbClr>
            </a:solidFill>
            <a:ln>
              <a:noFill/>
            </a:ln>
            <a:effectLst>
              <a:outerShdw blurRad="57150" dist="19050" dir="5400000" algn="ctr" rotWithShape="0">
                <a:srgbClr val="000000">
                  <a:alpha val="63000"/>
                </a:srgbClr>
              </a:outerShdw>
            </a:effectLst>
          </c:spPr>
          <c:invertIfNegative val="0"/>
          <c:cat>
            <c:strRef>
              <c:f>KCT_Pivot!$G$4:$G$34</c:f>
              <c:strCache>
                <c:ptCount val="29"/>
                <c:pt idx="0">
                  <c:v>Mar 2024</c:v>
                </c:pt>
                <c:pt idx="1">
                  <c:v>Apr 2024</c:v>
                </c:pt>
                <c:pt idx="2">
                  <c:v>May 2024</c:v>
                </c:pt>
                <c:pt idx="3">
                  <c:v>Jun 2024</c:v>
                </c:pt>
                <c:pt idx="4">
                  <c:v>Jul 2024</c:v>
                </c:pt>
                <c:pt idx="5">
                  <c:v>Aug 2024</c:v>
                </c:pt>
                <c:pt idx="6">
                  <c:v>Sep 2024</c:v>
                </c:pt>
                <c:pt idx="7">
                  <c:v>Oct 2024</c:v>
                </c:pt>
                <c:pt idx="8">
                  <c:v>Nov 2024</c:v>
                </c:pt>
                <c:pt idx="9">
                  <c:v>Jan 2025</c:v>
                </c:pt>
                <c:pt idx="10">
                  <c:v>Feb 2025</c:v>
                </c:pt>
                <c:pt idx="11">
                  <c:v>Mar 2025</c:v>
                </c:pt>
                <c:pt idx="12">
                  <c:v>Apr 2025</c:v>
                </c:pt>
                <c:pt idx="13">
                  <c:v>May 2025</c:v>
                </c:pt>
                <c:pt idx="14">
                  <c:v>Jun 2025</c:v>
                </c:pt>
                <c:pt idx="15">
                  <c:v>Jul 2025</c:v>
                </c:pt>
                <c:pt idx="16">
                  <c:v>Aug 2025</c:v>
                </c:pt>
                <c:pt idx="17">
                  <c:v>May 2025</c:v>
                </c:pt>
                <c:pt idx="18">
                  <c:v>Oct 2025</c:v>
                </c:pt>
                <c:pt idx="19">
                  <c:v>Nov 2025</c:v>
                </c:pt>
                <c:pt idx="20">
                  <c:v>Dec 2025</c:v>
                </c:pt>
                <c:pt idx="21">
                  <c:v>Jan 2026</c:v>
                </c:pt>
                <c:pt idx="22">
                  <c:v>Feb 2026</c:v>
                </c:pt>
                <c:pt idx="23">
                  <c:v>Mar 2026</c:v>
                </c:pt>
                <c:pt idx="24">
                  <c:v>Apr 2026</c:v>
                </c:pt>
                <c:pt idx="25">
                  <c:v>May 2026</c:v>
                </c:pt>
                <c:pt idx="26">
                  <c:v>Jun 2026</c:v>
                </c:pt>
                <c:pt idx="27">
                  <c:v>Jul 2026</c:v>
                </c:pt>
                <c:pt idx="28">
                  <c:v>Aug 2026</c:v>
                </c:pt>
              </c:strCache>
            </c:strRef>
          </c:cat>
          <c:val>
            <c:numRef>
              <c:f>KCT_Pivot!$K$4:$K$34</c:f>
              <c:numCache>
                <c:formatCode>General</c:formatCode>
                <c:ptCount val="31"/>
                <c:pt idx="0">
                  <c:v>#N/A</c:v>
                </c:pt>
                <c:pt idx="1">
                  <c:v>#N/A</c:v>
                </c:pt>
                <c:pt idx="2">
                  <c:v>#N/A</c:v>
                </c:pt>
                <c:pt idx="3">
                  <c:v>#N/A</c:v>
                </c:pt>
                <c:pt idx="4">
                  <c:v>#N/A</c:v>
                </c:pt>
                <c:pt idx="5">
                  <c:v>#N/A</c:v>
                </c:pt>
                <c:pt idx="6">
                  <c:v>#N/A</c:v>
                </c:pt>
                <c:pt idx="7">
                  <c:v>80</c:v>
                </c:pt>
                <c:pt idx="8">
                  <c:v>80</c:v>
                </c:pt>
                <c:pt idx="9">
                  <c:v>80</c:v>
                </c:pt>
                <c:pt idx="10">
                  <c:v>#N/A</c:v>
                </c:pt>
                <c:pt idx="11">
                  <c:v>#N/A</c:v>
                </c:pt>
                <c:pt idx="12">
                  <c:v>#N/A</c:v>
                </c:pt>
                <c:pt idx="13">
                  <c:v>#N/A</c:v>
                </c:pt>
                <c:pt idx="14">
                  <c:v>#N/A</c:v>
                </c:pt>
                <c:pt idx="15">
                  <c:v>#N/A</c:v>
                </c:pt>
                <c:pt idx="16">
                  <c:v>#N/A</c:v>
                </c:pt>
                <c:pt idx="17">
                  <c:v>#N/A</c:v>
                </c:pt>
                <c:pt idx="18">
                  <c:v>80</c:v>
                </c:pt>
                <c:pt idx="19">
                  <c:v>80</c:v>
                </c:pt>
                <c:pt idx="20">
                  <c:v>80</c:v>
                </c:pt>
                <c:pt idx="21">
                  <c:v>#N/A</c:v>
                </c:pt>
                <c:pt idx="22">
                  <c:v>#N/A</c:v>
                </c:pt>
                <c:pt idx="23">
                  <c:v>#N/A</c:v>
                </c:pt>
                <c:pt idx="24">
                  <c:v>#N/A</c:v>
                </c:pt>
                <c:pt idx="25">
                  <c:v>#N/A</c:v>
                </c:pt>
                <c:pt idx="26">
                  <c:v>#N/A</c:v>
                </c:pt>
                <c:pt idx="27">
                  <c:v>#N/A</c:v>
                </c:pt>
                <c:pt idx="28">
                  <c:v>#N/A</c:v>
                </c:pt>
              </c:numCache>
            </c:numRef>
          </c:val>
          <c:extLst>
            <c:ext xmlns:c16="http://schemas.microsoft.com/office/drawing/2014/chart" uri="{C3380CC4-5D6E-409C-BE32-E72D297353CC}">
              <c16:uniqueId val="{00000001-ED89-4480-911D-44D50C1F97C4}"/>
            </c:ext>
          </c:extLst>
        </c:ser>
        <c:dLbls>
          <c:showLegendKey val="0"/>
          <c:showVal val="0"/>
          <c:showCatName val="0"/>
          <c:showSerName val="0"/>
          <c:showPercent val="0"/>
          <c:showBubbleSize val="0"/>
        </c:dLbls>
        <c:gapWidth val="0"/>
        <c:axId val="965822144"/>
        <c:axId val="965818304"/>
      </c:barChart>
      <c:lineChart>
        <c:grouping val="standard"/>
        <c:varyColors val="0"/>
        <c:ser>
          <c:idx val="1"/>
          <c:order val="1"/>
          <c:tx>
            <c:strRef>
              <c:f>KCT_Pivot!$H$3</c:f>
              <c:strCache>
                <c:ptCount val="1"/>
                <c:pt idx="0">
                  <c:v>Accu_Forecast</c:v>
                </c:pt>
              </c:strCache>
            </c:strRef>
          </c:tx>
          <c:spPr>
            <a:ln w="34925" cap="rnd">
              <a:solidFill>
                <a:schemeClr val="bg1">
                  <a:lumMod val="65000"/>
                </a:schemeClr>
              </a:solidFill>
              <a:prstDash val="sysDot"/>
              <a:round/>
            </a:ln>
            <a:effectLst>
              <a:outerShdw blurRad="57150" dist="19050" dir="5400000" algn="ctr" rotWithShape="0">
                <a:srgbClr val="000000">
                  <a:alpha val="63000"/>
                </a:srgbClr>
              </a:outerShdw>
            </a:effectLst>
          </c:spPr>
          <c:marker>
            <c:symbol val="circle"/>
            <c:size val="6"/>
            <c:spPr>
              <a:solidFill>
                <a:schemeClr val="bg1">
                  <a:lumMod val="65000"/>
                </a:schemeClr>
              </a:solidFill>
              <a:ln w="9525">
                <a:solidFill>
                  <a:schemeClr val="bg1">
                    <a:lumMod val="65000"/>
                  </a:schemeClr>
                </a:solidFill>
                <a:prstDash val="sysDot"/>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KCT_Pivot!$G$4:$G$34</c:f>
              <c:strCache>
                <c:ptCount val="29"/>
                <c:pt idx="0">
                  <c:v>Mar 2024</c:v>
                </c:pt>
                <c:pt idx="1">
                  <c:v>Apr 2024</c:v>
                </c:pt>
                <c:pt idx="2">
                  <c:v>May 2024</c:v>
                </c:pt>
                <c:pt idx="3">
                  <c:v>Jun 2024</c:v>
                </c:pt>
                <c:pt idx="4">
                  <c:v>Jul 2024</c:v>
                </c:pt>
                <c:pt idx="5">
                  <c:v>Aug 2024</c:v>
                </c:pt>
                <c:pt idx="6">
                  <c:v>Sep 2024</c:v>
                </c:pt>
                <c:pt idx="7">
                  <c:v>Oct 2024</c:v>
                </c:pt>
                <c:pt idx="8">
                  <c:v>Nov 2024</c:v>
                </c:pt>
                <c:pt idx="9">
                  <c:v>Jan 2025</c:v>
                </c:pt>
                <c:pt idx="10">
                  <c:v>Feb 2025</c:v>
                </c:pt>
                <c:pt idx="11">
                  <c:v>Mar 2025</c:v>
                </c:pt>
                <c:pt idx="12">
                  <c:v>Apr 2025</c:v>
                </c:pt>
                <c:pt idx="13">
                  <c:v>May 2025</c:v>
                </c:pt>
                <c:pt idx="14">
                  <c:v>Jun 2025</c:v>
                </c:pt>
                <c:pt idx="15">
                  <c:v>Jul 2025</c:v>
                </c:pt>
                <c:pt idx="16">
                  <c:v>Aug 2025</c:v>
                </c:pt>
                <c:pt idx="17">
                  <c:v>May 2025</c:v>
                </c:pt>
                <c:pt idx="18">
                  <c:v>Oct 2025</c:v>
                </c:pt>
                <c:pt idx="19">
                  <c:v>Nov 2025</c:v>
                </c:pt>
                <c:pt idx="20">
                  <c:v>Dec 2025</c:v>
                </c:pt>
                <c:pt idx="21">
                  <c:v>Jan 2026</c:v>
                </c:pt>
                <c:pt idx="22">
                  <c:v>Feb 2026</c:v>
                </c:pt>
                <c:pt idx="23">
                  <c:v>Mar 2026</c:v>
                </c:pt>
                <c:pt idx="24">
                  <c:v>Apr 2026</c:v>
                </c:pt>
                <c:pt idx="25">
                  <c:v>May 2026</c:v>
                </c:pt>
                <c:pt idx="26">
                  <c:v>Jun 2026</c:v>
                </c:pt>
                <c:pt idx="27">
                  <c:v>Jul 2026</c:v>
                </c:pt>
                <c:pt idx="28">
                  <c:v>Aug 2026</c:v>
                </c:pt>
              </c:strCache>
            </c:strRef>
          </c:cat>
          <c:val>
            <c:numRef>
              <c:f>KCT_Pivot!$H$4:$H$34</c:f>
              <c:numCache>
                <c:formatCode>General</c:formatCode>
                <c:ptCount val="31"/>
                <c:pt idx="0">
                  <c:v>3</c:v>
                </c:pt>
                <c:pt idx="1">
                  <c:v>10</c:v>
                </c:pt>
                <c:pt idx="2">
                  <c:v>25</c:v>
                </c:pt>
                <c:pt idx="3">
                  <c:v>39</c:v>
                </c:pt>
                <c:pt idx="4">
                  <c:v>40</c:v>
                </c:pt>
                <c:pt idx="5">
                  <c:v>45</c:v>
                </c:pt>
                <c:pt idx="6">
                  <c:v>68</c:v>
                </c:pt>
                <c:pt idx="7">
                  <c:v>74</c:v>
                </c:pt>
                <c:pt idx="8">
                  <c:v>78</c:v>
                </c:pt>
                <c:pt idx="9">
                  <c:v>#N/A</c:v>
                </c:pt>
                <c:pt idx="10">
                  <c:v>79</c:v>
                </c:pt>
                <c:pt idx="11">
                  <c:v>89</c:v>
                </c:pt>
                <c:pt idx="12">
                  <c:v>115</c:v>
                </c:pt>
                <c:pt idx="13">
                  <c:v>159</c:v>
                </c:pt>
                <c:pt idx="14">
                  <c:v>213</c:v>
                </c:pt>
                <c:pt idx="15">
                  <c:v>263</c:v>
                </c:pt>
                <c:pt idx="16">
                  <c:v>303</c:v>
                </c:pt>
                <c:pt idx="17">
                  <c:v>336</c:v>
                </c:pt>
                <c:pt idx="18">
                  <c:v>357</c:v>
                </c:pt>
                <c:pt idx="19">
                  <c:v>359</c:v>
                </c:pt>
                <c:pt idx="20">
                  <c:v>380</c:v>
                </c:pt>
                <c:pt idx="21">
                  <c:v>387</c:v>
                </c:pt>
                <c:pt idx="22">
                  <c:v>400</c:v>
                </c:pt>
                <c:pt idx="23">
                  <c:v>432</c:v>
                </c:pt>
                <c:pt idx="24">
                  <c:v>470</c:v>
                </c:pt>
                <c:pt idx="25">
                  <c:v>496</c:v>
                </c:pt>
                <c:pt idx="26">
                  <c:v>525</c:v>
                </c:pt>
                <c:pt idx="27">
                  <c:v>544</c:v>
                </c:pt>
                <c:pt idx="28">
                  <c:v>546</c:v>
                </c:pt>
              </c:numCache>
            </c:numRef>
          </c:val>
          <c:smooth val="0"/>
          <c:extLst>
            <c:ext xmlns:c16="http://schemas.microsoft.com/office/drawing/2014/chart" uri="{C3380CC4-5D6E-409C-BE32-E72D297353CC}">
              <c16:uniqueId val="{00000002-ED89-4480-911D-44D50C1F97C4}"/>
            </c:ext>
          </c:extLst>
        </c:ser>
        <c:ser>
          <c:idx val="2"/>
          <c:order val="2"/>
          <c:tx>
            <c:strRef>
              <c:f>KCT_Pivot!$I$3</c:f>
              <c:strCache>
                <c:ptCount val="1"/>
                <c:pt idx="0">
                  <c:v>Accu_Complete</c:v>
                </c:pt>
              </c:strCache>
            </c:strRef>
          </c:tx>
          <c:spPr>
            <a:ln w="34925" cap="rnd">
              <a:solidFill>
                <a:srgbClr val="009900"/>
              </a:solidFill>
              <a:round/>
            </a:ln>
            <a:effectLst>
              <a:outerShdw blurRad="57150" dist="19050" dir="5400000" algn="ctr" rotWithShape="0">
                <a:srgbClr val="000000">
                  <a:alpha val="63000"/>
                </a:srgbClr>
              </a:outerShdw>
            </a:effectLst>
          </c:spPr>
          <c:marker>
            <c:symbol val="circle"/>
            <c:size val="6"/>
            <c:spPr>
              <a:solidFill>
                <a:srgbClr val="009900"/>
              </a:solidFill>
              <a:ln w="9525">
                <a:solidFill>
                  <a:srgbClr val="009900"/>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KCT_Pivot!$G$4:$G$34</c:f>
              <c:strCache>
                <c:ptCount val="29"/>
                <c:pt idx="0">
                  <c:v>Mar 2024</c:v>
                </c:pt>
                <c:pt idx="1">
                  <c:v>Apr 2024</c:v>
                </c:pt>
                <c:pt idx="2">
                  <c:v>May 2024</c:v>
                </c:pt>
                <c:pt idx="3">
                  <c:v>Jun 2024</c:v>
                </c:pt>
                <c:pt idx="4">
                  <c:v>Jul 2024</c:v>
                </c:pt>
                <c:pt idx="5">
                  <c:v>Aug 2024</c:v>
                </c:pt>
                <c:pt idx="6">
                  <c:v>Sep 2024</c:v>
                </c:pt>
                <c:pt idx="7">
                  <c:v>Oct 2024</c:v>
                </c:pt>
                <c:pt idx="8">
                  <c:v>Nov 2024</c:v>
                </c:pt>
                <c:pt idx="9">
                  <c:v>Jan 2025</c:v>
                </c:pt>
                <c:pt idx="10">
                  <c:v>Feb 2025</c:v>
                </c:pt>
                <c:pt idx="11">
                  <c:v>Mar 2025</c:v>
                </c:pt>
                <c:pt idx="12">
                  <c:v>Apr 2025</c:v>
                </c:pt>
                <c:pt idx="13">
                  <c:v>May 2025</c:v>
                </c:pt>
                <c:pt idx="14">
                  <c:v>Jun 2025</c:v>
                </c:pt>
                <c:pt idx="15">
                  <c:v>Jul 2025</c:v>
                </c:pt>
                <c:pt idx="16">
                  <c:v>Aug 2025</c:v>
                </c:pt>
                <c:pt idx="17">
                  <c:v>May 2025</c:v>
                </c:pt>
                <c:pt idx="18">
                  <c:v>Oct 2025</c:v>
                </c:pt>
                <c:pt idx="19">
                  <c:v>Nov 2025</c:v>
                </c:pt>
                <c:pt idx="20">
                  <c:v>Dec 2025</c:v>
                </c:pt>
                <c:pt idx="21">
                  <c:v>Jan 2026</c:v>
                </c:pt>
                <c:pt idx="22">
                  <c:v>Feb 2026</c:v>
                </c:pt>
                <c:pt idx="23">
                  <c:v>Mar 2026</c:v>
                </c:pt>
                <c:pt idx="24">
                  <c:v>Apr 2026</c:v>
                </c:pt>
                <c:pt idx="25">
                  <c:v>May 2026</c:v>
                </c:pt>
                <c:pt idx="26">
                  <c:v>Jun 2026</c:v>
                </c:pt>
                <c:pt idx="27">
                  <c:v>Jul 2026</c:v>
                </c:pt>
                <c:pt idx="28">
                  <c:v>Aug 2026</c:v>
                </c:pt>
              </c:strCache>
            </c:strRef>
          </c:cat>
          <c:val>
            <c:numRef>
              <c:f>KCT_Pivot!$I$4:$I$34</c:f>
              <c:numCache>
                <c:formatCode>General</c:formatCode>
                <c:ptCount val="31"/>
                <c:pt idx="0">
                  <c:v>3</c:v>
                </c:pt>
                <c:pt idx="1">
                  <c:v>10</c:v>
                </c:pt>
                <c:pt idx="2">
                  <c:v>25</c:v>
                </c:pt>
                <c:pt idx="3">
                  <c:v>39</c:v>
                </c:pt>
                <c:pt idx="4">
                  <c:v>40</c:v>
                </c:pt>
                <c:pt idx="5">
                  <c:v>45</c:v>
                </c:pt>
                <c:pt idx="6">
                  <c:v>68</c:v>
                </c:pt>
                <c:pt idx="7">
                  <c:v>74</c:v>
                </c:pt>
                <c:pt idx="8">
                  <c:v>78</c:v>
                </c:pt>
                <c:pt idx="9">
                  <c:v>#N/A</c:v>
                </c:pt>
                <c:pt idx="10">
                  <c:v>79</c:v>
                </c:pt>
                <c:pt idx="11">
                  <c:v>89</c:v>
                </c:pt>
                <c:pt idx="12">
                  <c:v>115</c:v>
                </c:pt>
                <c:pt idx="13">
                  <c:v>159</c:v>
                </c:pt>
                <c:pt idx="14">
                  <c:v>213</c:v>
                </c:pt>
                <c:pt idx="15">
                  <c:v>263</c:v>
                </c:pt>
                <c:pt idx="16">
                  <c:v>303</c:v>
                </c:pt>
                <c:pt idx="17">
                  <c:v>336</c:v>
                </c:pt>
                <c:pt idx="18">
                  <c:v>357</c:v>
                </c:pt>
                <c:pt idx="19">
                  <c:v>#N/A</c:v>
                </c:pt>
                <c:pt idx="20">
                  <c:v>#N/A</c:v>
                </c:pt>
                <c:pt idx="21">
                  <c:v>#N/A</c:v>
                </c:pt>
                <c:pt idx="22">
                  <c:v>#N/A</c:v>
                </c:pt>
                <c:pt idx="23">
                  <c:v>#N/A</c:v>
                </c:pt>
                <c:pt idx="24">
                  <c:v>#N/A</c:v>
                </c:pt>
                <c:pt idx="25">
                  <c:v>#N/A</c:v>
                </c:pt>
                <c:pt idx="26">
                  <c:v>#N/A</c:v>
                </c:pt>
                <c:pt idx="27">
                  <c:v>#N/A</c:v>
                </c:pt>
                <c:pt idx="28">
                  <c:v>#N/A</c:v>
                </c:pt>
              </c:numCache>
            </c:numRef>
          </c:val>
          <c:smooth val="0"/>
          <c:extLst>
            <c:ext xmlns:c16="http://schemas.microsoft.com/office/drawing/2014/chart" uri="{C3380CC4-5D6E-409C-BE32-E72D297353CC}">
              <c16:uniqueId val="{00000003-ED89-4480-911D-44D50C1F97C4}"/>
            </c:ext>
          </c:extLst>
        </c:ser>
        <c:ser>
          <c:idx val="0"/>
          <c:order val="3"/>
          <c:tx>
            <c:strRef>
              <c:f>KCT_Pivot!$J$3</c:f>
              <c:strCache>
                <c:ptCount val="1"/>
                <c:pt idx="0">
                  <c:v>Accu_AsB</c:v>
                </c:pt>
              </c:strCache>
            </c:strRef>
          </c:tx>
          <c:spPr>
            <a:ln w="34925" cap="rnd">
              <a:solidFill>
                <a:srgbClr val="FFC000"/>
              </a:solidFill>
              <a:round/>
            </a:ln>
            <a:effectLst>
              <a:outerShdw blurRad="57150" dir="5400000" algn="ctr" rotWithShape="0">
                <a:srgbClr val="000000">
                  <a:alpha val="63000"/>
                </a:srgbClr>
              </a:outerShdw>
            </a:effectLst>
          </c:spPr>
          <c:marker>
            <c:symbol val="circle"/>
            <c:size val="6"/>
            <c:spPr>
              <a:solidFill>
                <a:srgbClr val="FFC000"/>
              </a:solidFill>
              <a:ln w="9525">
                <a:solidFill>
                  <a:srgbClr val="FFC000"/>
                </a:solidFill>
                <a:round/>
              </a:ln>
              <a:effectLst>
                <a:outerShdw blurRad="571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KCT_Pivot!$G$4:$G$34</c:f>
              <c:strCache>
                <c:ptCount val="29"/>
                <c:pt idx="0">
                  <c:v>Mar 2024</c:v>
                </c:pt>
                <c:pt idx="1">
                  <c:v>Apr 2024</c:v>
                </c:pt>
                <c:pt idx="2">
                  <c:v>May 2024</c:v>
                </c:pt>
                <c:pt idx="3">
                  <c:v>Jun 2024</c:v>
                </c:pt>
                <c:pt idx="4">
                  <c:v>Jul 2024</c:v>
                </c:pt>
                <c:pt idx="5">
                  <c:v>Aug 2024</c:v>
                </c:pt>
                <c:pt idx="6">
                  <c:v>Sep 2024</c:v>
                </c:pt>
                <c:pt idx="7">
                  <c:v>Oct 2024</c:v>
                </c:pt>
                <c:pt idx="8">
                  <c:v>Nov 2024</c:v>
                </c:pt>
                <c:pt idx="9">
                  <c:v>Jan 2025</c:v>
                </c:pt>
                <c:pt idx="10">
                  <c:v>Feb 2025</c:v>
                </c:pt>
                <c:pt idx="11">
                  <c:v>Mar 2025</c:v>
                </c:pt>
                <c:pt idx="12">
                  <c:v>Apr 2025</c:v>
                </c:pt>
                <c:pt idx="13">
                  <c:v>May 2025</c:v>
                </c:pt>
                <c:pt idx="14">
                  <c:v>Jun 2025</c:v>
                </c:pt>
                <c:pt idx="15">
                  <c:v>Jul 2025</c:v>
                </c:pt>
                <c:pt idx="16">
                  <c:v>Aug 2025</c:v>
                </c:pt>
                <c:pt idx="17">
                  <c:v>May 2025</c:v>
                </c:pt>
                <c:pt idx="18">
                  <c:v>Oct 2025</c:v>
                </c:pt>
                <c:pt idx="19">
                  <c:v>Nov 2025</c:v>
                </c:pt>
                <c:pt idx="20">
                  <c:v>Dec 2025</c:v>
                </c:pt>
                <c:pt idx="21">
                  <c:v>Jan 2026</c:v>
                </c:pt>
                <c:pt idx="22">
                  <c:v>Feb 2026</c:v>
                </c:pt>
                <c:pt idx="23">
                  <c:v>Mar 2026</c:v>
                </c:pt>
                <c:pt idx="24">
                  <c:v>Apr 2026</c:v>
                </c:pt>
                <c:pt idx="25">
                  <c:v>May 2026</c:v>
                </c:pt>
                <c:pt idx="26">
                  <c:v>Jun 2026</c:v>
                </c:pt>
                <c:pt idx="27">
                  <c:v>Jul 2026</c:v>
                </c:pt>
                <c:pt idx="28">
                  <c:v>Aug 2026</c:v>
                </c:pt>
              </c:strCache>
            </c:strRef>
          </c:cat>
          <c:val>
            <c:numRef>
              <c:f>KCT_Pivot!$J$4:$J$34</c:f>
              <c:numCache>
                <c:formatCode>General</c:formatCode>
                <c:ptCount val="31"/>
                <c:pt idx="0">
                  <c:v>3</c:v>
                </c:pt>
                <c:pt idx="1">
                  <c:v>10</c:v>
                </c:pt>
                <c:pt idx="2">
                  <c:v>25</c:v>
                </c:pt>
                <c:pt idx="3">
                  <c:v>39</c:v>
                </c:pt>
                <c:pt idx="4">
                  <c:v>40</c:v>
                </c:pt>
                <c:pt idx="5">
                  <c:v>45</c:v>
                </c:pt>
                <c:pt idx="6">
                  <c:v>68</c:v>
                </c:pt>
                <c:pt idx="7">
                  <c:v>74</c:v>
                </c:pt>
                <c:pt idx="8">
                  <c:v>78</c:v>
                </c:pt>
                <c:pt idx="9">
                  <c:v>#N/A</c:v>
                </c:pt>
                <c:pt idx="10">
                  <c:v>79</c:v>
                </c:pt>
                <c:pt idx="11">
                  <c:v>88</c:v>
                </c:pt>
                <c:pt idx="12">
                  <c:v>98</c:v>
                </c:pt>
                <c:pt idx="13">
                  <c:v>114</c:v>
                </c:pt>
                <c:pt idx="14">
                  <c:v>128</c:v>
                </c:pt>
                <c:pt idx="15">
                  <c:v>142</c:v>
                </c:pt>
                <c:pt idx="16">
                  <c:v>152</c:v>
                </c:pt>
                <c:pt idx="17">
                  <c:v>#N/A</c:v>
                </c:pt>
                <c:pt idx="18">
                  <c:v>#N/A</c:v>
                </c:pt>
                <c:pt idx="19">
                  <c:v>#N/A</c:v>
                </c:pt>
                <c:pt idx="20">
                  <c:v>#N/A</c:v>
                </c:pt>
                <c:pt idx="21">
                  <c:v>#N/A</c:v>
                </c:pt>
                <c:pt idx="22">
                  <c:v>#N/A</c:v>
                </c:pt>
                <c:pt idx="23">
                  <c:v>#N/A</c:v>
                </c:pt>
                <c:pt idx="24">
                  <c:v>#N/A</c:v>
                </c:pt>
                <c:pt idx="25">
                  <c:v>#N/A</c:v>
                </c:pt>
                <c:pt idx="26">
                  <c:v>#N/A</c:v>
                </c:pt>
                <c:pt idx="27">
                  <c:v>#N/A</c:v>
                </c:pt>
                <c:pt idx="28">
                  <c:v>#N/A</c:v>
                </c:pt>
              </c:numCache>
            </c:numRef>
          </c:val>
          <c:smooth val="0"/>
          <c:extLst>
            <c:ext xmlns:c16="http://schemas.microsoft.com/office/drawing/2014/chart" uri="{C3380CC4-5D6E-409C-BE32-E72D297353CC}">
              <c16:uniqueId val="{00000004-ED89-4480-911D-44D50C1F97C4}"/>
            </c:ext>
          </c:extLst>
        </c:ser>
        <c:dLbls>
          <c:showLegendKey val="0"/>
          <c:showVal val="0"/>
          <c:showCatName val="0"/>
          <c:showSerName val="0"/>
          <c:showPercent val="0"/>
          <c:showBubbleSize val="0"/>
        </c:dLbls>
        <c:marker val="1"/>
        <c:smooth val="0"/>
        <c:axId val="1495972351"/>
        <c:axId val="1495971871"/>
      </c:lineChart>
      <c:catAx>
        <c:axId val="1495972351"/>
        <c:scaling>
          <c:orientation val="minMax"/>
        </c:scaling>
        <c:delete val="0"/>
        <c:axPos val="b"/>
        <c:numFmt formatCode="General" sourceLinked="0"/>
        <c:majorTickMark val="none"/>
        <c:minorTickMark val="none"/>
        <c:tickLblPos val="nextTo"/>
        <c:spPr>
          <a:noFill/>
          <a:ln w="9525" cap="flat" cmpd="sng" algn="ctr">
            <a:solidFill>
              <a:schemeClr val="lt1">
                <a:lumMod val="95000"/>
                <a:alpha val="10000"/>
              </a:schemeClr>
            </a:solidFill>
            <a:round/>
          </a:ln>
          <a:effectLst/>
        </c:spPr>
        <c:txPr>
          <a:bodyPr rot="-27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95971871"/>
        <c:crosses val="autoZero"/>
        <c:auto val="0"/>
        <c:lblAlgn val="ctr"/>
        <c:lblOffset val="100"/>
        <c:noMultiLvlLbl val="0"/>
      </c:catAx>
      <c:valAx>
        <c:axId val="149597187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95972351"/>
        <c:crosses val="autoZero"/>
        <c:crossBetween val="between"/>
      </c:valAx>
      <c:valAx>
        <c:axId val="965818304"/>
        <c:scaling>
          <c:orientation val="minMax"/>
          <c:max val="8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65822144"/>
        <c:crosses val="max"/>
        <c:crossBetween val="between"/>
      </c:valAx>
      <c:catAx>
        <c:axId val="965822144"/>
        <c:scaling>
          <c:orientation val="minMax"/>
        </c:scaling>
        <c:delete val="1"/>
        <c:axPos val="b"/>
        <c:numFmt formatCode="General" sourceLinked="1"/>
        <c:majorTickMark val="out"/>
        <c:minorTickMark val="none"/>
        <c:tickLblPos val="nextTo"/>
        <c:crossAx val="965818304"/>
        <c:crosses val="autoZero"/>
        <c:auto val="1"/>
        <c:lblAlgn val="ctr"/>
        <c:lblOffset val="100"/>
        <c:noMultiLvlLbl val="0"/>
      </c:catAx>
      <c:spPr>
        <a:noFill/>
        <a:ln>
          <a:noFill/>
        </a:ln>
        <a:effectLst/>
      </c:spPr>
    </c:plotArea>
    <c:legend>
      <c:legendPos val="b"/>
      <c:legendEntry>
        <c:idx val="2"/>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0"/>
    <c:dispBlanksAs val="span"/>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4"/>
          <c:order val="0"/>
          <c:tx>
            <c:v>Today</c:v>
          </c:tx>
          <c:spPr>
            <a:solidFill>
              <a:srgbClr val="FF0000"/>
            </a:solidFill>
            <a:ln w="3175">
              <a:solidFill>
                <a:srgbClr val="FF0000"/>
              </a:solidFill>
            </a:ln>
            <a:effectLst>
              <a:outerShdw blurRad="57150" dist="19050" dir="5400000" algn="ctr" rotWithShape="0">
                <a:srgbClr val="000000">
                  <a:alpha val="63000"/>
                </a:srgbClr>
              </a:outerShdw>
            </a:effectLst>
          </c:spPr>
          <c:invertIfNegative val="0"/>
          <c:val>
            <c:numRef>
              <c:f>KCT_Pivot!$M$4:$M$33</c:f>
              <c:numCache>
                <c:formatCode>General</c:formatCode>
                <c:ptCount val="3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546</c:v>
                </c:pt>
                <c:pt idx="22">
                  <c:v>#N/A</c:v>
                </c:pt>
                <c:pt idx="23">
                  <c:v>#N/A</c:v>
                </c:pt>
                <c:pt idx="24">
                  <c:v>#N/A</c:v>
                </c:pt>
                <c:pt idx="25">
                  <c:v>#N/A</c:v>
                </c:pt>
                <c:pt idx="26">
                  <c:v>#N/A</c:v>
                </c:pt>
                <c:pt idx="27">
                  <c:v>#N/A</c:v>
                </c:pt>
                <c:pt idx="28">
                  <c:v>#N/A</c:v>
                </c:pt>
                <c:pt idx="29">
                  <c:v>#N/A</c:v>
                </c:pt>
              </c:numCache>
            </c:numRef>
          </c:val>
          <c:extLst>
            <c:ext xmlns:c16="http://schemas.microsoft.com/office/drawing/2014/chart" uri="{C3380CC4-5D6E-409C-BE32-E72D297353CC}">
              <c16:uniqueId val="{00000002-DEC0-499E-B8EC-8665B756C258}"/>
            </c:ext>
          </c:extLst>
        </c:ser>
        <c:dLbls>
          <c:showLegendKey val="0"/>
          <c:showVal val="0"/>
          <c:showCatName val="0"/>
          <c:showSerName val="0"/>
          <c:showPercent val="0"/>
          <c:showBubbleSize val="0"/>
        </c:dLbls>
        <c:gapWidth val="500"/>
        <c:axId val="1495972351"/>
        <c:axId val="1495971871"/>
      </c:barChart>
      <c:barChart>
        <c:barDir val="col"/>
        <c:grouping val="clustered"/>
        <c:varyColors val="0"/>
        <c:ser>
          <c:idx val="3"/>
          <c:order val="4"/>
          <c:tx>
            <c:strRef>
              <c:f>KCT_Pivot!$K$3</c:f>
              <c:strCache>
                <c:ptCount val="1"/>
                <c:pt idx="0">
                  <c:v>Windows</c:v>
                </c:pt>
              </c:strCache>
            </c:strRef>
          </c:tx>
          <c:spPr>
            <a:solidFill>
              <a:srgbClr val="FFD9D9">
                <a:alpha val="50000"/>
              </a:srgbClr>
            </a:solidFill>
            <a:ln>
              <a:noFill/>
            </a:ln>
            <a:effectLst>
              <a:outerShdw blurRad="57150" dist="19050" dir="5400000" algn="ctr" rotWithShape="0">
                <a:srgbClr val="000000">
                  <a:alpha val="63000"/>
                </a:srgbClr>
              </a:outerShdw>
            </a:effectLst>
          </c:spPr>
          <c:invertIfNegative val="0"/>
          <c:cat>
            <c:strRef>
              <c:f>KCT_Pivot!$G$4:$G$34</c:f>
              <c:strCache>
                <c:ptCount val="29"/>
                <c:pt idx="0">
                  <c:v>Mar 2024</c:v>
                </c:pt>
                <c:pt idx="1">
                  <c:v>Apr 2024</c:v>
                </c:pt>
                <c:pt idx="2">
                  <c:v>May 2024</c:v>
                </c:pt>
                <c:pt idx="3">
                  <c:v>Jun 2024</c:v>
                </c:pt>
                <c:pt idx="4">
                  <c:v>Jul 2024</c:v>
                </c:pt>
                <c:pt idx="5">
                  <c:v>Aug 2024</c:v>
                </c:pt>
                <c:pt idx="6">
                  <c:v>Sep 2024</c:v>
                </c:pt>
                <c:pt idx="7">
                  <c:v>Oct 2024</c:v>
                </c:pt>
                <c:pt idx="8">
                  <c:v>Nov 2024</c:v>
                </c:pt>
                <c:pt idx="9">
                  <c:v>Jan 2025</c:v>
                </c:pt>
                <c:pt idx="10">
                  <c:v>Feb 2025</c:v>
                </c:pt>
                <c:pt idx="11">
                  <c:v>Mar 2025</c:v>
                </c:pt>
                <c:pt idx="12">
                  <c:v>Apr 2025</c:v>
                </c:pt>
                <c:pt idx="13">
                  <c:v>May 2025</c:v>
                </c:pt>
                <c:pt idx="14">
                  <c:v>Jun 2025</c:v>
                </c:pt>
                <c:pt idx="15">
                  <c:v>Jul 2025</c:v>
                </c:pt>
                <c:pt idx="16">
                  <c:v>Aug 2025</c:v>
                </c:pt>
                <c:pt idx="17">
                  <c:v>May 2025</c:v>
                </c:pt>
                <c:pt idx="18">
                  <c:v>Oct 2025</c:v>
                </c:pt>
                <c:pt idx="19">
                  <c:v>Nov 2025</c:v>
                </c:pt>
                <c:pt idx="20">
                  <c:v>Dec 2025</c:v>
                </c:pt>
                <c:pt idx="21">
                  <c:v>Jan 2026</c:v>
                </c:pt>
                <c:pt idx="22">
                  <c:v>Feb 2026</c:v>
                </c:pt>
                <c:pt idx="23">
                  <c:v>Mar 2026</c:v>
                </c:pt>
                <c:pt idx="24">
                  <c:v>Apr 2026</c:v>
                </c:pt>
                <c:pt idx="25">
                  <c:v>May 2026</c:v>
                </c:pt>
                <c:pt idx="26">
                  <c:v>Jun 2026</c:v>
                </c:pt>
                <c:pt idx="27">
                  <c:v>Jul 2026</c:v>
                </c:pt>
                <c:pt idx="28">
                  <c:v>Aug 2026</c:v>
                </c:pt>
              </c:strCache>
            </c:strRef>
          </c:cat>
          <c:val>
            <c:numRef>
              <c:f>KCT_Pivot!$K$4:$K$34</c:f>
              <c:numCache>
                <c:formatCode>General</c:formatCode>
                <c:ptCount val="31"/>
                <c:pt idx="0">
                  <c:v>#N/A</c:v>
                </c:pt>
                <c:pt idx="1">
                  <c:v>#N/A</c:v>
                </c:pt>
                <c:pt idx="2">
                  <c:v>#N/A</c:v>
                </c:pt>
                <c:pt idx="3">
                  <c:v>#N/A</c:v>
                </c:pt>
                <c:pt idx="4">
                  <c:v>#N/A</c:v>
                </c:pt>
                <c:pt idx="5">
                  <c:v>#N/A</c:v>
                </c:pt>
                <c:pt idx="6">
                  <c:v>#N/A</c:v>
                </c:pt>
                <c:pt idx="7">
                  <c:v>80</c:v>
                </c:pt>
                <c:pt idx="8">
                  <c:v>80</c:v>
                </c:pt>
                <c:pt idx="9">
                  <c:v>80</c:v>
                </c:pt>
                <c:pt idx="10">
                  <c:v>#N/A</c:v>
                </c:pt>
                <c:pt idx="11">
                  <c:v>#N/A</c:v>
                </c:pt>
                <c:pt idx="12">
                  <c:v>#N/A</c:v>
                </c:pt>
                <c:pt idx="13">
                  <c:v>#N/A</c:v>
                </c:pt>
                <c:pt idx="14">
                  <c:v>#N/A</c:v>
                </c:pt>
                <c:pt idx="15">
                  <c:v>#N/A</c:v>
                </c:pt>
                <c:pt idx="16">
                  <c:v>#N/A</c:v>
                </c:pt>
                <c:pt idx="17">
                  <c:v>#N/A</c:v>
                </c:pt>
                <c:pt idx="18">
                  <c:v>80</c:v>
                </c:pt>
                <c:pt idx="19">
                  <c:v>80</c:v>
                </c:pt>
                <c:pt idx="20">
                  <c:v>80</c:v>
                </c:pt>
                <c:pt idx="21">
                  <c:v>#N/A</c:v>
                </c:pt>
                <c:pt idx="22">
                  <c:v>#N/A</c:v>
                </c:pt>
                <c:pt idx="23">
                  <c:v>#N/A</c:v>
                </c:pt>
                <c:pt idx="24">
                  <c:v>#N/A</c:v>
                </c:pt>
                <c:pt idx="25">
                  <c:v>#N/A</c:v>
                </c:pt>
                <c:pt idx="26">
                  <c:v>#N/A</c:v>
                </c:pt>
                <c:pt idx="27">
                  <c:v>#N/A</c:v>
                </c:pt>
                <c:pt idx="28">
                  <c:v>#N/A</c:v>
                </c:pt>
              </c:numCache>
            </c:numRef>
          </c:val>
          <c:extLst>
            <c:ext xmlns:c16="http://schemas.microsoft.com/office/drawing/2014/chart" uri="{C3380CC4-5D6E-409C-BE32-E72D297353CC}">
              <c16:uniqueId val="{00000008-4A0D-4B8F-B045-87529FE80A0B}"/>
            </c:ext>
          </c:extLst>
        </c:ser>
        <c:dLbls>
          <c:showLegendKey val="0"/>
          <c:showVal val="0"/>
          <c:showCatName val="0"/>
          <c:showSerName val="0"/>
          <c:showPercent val="0"/>
          <c:showBubbleSize val="0"/>
        </c:dLbls>
        <c:gapWidth val="0"/>
        <c:axId val="965822144"/>
        <c:axId val="965818304"/>
      </c:barChart>
      <c:lineChart>
        <c:grouping val="standard"/>
        <c:varyColors val="0"/>
        <c:ser>
          <c:idx val="1"/>
          <c:order val="1"/>
          <c:tx>
            <c:strRef>
              <c:f>KCT_Pivot!$H$3</c:f>
              <c:strCache>
                <c:ptCount val="1"/>
                <c:pt idx="0">
                  <c:v>Accu_Forecast</c:v>
                </c:pt>
              </c:strCache>
            </c:strRef>
          </c:tx>
          <c:spPr>
            <a:ln w="34925" cap="rnd">
              <a:solidFill>
                <a:schemeClr val="bg1">
                  <a:lumMod val="65000"/>
                </a:schemeClr>
              </a:solidFill>
              <a:prstDash val="sysDot"/>
              <a:round/>
            </a:ln>
            <a:effectLst>
              <a:outerShdw blurRad="57150" dist="19050" dir="5400000" algn="ctr" rotWithShape="0">
                <a:srgbClr val="000000">
                  <a:alpha val="63000"/>
                </a:srgbClr>
              </a:outerShdw>
            </a:effectLst>
          </c:spPr>
          <c:marker>
            <c:symbol val="circle"/>
            <c:size val="6"/>
            <c:spPr>
              <a:solidFill>
                <a:schemeClr val="bg1">
                  <a:lumMod val="65000"/>
                </a:schemeClr>
              </a:solidFill>
              <a:ln w="9525">
                <a:solidFill>
                  <a:schemeClr val="bg1">
                    <a:lumMod val="65000"/>
                  </a:schemeClr>
                </a:solidFill>
                <a:prstDash val="sysDot"/>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KCT_Pivot!$G$4:$G$34</c:f>
              <c:strCache>
                <c:ptCount val="29"/>
                <c:pt idx="0">
                  <c:v>Mar 2024</c:v>
                </c:pt>
                <c:pt idx="1">
                  <c:v>Apr 2024</c:v>
                </c:pt>
                <c:pt idx="2">
                  <c:v>May 2024</c:v>
                </c:pt>
                <c:pt idx="3">
                  <c:v>Jun 2024</c:v>
                </c:pt>
                <c:pt idx="4">
                  <c:v>Jul 2024</c:v>
                </c:pt>
                <c:pt idx="5">
                  <c:v>Aug 2024</c:v>
                </c:pt>
                <c:pt idx="6">
                  <c:v>Sep 2024</c:v>
                </c:pt>
                <c:pt idx="7">
                  <c:v>Oct 2024</c:v>
                </c:pt>
                <c:pt idx="8">
                  <c:v>Nov 2024</c:v>
                </c:pt>
                <c:pt idx="9">
                  <c:v>Jan 2025</c:v>
                </c:pt>
                <c:pt idx="10">
                  <c:v>Feb 2025</c:v>
                </c:pt>
                <c:pt idx="11">
                  <c:v>Mar 2025</c:v>
                </c:pt>
                <c:pt idx="12">
                  <c:v>Apr 2025</c:v>
                </c:pt>
                <c:pt idx="13">
                  <c:v>May 2025</c:v>
                </c:pt>
                <c:pt idx="14">
                  <c:v>Jun 2025</c:v>
                </c:pt>
                <c:pt idx="15">
                  <c:v>Jul 2025</c:v>
                </c:pt>
                <c:pt idx="16">
                  <c:v>Aug 2025</c:v>
                </c:pt>
                <c:pt idx="17">
                  <c:v>May 2025</c:v>
                </c:pt>
                <c:pt idx="18">
                  <c:v>Oct 2025</c:v>
                </c:pt>
                <c:pt idx="19">
                  <c:v>Nov 2025</c:v>
                </c:pt>
                <c:pt idx="20">
                  <c:v>Dec 2025</c:v>
                </c:pt>
                <c:pt idx="21">
                  <c:v>Jan 2026</c:v>
                </c:pt>
                <c:pt idx="22">
                  <c:v>Feb 2026</c:v>
                </c:pt>
                <c:pt idx="23">
                  <c:v>Mar 2026</c:v>
                </c:pt>
                <c:pt idx="24">
                  <c:v>Apr 2026</c:v>
                </c:pt>
                <c:pt idx="25">
                  <c:v>May 2026</c:v>
                </c:pt>
                <c:pt idx="26">
                  <c:v>Jun 2026</c:v>
                </c:pt>
                <c:pt idx="27">
                  <c:v>Jul 2026</c:v>
                </c:pt>
                <c:pt idx="28">
                  <c:v>Aug 2026</c:v>
                </c:pt>
              </c:strCache>
            </c:strRef>
          </c:cat>
          <c:val>
            <c:numRef>
              <c:f>KCT_Pivot!$H$4:$H$34</c:f>
              <c:numCache>
                <c:formatCode>General</c:formatCode>
                <c:ptCount val="31"/>
                <c:pt idx="0">
                  <c:v>3</c:v>
                </c:pt>
                <c:pt idx="1">
                  <c:v>10</c:v>
                </c:pt>
                <c:pt idx="2">
                  <c:v>25</c:v>
                </c:pt>
                <c:pt idx="3">
                  <c:v>39</c:v>
                </c:pt>
                <c:pt idx="4">
                  <c:v>40</c:v>
                </c:pt>
                <c:pt idx="5">
                  <c:v>45</c:v>
                </c:pt>
                <c:pt idx="6">
                  <c:v>68</c:v>
                </c:pt>
                <c:pt idx="7">
                  <c:v>74</c:v>
                </c:pt>
                <c:pt idx="8">
                  <c:v>78</c:v>
                </c:pt>
                <c:pt idx="9">
                  <c:v>#N/A</c:v>
                </c:pt>
                <c:pt idx="10">
                  <c:v>79</c:v>
                </c:pt>
                <c:pt idx="11">
                  <c:v>89</c:v>
                </c:pt>
                <c:pt idx="12">
                  <c:v>115</c:v>
                </c:pt>
                <c:pt idx="13">
                  <c:v>159</c:v>
                </c:pt>
                <c:pt idx="14">
                  <c:v>213</c:v>
                </c:pt>
                <c:pt idx="15">
                  <c:v>263</c:v>
                </c:pt>
                <c:pt idx="16">
                  <c:v>303</c:v>
                </c:pt>
                <c:pt idx="17">
                  <c:v>336</c:v>
                </c:pt>
                <c:pt idx="18">
                  <c:v>357</c:v>
                </c:pt>
                <c:pt idx="19">
                  <c:v>359</c:v>
                </c:pt>
                <c:pt idx="20">
                  <c:v>380</c:v>
                </c:pt>
                <c:pt idx="21">
                  <c:v>387</c:v>
                </c:pt>
                <c:pt idx="22">
                  <c:v>400</c:v>
                </c:pt>
                <c:pt idx="23">
                  <c:v>432</c:v>
                </c:pt>
                <c:pt idx="24">
                  <c:v>470</c:v>
                </c:pt>
                <c:pt idx="25">
                  <c:v>496</c:v>
                </c:pt>
                <c:pt idx="26">
                  <c:v>525</c:v>
                </c:pt>
                <c:pt idx="27">
                  <c:v>544</c:v>
                </c:pt>
                <c:pt idx="28">
                  <c:v>546</c:v>
                </c:pt>
              </c:numCache>
            </c:numRef>
          </c:val>
          <c:smooth val="0"/>
          <c:extLst>
            <c:ext xmlns:c16="http://schemas.microsoft.com/office/drawing/2014/chart" uri="{C3380CC4-5D6E-409C-BE32-E72D297353CC}">
              <c16:uniqueId val="{00000001-558F-4BF9-BEAA-7C20A1899E8F}"/>
            </c:ext>
          </c:extLst>
        </c:ser>
        <c:ser>
          <c:idx val="2"/>
          <c:order val="2"/>
          <c:tx>
            <c:strRef>
              <c:f>KCT_Pivot!$I$3</c:f>
              <c:strCache>
                <c:ptCount val="1"/>
                <c:pt idx="0">
                  <c:v>Accu_Complete</c:v>
                </c:pt>
              </c:strCache>
            </c:strRef>
          </c:tx>
          <c:spPr>
            <a:ln w="34925" cap="rnd">
              <a:solidFill>
                <a:srgbClr val="009900"/>
              </a:solidFill>
              <a:round/>
            </a:ln>
            <a:effectLst>
              <a:outerShdw blurRad="57150" dist="19050" dir="5400000" algn="ctr" rotWithShape="0">
                <a:srgbClr val="000000">
                  <a:alpha val="63000"/>
                </a:srgbClr>
              </a:outerShdw>
            </a:effectLst>
          </c:spPr>
          <c:marker>
            <c:symbol val="circle"/>
            <c:size val="6"/>
            <c:spPr>
              <a:solidFill>
                <a:srgbClr val="009900"/>
              </a:solidFill>
              <a:ln w="9525">
                <a:solidFill>
                  <a:srgbClr val="009900"/>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KCT_Pivot!$G$4:$G$34</c:f>
              <c:strCache>
                <c:ptCount val="29"/>
                <c:pt idx="0">
                  <c:v>Mar 2024</c:v>
                </c:pt>
                <c:pt idx="1">
                  <c:v>Apr 2024</c:v>
                </c:pt>
                <c:pt idx="2">
                  <c:v>May 2024</c:v>
                </c:pt>
                <c:pt idx="3">
                  <c:v>Jun 2024</c:v>
                </c:pt>
                <c:pt idx="4">
                  <c:v>Jul 2024</c:v>
                </c:pt>
                <c:pt idx="5">
                  <c:v>Aug 2024</c:v>
                </c:pt>
                <c:pt idx="6">
                  <c:v>Sep 2024</c:v>
                </c:pt>
                <c:pt idx="7">
                  <c:v>Oct 2024</c:v>
                </c:pt>
                <c:pt idx="8">
                  <c:v>Nov 2024</c:v>
                </c:pt>
                <c:pt idx="9">
                  <c:v>Jan 2025</c:v>
                </c:pt>
                <c:pt idx="10">
                  <c:v>Feb 2025</c:v>
                </c:pt>
                <c:pt idx="11">
                  <c:v>Mar 2025</c:v>
                </c:pt>
                <c:pt idx="12">
                  <c:v>Apr 2025</c:v>
                </c:pt>
                <c:pt idx="13">
                  <c:v>May 2025</c:v>
                </c:pt>
                <c:pt idx="14">
                  <c:v>Jun 2025</c:v>
                </c:pt>
                <c:pt idx="15">
                  <c:v>Jul 2025</c:v>
                </c:pt>
                <c:pt idx="16">
                  <c:v>Aug 2025</c:v>
                </c:pt>
                <c:pt idx="17">
                  <c:v>May 2025</c:v>
                </c:pt>
                <c:pt idx="18">
                  <c:v>Oct 2025</c:v>
                </c:pt>
                <c:pt idx="19">
                  <c:v>Nov 2025</c:v>
                </c:pt>
                <c:pt idx="20">
                  <c:v>Dec 2025</c:v>
                </c:pt>
                <c:pt idx="21">
                  <c:v>Jan 2026</c:v>
                </c:pt>
                <c:pt idx="22">
                  <c:v>Feb 2026</c:v>
                </c:pt>
                <c:pt idx="23">
                  <c:v>Mar 2026</c:v>
                </c:pt>
                <c:pt idx="24">
                  <c:v>Apr 2026</c:v>
                </c:pt>
                <c:pt idx="25">
                  <c:v>May 2026</c:v>
                </c:pt>
                <c:pt idx="26">
                  <c:v>Jun 2026</c:v>
                </c:pt>
                <c:pt idx="27">
                  <c:v>Jul 2026</c:v>
                </c:pt>
                <c:pt idx="28">
                  <c:v>Aug 2026</c:v>
                </c:pt>
              </c:strCache>
            </c:strRef>
          </c:cat>
          <c:val>
            <c:numRef>
              <c:f>KCT_Pivot!$I$4:$I$34</c:f>
              <c:numCache>
                <c:formatCode>General</c:formatCode>
                <c:ptCount val="31"/>
                <c:pt idx="0">
                  <c:v>3</c:v>
                </c:pt>
                <c:pt idx="1">
                  <c:v>10</c:v>
                </c:pt>
                <c:pt idx="2">
                  <c:v>25</c:v>
                </c:pt>
                <c:pt idx="3">
                  <c:v>39</c:v>
                </c:pt>
                <c:pt idx="4">
                  <c:v>40</c:v>
                </c:pt>
                <c:pt idx="5">
                  <c:v>45</c:v>
                </c:pt>
                <c:pt idx="6">
                  <c:v>68</c:v>
                </c:pt>
                <c:pt idx="7">
                  <c:v>74</c:v>
                </c:pt>
                <c:pt idx="8">
                  <c:v>78</c:v>
                </c:pt>
                <c:pt idx="9">
                  <c:v>#N/A</c:v>
                </c:pt>
                <c:pt idx="10">
                  <c:v>79</c:v>
                </c:pt>
                <c:pt idx="11">
                  <c:v>89</c:v>
                </c:pt>
                <c:pt idx="12">
                  <c:v>115</c:v>
                </c:pt>
                <c:pt idx="13">
                  <c:v>159</c:v>
                </c:pt>
                <c:pt idx="14">
                  <c:v>213</c:v>
                </c:pt>
                <c:pt idx="15">
                  <c:v>263</c:v>
                </c:pt>
                <c:pt idx="16">
                  <c:v>303</c:v>
                </c:pt>
                <c:pt idx="17">
                  <c:v>336</c:v>
                </c:pt>
                <c:pt idx="18">
                  <c:v>357</c:v>
                </c:pt>
                <c:pt idx="19">
                  <c:v>#N/A</c:v>
                </c:pt>
                <c:pt idx="20">
                  <c:v>#N/A</c:v>
                </c:pt>
                <c:pt idx="21">
                  <c:v>#N/A</c:v>
                </c:pt>
                <c:pt idx="22">
                  <c:v>#N/A</c:v>
                </c:pt>
                <c:pt idx="23">
                  <c:v>#N/A</c:v>
                </c:pt>
                <c:pt idx="24">
                  <c:v>#N/A</c:v>
                </c:pt>
                <c:pt idx="25">
                  <c:v>#N/A</c:v>
                </c:pt>
                <c:pt idx="26">
                  <c:v>#N/A</c:v>
                </c:pt>
                <c:pt idx="27">
                  <c:v>#N/A</c:v>
                </c:pt>
                <c:pt idx="28">
                  <c:v>#N/A</c:v>
                </c:pt>
              </c:numCache>
            </c:numRef>
          </c:val>
          <c:smooth val="0"/>
          <c:extLst>
            <c:ext xmlns:c16="http://schemas.microsoft.com/office/drawing/2014/chart" uri="{C3380CC4-5D6E-409C-BE32-E72D297353CC}">
              <c16:uniqueId val="{00000000-4A0D-4B8F-B045-87529FE80A0B}"/>
            </c:ext>
          </c:extLst>
        </c:ser>
        <c:ser>
          <c:idx val="0"/>
          <c:order val="3"/>
          <c:tx>
            <c:strRef>
              <c:f>KCT_Pivot!$J$3</c:f>
              <c:strCache>
                <c:ptCount val="1"/>
                <c:pt idx="0">
                  <c:v>Accu_AsB</c:v>
                </c:pt>
              </c:strCache>
            </c:strRef>
          </c:tx>
          <c:spPr>
            <a:ln w="34925" cap="rnd">
              <a:solidFill>
                <a:srgbClr val="FFC000"/>
              </a:solidFill>
              <a:round/>
            </a:ln>
            <a:effectLst>
              <a:outerShdw blurRad="57150" dir="5400000" algn="ctr" rotWithShape="0">
                <a:srgbClr val="000000">
                  <a:alpha val="63000"/>
                </a:srgbClr>
              </a:outerShdw>
            </a:effectLst>
          </c:spPr>
          <c:marker>
            <c:symbol val="circle"/>
            <c:size val="6"/>
            <c:spPr>
              <a:solidFill>
                <a:srgbClr val="FFC000"/>
              </a:solidFill>
              <a:ln w="9525">
                <a:solidFill>
                  <a:srgbClr val="FFC000"/>
                </a:solidFill>
                <a:round/>
              </a:ln>
              <a:effectLst>
                <a:outerShdw blurRad="571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KCT_Pivot!$G$4:$G$34</c:f>
              <c:strCache>
                <c:ptCount val="29"/>
                <c:pt idx="0">
                  <c:v>Mar 2024</c:v>
                </c:pt>
                <c:pt idx="1">
                  <c:v>Apr 2024</c:v>
                </c:pt>
                <c:pt idx="2">
                  <c:v>May 2024</c:v>
                </c:pt>
                <c:pt idx="3">
                  <c:v>Jun 2024</c:v>
                </c:pt>
                <c:pt idx="4">
                  <c:v>Jul 2024</c:v>
                </c:pt>
                <c:pt idx="5">
                  <c:v>Aug 2024</c:v>
                </c:pt>
                <c:pt idx="6">
                  <c:v>Sep 2024</c:v>
                </c:pt>
                <c:pt idx="7">
                  <c:v>Oct 2024</c:v>
                </c:pt>
                <c:pt idx="8">
                  <c:v>Nov 2024</c:v>
                </c:pt>
                <c:pt idx="9">
                  <c:v>Jan 2025</c:v>
                </c:pt>
                <c:pt idx="10">
                  <c:v>Feb 2025</c:v>
                </c:pt>
                <c:pt idx="11">
                  <c:v>Mar 2025</c:v>
                </c:pt>
                <c:pt idx="12">
                  <c:v>Apr 2025</c:v>
                </c:pt>
                <c:pt idx="13">
                  <c:v>May 2025</c:v>
                </c:pt>
                <c:pt idx="14">
                  <c:v>Jun 2025</c:v>
                </c:pt>
                <c:pt idx="15">
                  <c:v>Jul 2025</c:v>
                </c:pt>
                <c:pt idx="16">
                  <c:v>Aug 2025</c:v>
                </c:pt>
                <c:pt idx="17">
                  <c:v>May 2025</c:v>
                </c:pt>
                <c:pt idx="18">
                  <c:v>Oct 2025</c:v>
                </c:pt>
                <c:pt idx="19">
                  <c:v>Nov 2025</c:v>
                </c:pt>
                <c:pt idx="20">
                  <c:v>Dec 2025</c:v>
                </c:pt>
                <c:pt idx="21">
                  <c:v>Jan 2026</c:v>
                </c:pt>
                <c:pt idx="22">
                  <c:v>Feb 2026</c:v>
                </c:pt>
                <c:pt idx="23">
                  <c:v>Mar 2026</c:v>
                </c:pt>
                <c:pt idx="24">
                  <c:v>Apr 2026</c:v>
                </c:pt>
                <c:pt idx="25">
                  <c:v>May 2026</c:v>
                </c:pt>
                <c:pt idx="26">
                  <c:v>Jun 2026</c:v>
                </c:pt>
                <c:pt idx="27">
                  <c:v>Jul 2026</c:v>
                </c:pt>
                <c:pt idx="28">
                  <c:v>Aug 2026</c:v>
                </c:pt>
              </c:strCache>
            </c:strRef>
          </c:cat>
          <c:val>
            <c:numRef>
              <c:f>KCT_Pivot!$J$4:$J$34</c:f>
              <c:numCache>
                <c:formatCode>General</c:formatCode>
                <c:ptCount val="31"/>
                <c:pt idx="0">
                  <c:v>3</c:v>
                </c:pt>
                <c:pt idx="1">
                  <c:v>10</c:v>
                </c:pt>
                <c:pt idx="2">
                  <c:v>25</c:v>
                </c:pt>
                <c:pt idx="3">
                  <c:v>39</c:v>
                </c:pt>
                <c:pt idx="4">
                  <c:v>40</c:v>
                </c:pt>
                <c:pt idx="5">
                  <c:v>45</c:v>
                </c:pt>
                <c:pt idx="6">
                  <c:v>68</c:v>
                </c:pt>
                <c:pt idx="7">
                  <c:v>74</c:v>
                </c:pt>
                <c:pt idx="8">
                  <c:v>78</c:v>
                </c:pt>
                <c:pt idx="9">
                  <c:v>#N/A</c:v>
                </c:pt>
                <c:pt idx="10">
                  <c:v>79</c:v>
                </c:pt>
                <c:pt idx="11">
                  <c:v>88</c:v>
                </c:pt>
                <c:pt idx="12">
                  <c:v>98</c:v>
                </c:pt>
                <c:pt idx="13">
                  <c:v>114</c:v>
                </c:pt>
                <c:pt idx="14">
                  <c:v>128</c:v>
                </c:pt>
                <c:pt idx="15">
                  <c:v>142</c:v>
                </c:pt>
                <c:pt idx="16">
                  <c:v>152</c:v>
                </c:pt>
                <c:pt idx="17">
                  <c:v>#N/A</c:v>
                </c:pt>
                <c:pt idx="18">
                  <c:v>#N/A</c:v>
                </c:pt>
                <c:pt idx="19">
                  <c:v>#N/A</c:v>
                </c:pt>
                <c:pt idx="20">
                  <c:v>#N/A</c:v>
                </c:pt>
                <c:pt idx="21">
                  <c:v>#N/A</c:v>
                </c:pt>
                <c:pt idx="22">
                  <c:v>#N/A</c:v>
                </c:pt>
                <c:pt idx="23">
                  <c:v>#N/A</c:v>
                </c:pt>
                <c:pt idx="24">
                  <c:v>#N/A</c:v>
                </c:pt>
                <c:pt idx="25">
                  <c:v>#N/A</c:v>
                </c:pt>
                <c:pt idx="26">
                  <c:v>#N/A</c:v>
                </c:pt>
                <c:pt idx="27">
                  <c:v>#N/A</c:v>
                </c:pt>
                <c:pt idx="28">
                  <c:v>#N/A</c:v>
                </c:pt>
              </c:numCache>
            </c:numRef>
          </c:val>
          <c:smooth val="0"/>
          <c:extLst>
            <c:ext xmlns:c16="http://schemas.microsoft.com/office/drawing/2014/chart" uri="{C3380CC4-5D6E-409C-BE32-E72D297353CC}">
              <c16:uniqueId val="{00000007-4A0D-4B8F-B045-87529FE80A0B}"/>
            </c:ext>
          </c:extLst>
        </c:ser>
        <c:dLbls>
          <c:showLegendKey val="0"/>
          <c:showVal val="0"/>
          <c:showCatName val="0"/>
          <c:showSerName val="0"/>
          <c:showPercent val="0"/>
          <c:showBubbleSize val="0"/>
        </c:dLbls>
        <c:marker val="1"/>
        <c:smooth val="0"/>
        <c:axId val="1495972351"/>
        <c:axId val="1495971871"/>
      </c:lineChart>
      <c:catAx>
        <c:axId val="1495972351"/>
        <c:scaling>
          <c:orientation val="minMax"/>
        </c:scaling>
        <c:delete val="0"/>
        <c:axPos val="b"/>
        <c:numFmt formatCode="General" sourceLinked="0"/>
        <c:majorTickMark val="none"/>
        <c:minorTickMark val="none"/>
        <c:tickLblPos val="nextTo"/>
        <c:spPr>
          <a:noFill/>
          <a:ln w="9525" cap="flat" cmpd="sng" algn="ctr">
            <a:solidFill>
              <a:schemeClr val="lt1">
                <a:lumMod val="95000"/>
                <a:alpha val="10000"/>
              </a:schemeClr>
            </a:solidFill>
            <a:round/>
          </a:ln>
          <a:effectLst/>
        </c:spPr>
        <c:txPr>
          <a:bodyPr rot="-27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95971871"/>
        <c:crosses val="autoZero"/>
        <c:auto val="0"/>
        <c:lblAlgn val="ctr"/>
        <c:lblOffset val="100"/>
        <c:noMultiLvlLbl val="0"/>
      </c:catAx>
      <c:valAx>
        <c:axId val="149597187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95972351"/>
        <c:crosses val="autoZero"/>
        <c:crossBetween val="between"/>
      </c:valAx>
      <c:valAx>
        <c:axId val="965818304"/>
        <c:scaling>
          <c:orientation val="minMax"/>
          <c:max val="8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65822144"/>
        <c:crosses val="max"/>
        <c:crossBetween val="between"/>
      </c:valAx>
      <c:catAx>
        <c:axId val="965822144"/>
        <c:scaling>
          <c:orientation val="minMax"/>
        </c:scaling>
        <c:delete val="1"/>
        <c:axPos val="b"/>
        <c:numFmt formatCode="General" sourceLinked="1"/>
        <c:majorTickMark val="out"/>
        <c:minorTickMark val="none"/>
        <c:tickLblPos val="nextTo"/>
        <c:crossAx val="965818304"/>
        <c:crosses val="autoZero"/>
        <c:auto val="1"/>
        <c:lblAlgn val="ctr"/>
        <c:lblOffset val="100"/>
        <c:noMultiLvlLbl val="0"/>
      </c:catAx>
      <c:spPr>
        <a:noFill/>
        <a:ln>
          <a:noFill/>
        </a:ln>
        <a:effectLst/>
      </c:spPr>
    </c:plotArea>
    <c:legend>
      <c:legendPos val="b"/>
      <c:legendEntry>
        <c:idx val="2"/>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0"/>
    <c:dispBlanksAs val="span"/>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Key Contractual Test Tracker S Curve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lineChart>
        <c:grouping val="standard"/>
        <c:varyColors val="0"/>
        <c:ser>
          <c:idx val="1"/>
          <c:order val="0"/>
          <c:spPr>
            <a:ln w="28575" cap="rnd">
              <a:solidFill>
                <a:schemeClr val="accent2"/>
              </a:solidFill>
              <a:round/>
            </a:ln>
            <a:effectLst/>
          </c:spPr>
          <c:marker>
            <c:symbol val="none"/>
          </c:marker>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93AC-4113-B00E-AC1D8CB4DE93}"/>
            </c:ext>
          </c:extLst>
        </c:ser>
        <c:ser>
          <c:idx val="3"/>
          <c:order val="1"/>
          <c:spPr>
            <a:ln w="28575" cap="rnd">
              <a:solidFill>
                <a:schemeClr val="accent4"/>
              </a:solidFill>
              <a:round/>
            </a:ln>
            <a:effectLst/>
          </c:spPr>
          <c:marker>
            <c:symbol val="none"/>
          </c:marker>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93AC-4113-B00E-AC1D8CB4DE93}"/>
            </c:ext>
          </c:extLst>
        </c:ser>
        <c:dLbls>
          <c:dLblPos val="t"/>
          <c:showLegendKey val="0"/>
          <c:showVal val="1"/>
          <c:showCatName val="0"/>
          <c:showSerName val="0"/>
          <c:showPercent val="0"/>
          <c:showBubbleSize val="0"/>
        </c:dLbls>
        <c:smooth val="0"/>
        <c:axId val="1107433263"/>
        <c:axId val="1111275647"/>
      </c:lineChart>
      <c:catAx>
        <c:axId val="11074332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MMM-YY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11275647"/>
        <c:crosses val="autoZero"/>
        <c:auto val="1"/>
        <c:lblAlgn val="ctr"/>
        <c:lblOffset val="100"/>
        <c:noMultiLvlLbl val="1"/>
      </c:catAx>
      <c:valAx>
        <c:axId val="11112756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Key</a:t>
                </a:r>
                <a:r>
                  <a:rPr lang="en-US" baseline="0"/>
                  <a:t> Contractual Test Activities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074332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Key Contractual Test Tracker</a:t>
            </a:r>
            <a:r>
              <a:rPr lang="en-US" baseline="0"/>
              <a:t> - Status Bar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C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v>Accepted</c:v>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2"/>
              <c:pt idx="0">
                <c:v>FOU Jackets</c:v>
              </c:pt>
              <c:pt idx="1">
                <c:v>IAC</c:v>
              </c:pt>
              <c:pt idx="2">
                <c:v>WTG</c:v>
              </c:pt>
              <c:pt idx="3">
                <c:v>FOU Pin Piles (Sets of x3)</c:v>
              </c:pt>
              <c:pt idx="4">
                <c:v>EXC 3</c:v>
              </c:pt>
              <c:pt idx="5">
                <c:v>EXC 4</c:v>
              </c:pt>
              <c:pt idx="6">
                <c:v>EXC 1</c:v>
              </c:pt>
              <c:pt idx="7">
                <c:v>EXC 2</c:v>
              </c:pt>
              <c:pt idx="8">
                <c:v>HL3 OSS Foundation</c:v>
              </c:pt>
              <c:pt idx="9">
                <c:v>HL2 OSS Foundation</c:v>
              </c:pt>
              <c:pt idx="10">
                <c:v>HL3 OSS Topside</c:v>
              </c:pt>
              <c:pt idx="11">
                <c:v>HL2 OSS Topside</c:v>
              </c:pt>
            </c:strLit>
          </c:cat>
          <c:val>
            <c:numLit>
              <c:formatCode>General</c:formatCode>
              <c:ptCount val="12"/>
              <c:pt idx="0">
                <c:v>0</c:v>
              </c:pt>
              <c:pt idx="1">
                <c:v>0</c:v>
              </c:pt>
              <c:pt idx="2">
                <c:v>0</c:v>
              </c:pt>
              <c:pt idx="3">
                <c:v>13</c:v>
              </c:pt>
              <c:pt idx="4">
                <c:v>0</c:v>
              </c:pt>
              <c:pt idx="5">
                <c:v>0</c:v>
              </c:pt>
              <c:pt idx="6">
                <c:v>0</c:v>
              </c:pt>
              <c:pt idx="7">
                <c:v>0</c:v>
              </c:pt>
              <c:pt idx="8">
                <c:v>0</c:v>
              </c:pt>
              <c:pt idx="9">
                <c:v>0</c:v>
              </c:pt>
              <c:pt idx="10">
                <c:v>0</c:v>
              </c:pt>
              <c:pt idx="11">
                <c:v>0</c:v>
              </c:pt>
            </c:numLit>
          </c:val>
          <c:extLst>
            <c:ext xmlns:c16="http://schemas.microsoft.com/office/drawing/2014/chart" uri="{C3380CC4-5D6E-409C-BE32-E72D297353CC}">
              <c16:uniqueId val="{00000002-D8EB-4408-841A-362A8B044F37}"/>
            </c:ext>
          </c:extLst>
        </c:ser>
        <c:ser>
          <c:idx val="1"/>
          <c:order val="1"/>
          <c:tx>
            <c:v>TBD</c:v>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2"/>
              <c:pt idx="0">
                <c:v>FOU Jackets</c:v>
              </c:pt>
              <c:pt idx="1">
                <c:v>IAC</c:v>
              </c:pt>
              <c:pt idx="2">
                <c:v>WTG</c:v>
              </c:pt>
              <c:pt idx="3">
                <c:v>FOU Pin Piles (Sets of x3)</c:v>
              </c:pt>
              <c:pt idx="4">
                <c:v>EXC 3</c:v>
              </c:pt>
              <c:pt idx="5">
                <c:v>EXC 4</c:v>
              </c:pt>
              <c:pt idx="6">
                <c:v>EXC 1</c:v>
              </c:pt>
              <c:pt idx="7">
                <c:v>EXC 2</c:v>
              </c:pt>
              <c:pt idx="8">
                <c:v>HL3 OSS Foundation</c:v>
              </c:pt>
              <c:pt idx="9">
                <c:v>HL2 OSS Foundation</c:v>
              </c:pt>
              <c:pt idx="10">
                <c:v>HL3 OSS Topside</c:v>
              </c:pt>
              <c:pt idx="11">
                <c:v>HL2 OSS Topside</c:v>
              </c:pt>
            </c:strLit>
          </c:cat>
          <c:val>
            <c:numLit>
              <c:formatCode>General</c:formatCode>
              <c:ptCount val="12"/>
              <c:pt idx="0">
                <c:v>149</c:v>
              </c:pt>
              <c:pt idx="1">
                <c:v>146</c:v>
              </c:pt>
              <c:pt idx="2">
                <c:v>146</c:v>
              </c:pt>
              <c:pt idx="3">
                <c:v>128</c:v>
              </c:pt>
              <c:pt idx="4">
                <c:v>3</c:v>
              </c:pt>
              <c:pt idx="5">
                <c:v>3</c:v>
              </c:pt>
              <c:pt idx="6">
                <c:v>3</c:v>
              </c:pt>
              <c:pt idx="7">
                <c:v>3</c:v>
              </c:pt>
              <c:pt idx="8">
                <c:v>2</c:v>
              </c:pt>
              <c:pt idx="9">
                <c:v>2</c:v>
              </c:pt>
              <c:pt idx="10">
                <c:v>2</c:v>
              </c:pt>
              <c:pt idx="11">
                <c:v>2</c:v>
              </c:pt>
            </c:numLit>
          </c:val>
          <c:extLst>
            <c:ext xmlns:c16="http://schemas.microsoft.com/office/drawing/2014/chart" uri="{C3380CC4-5D6E-409C-BE32-E72D297353CC}">
              <c16:uniqueId val="{00000003-D8EB-4408-841A-362A8B044F37}"/>
            </c:ext>
          </c:extLst>
        </c:ser>
        <c:ser>
          <c:idx val="2"/>
          <c:order val="2"/>
          <c:tx>
            <c:v>Partially Accepted</c:v>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2"/>
              <c:pt idx="0">
                <c:v>FOU Jackets</c:v>
              </c:pt>
              <c:pt idx="1">
                <c:v>IAC</c:v>
              </c:pt>
              <c:pt idx="2">
                <c:v>WTG</c:v>
              </c:pt>
              <c:pt idx="3">
                <c:v>FOU Pin Piles (Sets of x3)</c:v>
              </c:pt>
              <c:pt idx="4">
                <c:v>EXC 3</c:v>
              </c:pt>
              <c:pt idx="5">
                <c:v>EXC 4</c:v>
              </c:pt>
              <c:pt idx="6">
                <c:v>EXC 1</c:v>
              </c:pt>
              <c:pt idx="7">
                <c:v>EXC 2</c:v>
              </c:pt>
              <c:pt idx="8">
                <c:v>HL3 OSS Foundation</c:v>
              </c:pt>
              <c:pt idx="9">
                <c:v>HL2 OSS Foundation</c:v>
              </c:pt>
              <c:pt idx="10">
                <c:v>HL3 OSS Topside</c:v>
              </c:pt>
              <c:pt idx="11">
                <c:v>HL2 OSS Topside</c:v>
              </c:pt>
            </c:strLit>
          </c:cat>
          <c:val>
            <c:numLit>
              <c:formatCode>General</c:formatCode>
              <c:ptCount val="12"/>
              <c:pt idx="0">
                <c:v>0</c:v>
              </c:pt>
              <c:pt idx="1">
                <c:v>0</c:v>
              </c:pt>
              <c:pt idx="2">
                <c:v>0</c:v>
              </c:pt>
              <c:pt idx="3">
                <c:v>5</c:v>
              </c:pt>
              <c:pt idx="4">
                <c:v>0</c:v>
              </c:pt>
              <c:pt idx="5">
                <c:v>0</c:v>
              </c:pt>
              <c:pt idx="6">
                <c:v>0</c:v>
              </c:pt>
              <c:pt idx="7">
                <c:v>0</c:v>
              </c:pt>
              <c:pt idx="8">
                <c:v>0</c:v>
              </c:pt>
              <c:pt idx="9">
                <c:v>0</c:v>
              </c:pt>
              <c:pt idx="10">
                <c:v>0</c:v>
              </c:pt>
              <c:pt idx="11">
                <c:v>0</c:v>
              </c:pt>
            </c:numLit>
          </c:val>
          <c:extLst>
            <c:ext xmlns:c16="http://schemas.microsoft.com/office/drawing/2014/chart" uri="{C3380CC4-5D6E-409C-BE32-E72D297353CC}">
              <c16:uniqueId val="{00000004-D8EB-4408-841A-362A8B044F37}"/>
            </c:ext>
          </c:extLst>
        </c:ser>
        <c:dLbls>
          <c:dLblPos val="inEnd"/>
          <c:showLegendKey val="0"/>
          <c:showVal val="1"/>
          <c:showCatName val="0"/>
          <c:showSerName val="0"/>
          <c:showPercent val="0"/>
          <c:showBubbleSize val="0"/>
        </c:dLbls>
        <c:gapWidth val="150"/>
        <c:overlap val="100"/>
        <c:axId val="1132668959"/>
        <c:axId val="1132665599"/>
      </c:barChart>
      <c:catAx>
        <c:axId val="1132668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2665599"/>
        <c:crosses val="autoZero"/>
        <c:auto val="1"/>
        <c:lblAlgn val="ctr"/>
        <c:lblOffset val="100"/>
        <c:noMultiLvlLbl val="0"/>
      </c:catAx>
      <c:valAx>
        <c:axId val="1132665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26689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275-4D14-A218-C6A69A34930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275-4D14-A218-C6A69A34930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E275-4D14-A218-C6A69A34930F}"/>
              </c:ext>
            </c:extLst>
          </c:dPt>
          <c:dPt>
            <c:idx val="3"/>
            <c:bubble3D val="0"/>
            <c:spPr>
              <a:noFill/>
              <a:ln>
                <a:noFill/>
              </a:ln>
              <a:effectLst/>
            </c:spPr>
            <c:extLst>
              <c:ext xmlns:c16="http://schemas.microsoft.com/office/drawing/2014/chart" uri="{C3380CC4-5D6E-409C-BE32-E72D297353CC}">
                <c16:uniqueId val="{00000007-E275-4D14-A218-C6A69A34930F}"/>
              </c:ext>
            </c:extLst>
          </c:dPt>
          <c:val>
            <c:numRef>
              <c:f>Query_Basedata!$O$41:$O$44</c:f>
              <c:numCache>
                <c:formatCode>General</c:formatCode>
                <c:ptCount val="4"/>
                <c:pt idx="0">
                  <c:v>40</c:v>
                </c:pt>
                <c:pt idx="1">
                  <c:v>40</c:v>
                </c:pt>
                <c:pt idx="2">
                  <c:v>20</c:v>
                </c:pt>
                <c:pt idx="3">
                  <c:v>100</c:v>
                </c:pt>
              </c:numCache>
            </c:numRef>
          </c:val>
          <c:extLst>
            <c:ext xmlns:c16="http://schemas.microsoft.com/office/drawing/2014/chart" uri="{C3380CC4-5D6E-409C-BE32-E72D297353CC}">
              <c16:uniqueId val="{00000008-E275-4D14-A218-C6A69A34930F}"/>
            </c:ext>
          </c:extLst>
        </c:ser>
        <c:dLbls>
          <c:showLegendKey val="0"/>
          <c:showVal val="0"/>
          <c:showCatName val="0"/>
          <c:showSerName val="0"/>
          <c:showPercent val="0"/>
          <c:showBubbleSize val="0"/>
          <c:showLeaderLines val="1"/>
        </c:dLbls>
        <c:firstSliceAng val="270"/>
        <c:holeSize val="75"/>
      </c:doughnutChart>
      <c:scatterChart>
        <c:scatterStyle val="lineMarker"/>
        <c:varyColors val="0"/>
        <c:ser>
          <c:idx val="1"/>
          <c:order val="1"/>
          <c:tx>
            <c:strRef>
              <c:f>Query_Basedata!$M$41:$M$43</c:f>
              <c:strCache>
                <c:ptCount val="3"/>
                <c:pt idx="0">
                  <c:v>X</c:v>
                </c:pt>
                <c:pt idx="1">
                  <c:v>0</c:v>
                </c:pt>
                <c:pt idx="2">
                  <c:v>-1.00</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dPt>
            <c:idx val="0"/>
            <c:marker>
              <c:symbol val="none"/>
            </c:marker>
            <c:bubble3D val="0"/>
            <c:spPr>
              <a:ln w="1238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E275-4D14-A218-C6A69A34930F}"/>
              </c:ext>
            </c:extLst>
          </c:dPt>
          <c:xVal>
            <c:numRef>
              <c:f>Query_Basedata!$M$42:$M$43</c:f>
              <c:numCache>
                <c:formatCode>0.00</c:formatCode>
                <c:ptCount val="2"/>
                <c:pt idx="0" formatCode="General">
                  <c:v>0</c:v>
                </c:pt>
                <c:pt idx="1">
                  <c:v>-1</c:v>
                </c:pt>
              </c:numCache>
            </c:numRef>
          </c:xVal>
          <c:yVal>
            <c:numRef>
              <c:f>Query_Basedata!$N$42:$N$43</c:f>
              <c:numCache>
                <c:formatCode>0.00</c:formatCode>
                <c:ptCount val="2"/>
                <c:pt idx="0" formatCode="General">
                  <c:v>0</c:v>
                </c:pt>
                <c:pt idx="1">
                  <c:v>0</c:v>
                </c:pt>
              </c:numCache>
            </c:numRef>
          </c:yVal>
          <c:smooth val="0"/>
          <c:extLst>
            <c:ext xmlns:c16="http://schemas.microsoft.com/office/drawing/2014/chart" uri="{C3380CC4-5D6E-409C-BE32-E72D297353CC}">
              <c16:uniqueId val="{00000009-E275-4D14-A218-C6A69A34930F}"/>
            </c:ext>
          </c:extLst>
        </c:ser>
        <c:dLbls>
          <c:showLegendKey val="0"/>
          <c:showVal val="0"/>
          <c:showCatName val="0"/>
          <c:showSerName val="0"/>
          <c:showPercent val="0"/>
          <c:showBubbleSize val="0"/>
        </c:dLbls>
        <c:axId val="1963770607"/>
        <c:axId val="1963773967"/>
      </c:scatterChart>
      <c:valAx>
        <c:axId val="1963773967"/>
        <c:scaling>
          <c:orientation val="minMax"/>
          <c:max val="1"/>
          <c:min val="-1"/>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963770607"/>
        <c:crosses val="autoZero"/>
        <c:crossBetween val="midCat"/>
      </c:valAx>
      <c:valAx>
        <c:axId val="1963770607"/>
        <c:scaling>
          <c:orientation val="minMax"/>
          <c:max val="1"/>
          <c:min val="-1"/>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963773967"/>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Work Notebook_HL_20251021.xlsm]Query_Basedata!PivotTable5</c:name>
    <c:fmtId val="1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Query_Basedata!$AP$3:$AP$4</c:f>
              <c:strCache>
                <c:ptCount val="1"/>
                <c:pt idx="0">
                  <c:v>Grand 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Query_Basedata!$AO$5:$AO$14</c:f>
              <c:strCache>
                <c:ptCount val="10"/>
                <c:pt idx="0">
                  <c:v>Sum of KPI_2025_02</c:v>
                </c:pt>
                <c:pt idx="1">
                  <c:v>Sum of KPI_2025_03</c:v>
                </c:pt>
                <c:pt idx="2">
                  <c:v>Sum of KPI_2025_04</c:v>
                </c:pt>
                <c:pt idx="3">
                  <c:v>Sum of KPI_2025_05</c:v>
                </c:pt>
                <c:pt idx="4">
                  <c:v>Sum of KPI_2025_06</c:v>
                </c:pt>
                <c:pt idx="5">
                  <c:v>Sum of KPI_2025_07</c:v>
                </c:pt>
                <c:pt idx="6">
                  <c:v>Sum of KPI_2025_08</c:v>
                </c:pt>
                <c:pt idx="7">
                  <c:v>Sum of KPI_2025_09</c:v>
                </c:pt>
                <c:pt idx="8">
                  <c:v>Sum of KPI_2025_10</c:v>
                </c:pt>
                <c:pt idx="9">
                  <c:v>Sum of KPI_2025_11</c:v>
                </c:pt>
              </c:strCache>
            </c:strRef>
          </c:cat>
          <c:val>
            <c:numRef>
              <c:f>Query_Basedata!$AP$5:$AP$14</c:f>
              <c:numCache>
                <c:formatCode>0.0%</c:formatCode>
                <c:ptCount val="10"/>
              </c:numCache>
            </c:numRef>
          </c:val>
          <c:smooth val="0"/>
          <c:extLst>
            <c:ext xmlns:c16="http://schemas.microsoft.com/office/drawing/2014/chart" uri="{C3380CC4-5D6E-409C-BE32-E72D297353CC}">
              <c16:uniqueId val="{00000000-A8F8-494F-9574-97030F82C353}"/>
            </c:ext>
          </c:extLst>
        </c:ser>
        <c:dLbls>
          <c:dLblPos val="t"/>
          <c:showLegendKey val="0"/>
          <c:showVal val="1"/>
          <c:showCatName val="0"/>
          <c:showSerName val="0"/>
          <c:showPercent val="0"/>
          <c:showBubbleSize val="0"/>
        </c:dLbls>
        <c:marker val="1"/>
        <c:smooth val="0"/>
        <c:axId val="462862256"/>
        <c:axId val="462864176"/>
      </c:lineChart>
      <c:dateAx>
        <c:axId val="462862256"/>
        <c:scaling>
          <c:orientation val="minMax"/>
        </c:scaling>
        <c:delete val="0"/>
        <c:axPos val="b"/>
        <c:numFmt formatCode="General" sourceLinked="1"/>
        <c:majorTickMark val="out"/>
        <c:minorTickMark val="none"/>
        <c:tickLblPos val="nextTo"/>
        <c:spPr>
          <a:noFill/>
          <a:ln w="9525" cap="flat" cmpd="sng" algn="ctr">
            <a:solidFill>
              <a:schemeClr val="lt1">
                <a:lumMod val="95000"/>
                <a:alpha val="10000"/>
              </a:schemeClr>
            </a:solidFill>
            <a:round/>
          </a:ln>
          <a:effectLst/>
        </c:spPr>
        <c:txPr>
          <a:bodyPr rot="-180000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2864176"/>
        <c:crosses val="autoZero"/>
        <c:auto val="0"/>
        <c:lblOffset val="100"/>
        <c:baseTimeUnit val="days"/>
      </c:dateAx>
      <c:valAx>
        <c:axId val="462864176"/>
        <c:scaling>
          <c:orientation val="minMax"/>
          <c:max val="1.01"/>
          <c:min val="0.79"/>
        </c:scaling>
        <c:delete val="0"/>
        <c:axPos val="l"/>
        <c:majorGridlines>
          <c:spPr>
            <a:ln w="9525" cap="flat" cmpd="sng" algn="ctr">
              <a:solidFill>
                <a:schemeClr val="lt1">
                  <a:lumMod val="95000"/>
                  <a:alpha val="10000"/>
                </a:schemeClr>
              </a:solidFill>
              <a:round/>
            </a:ln>
            <a:effectLst/>
          </c:spPr>
        </c:majorGridlines>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2862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Work Notebook_HL_20251021.xlsm]Query_Basedata!PivotTable3</c:name>
    <c:fmtId val="1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
        <c:idx val="1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Query_Basedata!$V$3</c:f>
              <c:strCache>
                <c:ptCount val="1"/>
                <c:pt idx="0">
                  <c:v>Sum of OBS_Opening</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Query_Basedata!$U$4</c:f>
              <c:strCache>
                <c:ptCount val="1"/>
                <c:pt idx="0">
                  <c:v>Grand Total</c:v>
                </c:pt>
              </c:strCache>
            </c:strRef>
          </c:cat>
          <c:val>
            <c:numRef>
              <c:f>Query_Basedata!$V$4</c:f>
              <c:numCache>
                <c:formatCode>General</c:formatCode>
                <c:ptCount val="1"/>
              </c:numCache>
            </c:numRef>
          </c:val>
          <c:extLst>
            <c:ext xmlns:c16="http://schemas.microsoft.com/office/drawing/2014/chart" uri="{C3380CC4-5D6E-409C-BE32-E72D297353CC}">
              <c16:uniqueId val="{00000000-5672-4057-862A-31E45544C855}"/>
            </c:ext>
          </c:extLst>
        </c:ser>
        <c:ser>
          <c:idx val="1"/>
          <c:order val="1"/>
          <c:tx>
            <c:strRef>
              <c:f>Query_Basedata!$W$3</c:f>
              <c:strCache>
                <c:ptCount val="1"/>
                <c:pt idx="0">
                  <c:v>Sum of OBS_Closed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Query_Basedata!$U$4</c:f>
              <c:strCache>
                <c:ptCount val="1"/>
                <c:pt idx="0">
                  <c:v>Grand Total</c:v>
                </c:pt>
              </c:strCache>
            </c:strRef>
          </c:cat>
          <c:val>
            <c:numRef>
              <c:f>Query_Basedata!$W$4</c:f>
              <c:numCache>
                <c:formatCode>General</c:formatCode>
                <c:ptCount val="1"/>
              </c:numCache>
            </c:numRef>
          </c:val>
          <c:extLst>
            <c:ext xmlns:c16="http://schemas.microsoft.com/office/drawing/2014/chart" uri="{C3380CC4-5D6E-409C-BE32-E72D297353CC}">
              <c16:uniqueId val="{00000001-5672-4057-862A-31E45544C855}"/>
            </c:ext>
          </c:extLst>
        </c:ser>
        <c:ser>
          <c:idx val="2"/>
          <c:order val="2"/>
          <c:tx>
            <c:strRef>
              <c:f>Query_Basedata!$X$3</c:f>
              <c:strCache>
                <c:ptCount val="1"/>
                <c:pt idx="0">
                  <c:v>Sum of RFOBS_Opening</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Query_Basedata!$U$4</c:f>
              <c:strCache>
                <c:ptCount val="1"/>
                <c:pt idx="0">
                  <c:v>Grand Total</c:v>
                </c:pt>
              </c:strCache>
            </c:strRef>
          </c:cat>
          <c:val>
            <c:numRef>
              <c:f>Query_Basedata!$X$4</c:f>
              <c:numCache>
                <c:formatCode>General</c:formatCode>
                <c:ptCount val="1"/>
              </c:numCache>
            </c:numRef>
          </c:val>
          <c:extLst>
            <c:ext xmlns:c16="http://schemas.microsoft.com/office/drawing/2014/chart" uri="{C3380CC4-5D6E-409C-BE32-E72D297353CC}">
              <c16:uniqueId val="{00000002-5672-4057-862A-31E45544C855}"/>
            </c:ext>
          </c:extLst>
        </c:ser>
        <c:ser>
          <c:idx val="3"/>
          <c:order val="3"/>
          <c:tx>
            <c:strRef>
              <c:f>Query_Basedata!$Y$3</c:f>
              <c:strCache>
                <c:ptCount val="1"/>
                <c:pt idx="0">
                  <c:v>Sum of RFOBS_Closed</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Query_Basedata!$U$4</c:f>
              <c:strCache>
                <c:ptCount val="1"/>
                <c:pt idx="0">
                  <c:v>Grand Total</c:v>
                </c:pt>
              </c:strCache>
            </c:strRef>
          </c:cat>
          <c:val>
            <c:numRef>
              <c:f>Query_Basedata!$Y$4</c:f>
              <c:numCache>
                <c:formatCode>General</c:formatCode>
                <c:ptCount val="1"/>
              </c:numCache>
            </c:numRef>
          </c:val>
          <c:extLst>
            <c:ext xmlns:c16="http://schemas.microsoft.com/office/drawing/2014/chart" uri="{C3380CC4-5D6E-409C-BE32-E72D297353CC}">
              <c16:uniqueId val="{00000003-5672-4057-862A-31E45544C855}"/>
            </c:ext>
          </c:extLst>
        </c:ser>
        <c:dLbls>
          <c:showLegendKey val="0"/>
          <c:showVal val="0"/>
          <c:showCatName val="0"/>
          <c:showSerName val="0"/>
          <c:showPercent val="0"/>
          <c:showBubbleSize val="0"/>
        </c:dLbls>
        <c:gapWidth val="219"/>
        <c:overlap val="100"/>
        <c:axId val="614304079"/>
        <c:axId val="614305999"/>
      </c:barChart>
      <c:lineChart>
        <c:grouping val="stacked"/>
        <c:varyColors val="0"/>
        <c:ser>
          <c:idx val="4"/>
          <c:order val="4"/>
          <c:tx>
            <c:strRef>
              <c:f>Query_Basedata!$Z$3</c:f>
              <c:strCache>
                <c:ptCount val="1"/>
                <c:pt idx="0">
                  <c:v>Sum of OBS_Total</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Query_Basedata!$U$4</c:f>
              <c:strCache>
                <c:ptCount val="1"/>
                <c:pt idx="0">
                  <c:v>Grand Total</c:v>
                </c:pt>
              </c:strCache>
            </c:strRef>
          </c:cat>
          <c:val>
            <c:numRef>
              <c:f>Query_Basedata!$Z$4</c:f>
              <c:numCache>
                <c:formatCode>General</c:formatCode>
                <c:ptCount val="1"/>
              </c:numCache>
            </c:numRef>
          </c:val>
          <c:smooth val="0"/>
          <c:extLst>
            <c:ext xmlns:c16="http://schemas.microsoft.com/office/drawing/2014/chart" uri="{C3380CC4-5D6E-409C-BE32-E72D297353CC}">
              <c16:uniqueId val="{00000004-5672-4057-862A-31E45544C855}"/>
            </c:ext>
          </c:extLst>
        </c:ser>
        <c:ser>
          <c:idx val="5"/>
          <c:order val="5"/>
          <c:tx>
            <c:strRef>
              <c:f>Query_Basedata!$AA$3</c:f>
              <c:strCache>
                <c:ptCount val="1"/>
                <c:pt idx="0">
                  <c:v>Sum of OBS_Total2</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Query_Basedata!$U$4</c:f>
              <c:strCache>
                <c:ptCount val="1"/>
                <c:pt idx="0">
                  <c:v>Grand Total</c:v>
                </c:pt>
              </c:strCache>
            </c:strRef>
          </c:cat>
          <c:val>
            <c:numRef>
              <c:f>Query_Basedata!$AA$4</c:f>
              <c:numCache>
                <c:formatCode>0.00%</c:formatCode>
                <c:ptCount val="1"/>
              </c:numCache>
            </c:numRef>
          </c:val>
          <c:smooth val="0"/>
          <c:extLst>
            <c:ext xmlns:c16="http://schemas.microsoft.com/office/drawing/2014/chart" uri="{C3380CC4-5D6E-409C-BE32-E72D297353CC}">
              <c16:uniqueId val="{00000005-5672-4057-862A-31E45544C855}"/>
            </c:ext>
          </c:extLst>
        </c:ser>
        <c:dLbls>
          <c:showLegendKey val="0"/>
          <c:showVal val="0"/>
          <c:showCatName val="0"/>
          <c:showSerName val="0"/>
          <c:showPercent val="0"/>
          <c:showBubbleSize val="0"/>
        </c:dLbls>
        <c:marker val="1"/>
        <c:smooth val="0"/>
        <c:axId val="163124672"/>
        <c:axId val="163125152"/>
      </c:lineChart>
      <c:catAx>
        <c:axId val="61430407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4305999"/>
        <c:crosses val="autoZero"/>
        <c:auto val="1"/>
        <c:lblAlgn val="ctr"/>
        <c:lblOffset val="100"/>
        <c:noMultiLvlLbl val="0"/>
      </c:catAx>
      <c:valAx>
        <c:axId val="614305999"/>
        <c:scaling>
          <c:orientation val="minMax"/>
          <c:max val="5"/>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4304079"/>
        <c:crosses val="autoZero"/>
        <c:crossBetween val="between"/>
        <c:majorUnit val="1"/>
      </c:valAx>
      <c:valAx>
        <c:axId val="163125152"/>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3124672"/>
        <c:crosses val="max"/>
        <c:crossBetween val="between"/>
      </c:valAx>
      <c:catAx>
        <c:axId val="163124672"/>
        <c:scaling>
          <c:orientation val="minMax"/>
        </c:scaling>
        <c:delete val="1"/>
        <c:axPos val="b"/>
        <c:numFmt formatCode="General" sourceLinked="1"/>
        <c:majorTickMark val="none"/>
        <c:minorTickMark val="none"/>
        <c:tickLblPos val="nextTo"/>
        <c:crossAx val="16312515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ITP</a:t>
            </a:r>
            <a:r>
              <a:rPr lang="zh-TW"/>
              <a:t> </a:t>
            </a:r>
            <a:r>
              <a:rPr lang="en-US"/>
              <a:t>Approval Status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1"/>
          <c:showCatName val="0"/>
          <c:showSerName val="0"/>
          <c:showPercent val="0"/>
          <c:showBubbleSize val="0"/>
          <c:extLst>
            <c:ext xmlns:c15="http://schemas.microsoft.com/office/drawing/2012/chart" uri="{CE6537A1-D6FC-4f65-9D91-7224C49458BB}"/>
          </c:extLst>
        </c:dLbl>
      </c:pivotFmt>
      <c:pivotFmt>
        <c:idx val="1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1"/>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dLbl>
          <c:idx val="0"/>
          <c:showLegendKey val="0"/>
          <c:showVal val="1"/>
          <c:showCatName val="0"/>
          <c:showSerName val="0"/>
          <c:showPercent val="0"/>
          <c:showBubbleSize val="0"/>
          <c:extLst>
            <c:ext xmlns:c15="http://schemas.microsoft.com/office/drawing/2012/chart" uri="{CE6537A1-D6FC-4f65-9D91-7224C49458BB}"/>
          </c:extLst>
        </c:dLbl>
      </c:pivotFmt>
      <c:pivotFmt>
        <c:idx val="24"/>
        <c:spPr>
          <a:pattFill prst="pct30">
            <a:fgClr>
              <a:schemeClr val="accent1"/>
            </a:fgClr>
            <a:bgClr>
              <a:schemeClr val="bg1"/>
            </a:bgClr>
          </a:patt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92D05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pivotFmt>
    </c:pivotFmts>
    <c:plotArea>
      <c:layout/>
      <c:barChart>
        <c:barDir val="col"/>
        <c:grouping val="clustered"/>
        <c:varyColors val="0"/>
        <c:ser>
          <c:idx val="1"/>
          <c:order val="1"/>
          <c:tx>
            <c:v>Sum of ITP_Approved</c:v>
          </c:tx>
          <c:spPr>
            <a:pattFill prst="pct30">
              <a:fgClr>
                <a:schemeClr val="accent1"/>
              </a:fgClr>
              <a:bgClr>
                <a:schemeClr val="bg1"/>
              </a:bgClr>
            </a:patt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6"/>
              <c:pt idx="0">
                <c:v>LS Cable</c:v>
              </c:pt>
              <c:pt idx="1">
                <c:v>JDN</c:v>
              </c:pt>
              <c:pt idx="2">
                <c:v>Hellenic Cable</c:v>
              </c:pt>
              <c:pt idx="3">
                <c:v>CDWE</c:v>
              </c:pt>
              <c:pt idx="4">
                <c:v>BMS</c:v>
              </c:pt>
              <c:pt idx="5">
                <c:v>Seaway7</c:v>
              </c:pt>
            </c:strLit>
          </c:cat>
          <c:val>
            <c:numLit>
              <c:formatCode>General</c:formatCode>
              <c:ptCount val="6"/>
              <c:pt idx="0">
                <c:v>10</c:v>
              </c:pt>
              <c:pt idx="1">
                <c:v>1</c:v>
              </c:pt>
              <c:pt idx="2">
                <c:v>10</c:v>
              </c:pt>
              <c:pt idx="3">
                <c:v>25</c:v>
              </c:pt>
              <c:pt idx="4">
                <c:v>1</c:v>
              </c:pt>
              <c:pt idx="5">
                <c:v>24</c:v>
              </c:pt>
            </c:numLit>
          </c:val>
          <c:extLst>
            <c:ext xmlns:c16="http://schemas.microsoft.com/office/drawing/2014/chart" uri="{C3380CC4-5D6E-409C-BE32-E72D297353CC}">
              <c16:uniqueId val="{00000000-E2F6-4D60-8F0B-5CE4DF7392E2}"/>
            </c:ext>
          </c:extLst>
        </c:ser>
        <c:ser>
          <c:idx val="0"/>
          <c:order val="0"/>
          <c:tx>
            <c:v>Sum of ITP_Submission</c:v>
          </c:tx>
          <c:spPr>
            <a:solidFill>
              <a:srgbClr val="92D050"/>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6"/>
              <c:pt idx="0">
                <c:v>LS Cable</c:v>
              </c:pt>
              <c:pt idx="1">
                <c:v>JDN</c:v>
              </c:pt>
              <c:pt idx="2">
                <c:v>Hellenic Cable</c:v>
              </c:pt>
              <c:pt idx="3">
                <c:v>CDWE</c:v>
              </c:pt>
              <c:pt idx="4">
                <c:v>BMS</c:v>
              </c:pt>
              <c:pt idx="5">
                <c:v>Seaway7</c:v>
              </c:pt>
            </c:strLit>
          </c:cat>
          <c:val>
            <c:numLit>
              <c:formatCode>General</c:formatCode>
              <c:ptCount val="6"/>
              <c:pt idx="0">
                <c:v>10</c:v>
              </c:pt>
              <c:pt idx="1">
                <c:v>1</c:v>
              </c:pt>
              <c:pt idx="2">
                <c:v>10</c:v>
              </c:pt>
              <c:pt idx="3">
                <c:v>25</c:v>
              </c:pt>
              <c:pt idx="4">
                <c:v>1</c:v>
              </c:pt>
              <c:pt idx="5">
                <c:v>24</c:v>
              </c:pt>
            </c:numLit>
          </c:val>
          <c:extLst>
            <c:ext xmlns:c16="http://schemas.microsoft.com/office/drawing/2014/chart" uri="{C3380CC4-5D6E-409C-BE32-E72D297353CC}">
              <c16:uniqueId val="{00000001-E2F6-4D60-8F0B-5CE4DF7392E2}"/>
            </c:ext>
          </c:extLst>
        </c:ser>
        <c:dLbls>
          <c:showLegendKey val="0"/>
          <c:showVal val="0"/>
          <c:showCatName val="0"/>
          <c:showSerName val="0"/>
          <c:showPercent val="0"/>
          <c:showBubbleSize val="0"/>
        </c:dLbls>
        <c:gapWidth val="100"/>
        <c:overlap val="-24"/>
        <c:axId val="1521841808"/>
        <c:axId val="1521843728"/>
      </c:barChart>
      <c:catAx>
        <c:axId val="15218418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21843728"/>
        <c:crosses val="autoZero"/>
        <c:auto val="1"/>
        <c:lblAlgn val="ctr"/>
        <c:lblOffset val="100"/>
        <c:noMultiLvlLbl val="0"/>
      </c:catAx>
      <c:valAx>
        <c:axId val="15218437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218418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rPr>
              <a:t>Obs. Status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doughnut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8AB6-433B-8F14-A31E0EEF7078}"/>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8AB6-433B-8F14-A31E0EEF7078}"/>
              </c:ext>
            </c:extLst>
          </c:dPt>
          <c:cat>
            <c:strRef>
              <c:extLst>
                <c:ext xmlns:c15="http://schemas.microsoft.com/office/drawing/2012/chart" uri="{02D57815-91ED-43cb-92C2-25804820EDAC}">
                  <c15:fullRef>
                    <c15:sqref>Query_Basedata!$U$34:$U$36</c15:sqref>
                  </c15:fullRef>
                </c:ext>
              </c:extLst>
              <c:f>Query_Basedata!$U$35:$U$36</c:f>
              <c:strCache>
                <c:ptCount val="2"/>
                <c:pt idx="0">
                  <c:v>OBS_Opening</c:v>
                </c:pt>
                <c:pt idx="1">
                  <c:v>OBS_Closed</c:v>
                </c:pt>
              </c:strCache>
            </c:strRef>
          </c:cat>
          <c:val>
            <c:numRef>
              <c:extLst>
                <c:ext xmlns:c15="http://schemas.microsoft.com/office/drawing/2012/chart" uri="{02D57815-91ED-43cb-92C2-25804820EDAC}">
                  <c15:fullRef>
                    <c15:sqref>Query_Basedata!$V$34:$V$36</c15:sqref>
                  </c15:fullRef>
                </c:ext>
              </c:extLst>
              <c:f>Query_Basedata!$V$35:$V$36</c:f>
              <c:numCache>
                <c:formatCode>General</c:formatCode>
                <c:ptCount val="2"/>
                <c:pt idx="0">
                  <c:v>0</c:v>
                </c:pt>
                <c:pt idx="1">
                  <c:v>0</c:v>
                </c:pt>
              </c:numCache>
            </c:numRef>
          </c:val>
          <c:extLst>
            <c:ext xmlns:c15="http://schemas.microsoft.com/office/drawing/2012/chart" uri="{02D57815-91ED-43cb-92C2-25804820EDAC}">
              <c15:categoryFilterExceptions>
                <c15:categoryFilterException>
                  <c15:sqref>Query_Basedata!$V$34</c15:sqref>
                  <c15:spPr xmlns:c15="http://schemas.microsoft.com/office/drawing/2012/chart">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15:spPr>
                  <c15:bubble3D val="0"/>
                </c15:categoryFilterException>
              </c15:categoryFilterExceptions>
            </c:ext>
            <c:ext xmlns:c16="http://schemas.microsoft.com/office/drawing/2014/chart" uri="{C3380CC4-5D6E-409C-BE32-E72D297353CC}">
              <c16:uniqueId val="{00000006-8AB6-433B-8F14-A31E0EEF707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Work Notebook_HL_20251021.xlsm]Query_Basedata!PivotTable4</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NCR Status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noFill/>
            <a:ln w="9525">
              <a:no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zh-TW"/>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Query_Basedata!$AE$3</c:f>
              <c:strCache>
                <c:ptCount val="1"/>
                <c:pt idx="0">
                  <c:v>Sum of NCR_Closed</c:v>
                </c:pt>
              </c:strCache>
            </c:strRef>
          </c:tx>
          <c:spPr>
            <a:solidFill>
              <a:schemeClr val="accent6"/>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Query_Basedata!$AD$4</c:f>
              <c:strCache>
                <c:ptCount val="1"/>
                <c:pt idx="0">
                  <c:v>Grand Total</c:v>
                </c:pt>
              </c:strCache>
            </c:strRef>
          </c:cat>
          <c:val>
            <c:numRef>
              <c:f>Query_Basedata!$AE$4</c:f>
              <c:numCache>
                <c:formatCode>General</c:formatCode>
                <c:ptCount val="1"/>
              </c:numCache>
            </c:numRef>
          </c:val>
          <c:extLst>
            <c:ext xmlns:c16="http://schemas.microsoft.com/office/drawing/2014/chart" uri="{C3380CC4-5D6E-409C-BE32-E72D297353CC}">
              <c16:uniqueId val="{00000000-C90B-494F-8FE6-87214B92D735}"/>
            </c:ext>
          </c:extLst>
        </c:ser>
        <c:ser>
          <c:idx val="1"/>
          <c:order val="1"/>
          <c:tx>
            <c:strRef>
              <c:f>Query_Basedata!$AF$3</c:f>
              <c:strCache>
                <c:ptCount val="1"/>
                <c:pt idx="0">
                  <c:v>Sum of NCR_Opening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Query_Basedata!$AD$4</c:f>
              <c:strCache>
                <c:ptCount val="1"/>
                <c:pt idx="0">
                  <c:v>Grand Total</c:v>
                </c:pt>
              </c:strCache>
            </c:strRef>
          </c:cat>
          <c:val>
            <c:numRef>
              <c:f>Query_Basedata!$AF$4</c:f>
              <c:numCache>
                <c:formatCode>General</c:formatCode>
                <c:ptCount val="1"/>
              </c:numCache>
            </c:numRef>
          </c:val>
          <c:extLst>
            <c:ext xmlns:c16="http://schemas.microsoft.com/office/drawing/2014/chart" uri="{C3380CC4-5D6E-409C-BE32-E72D297353CC}">
              <c16:uniqueId val="{00000001-C90B-494F-8FE6-87214B92D735}"/>
            </c:ext>
          </c:extLst>
        </c:ser>
        <c:dLbls>
          <c:showLegendKey val="0"/>
          <c:showVal val="0"/>
          <c:showCatName val="0"/>
          <c:showSerName val="0"/>
          <c:showPercent val="0"/>
          <c:showBubbleSize val="0"/>
        </c:dLbls>
        <c:gapWidth val="219"/>
        <c:overlap val="100"/>
        <c:axId val="943648783"/>
        <c:axId val="943649743"/>
      </c:barChart>
      <c:lineChart>
        <c:grouping val="standard"/>
        <c:varyColors val="0"/>
        <c:ser>
          <c:idx val="2"/>
          <c:order val="2"/>
          <c:tx>
            <c:strRef>
              <c:f>Query_Basedata!$AG$3</c:f>
              <c:strCache>
                <c:ptCount val="1"/>
                <c:pt idx="0">
                  <c:v>Sum of NCR_Total2</c:v>
                </c:pt>
              </c:strCache>
            </c:strRef>
          </c:tx>
          <c:spPr>
            <a:ln w="34925" cap="rnd">
              <a:solidFill>
                <a:srgbClr val="FFC000"/>
              </a:solidFill>
              <a:round/>
            </a:ln>
            <a:effectLst>
              <a:outerShdw blurRad="57150" dist="19050" dir="5400000" algn="ctr" rotWithShape="0">
                <a:srgbClr val="000000">
                  <a:alpha val="63000"/>
                </a:srgbClr>
              </a:outerShdw>
            </a:effectLst>
          </c:spPr>
          <c:marker>
            <c:symbol val="circle"/>
            <c:size val="6"/>
            <c:spPr>
              <a:solidFill>
                <a:srgbClr val="FFC000"/>
              </a:solidFill>
              <a:ln w="9525">
                <a:no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Query_Basedata!$AD$4</c:f>
              <c:strCache>
                <c:ptCount val="1"/>
                <c:pt idx="0">
                  <c:v>Grand Total</c:v>
                </c:pt>
              </c:strCache>
            </c:strRef>
          </c:cat>
          <c:val>
            <c:numRef>
              <c:f>Query_Basedata!$AG$4</c:f>
              <c:numCache>
                <c:formatCode>0.00%</c:formatCode>
                <c:ptCount val="1"/>
              </c:numCache>
            </c:numRef>
          </c:val>
          <c:smooth val="0"/>
          <c:extLst>
            <c:ext xmlns:c16="http://schemas.microsoft.com/office/drawing/2014/chart" uri="{C3380CC4-5D6E-409C-BE32-E72D297353CC}">
              <c16:uniqueId val="{00000002-C90B-494F-8FE6-87214B92D735}"/>
            </c:ext>
          </c:extLst>
        </c:ser>
        <c:ser>
          <c:idx val="3"/>
          <c:order val="3"/>
          <c:tx>
            <c:strRef>
              <c:f>Query_Basedata!$AH$3</c:f>
              <c:strCache>
                <c:ptCount val="1"/>
                <c:pt idx="0">
                  <c:v>Sum of NCR_Total</c:v>
                </c:pt>
              </c:strCache>
            </c:strRef>
          </c:tx>
          <c:spPr>
            <a:ln w="34925" cap="rnd">
              <a:noFill/>
              <a:round/>
            </a:ln>
            <a:effectLst>
              <a:outerShdw blurRad="57150" dist="19050" dir="5400000" algn="ctr" rotWithShape="0">
                <a:srgbClr val="000000">
                  <a:alpha val="63000"/>
                </a:srgbClr>
              </a:outerShdw>
            </a:effectLst>
          </c:spPr>
          <c:marker>
            <c:symbol val="circle"/>
            <c:size val="6"/>
            <c:spPr>
              <a:noFill/>
              <a:ln w="9525">
                <a:noFill/>
                <a:round/>
              </a:ln>
              <a:effectLst>
                <a:outerShdw blurRad="57150" dist="19050" dir="5400000" algn="ctr" rotWithShape="0">
                  <a:srgbClr val="000000">
                    <a:alpha val="63000"/>
                  </a:srgbClr>
                </a:outerShdw>
              </a:effectLst>
            </c:spPr>
          </c:marker>
          <c:cat>
            <c:strRef>
              <c:f>Query_Basedata!$AD$4</c:f>
              <c:strCache>
                <c:ptCount val="1"/>
                <c:pt idx="0">
                  <c:v>Grand Total</c:v>
                </c:pt>
              </c:strCache>
            </c:strRef>
          </c:cat>
          <c:val>
            <c:numRef>
              <c:f>Query_Basedata!$AH$4</c:f>
              <c:numCache>
                <c:formatCode>General</c:formatCode>
                <c:ptCount val="1"/>
              </c:numCache>
            </c:numRef>
          </c:val>
          <c:smooth val="0"/>
          <c:extLst>
            <c:ext xmlns:c16="http://schemas.microsoft.com/office/drawing/2014/chart" uri="{C3380CC4-5D6E-409C-BE32-E72D297353CC}">
              <c16:uniqueId val="{00000007-C90B-494F-8FE6-87214B92D735}"/>
            </c:ext>
          </c:extLst>
        </c:ser>
        <c:dLbls>
          <c:showLegendKey val="0"/>
          <c:showVal val="0"/>
          <c:showCatName val="0"/>
          <c:showSerName val="0"/>
          <c:showPercent val="0"/>
          <c:showBubbleSize val="0"/>
        </c:dLbls>
        <c:marker val="1"/>
        <c:smooth val="0"/>
        <c:axId val="179826015"/>
        <c:axId val="179826975"/>
      </c:lineChart>
      <c:catAx>
        <c:axId val="94364878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43649743"/>
        <c:crosses val="autoZero"/>
        <c:auto val="1"/>
        <c:lblAlgn val="ctr"/>
        <c:lblOffset val="100"/>
        <c:noMultiLvlLbl val="0"/>
      </c:catAx>
      <c:valAx>
        <c:axId val="943649743"/>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43648783"/>
        <c:crosses val="autoZero"/>
        <c:crossBetween val="between"/>
      </c:valAx>
      <c:valAx>
        <c:axId val="179826975"/>
        <c:scaling>
          <c:orientation val="minMax"/>
          <c:max val="1"/>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9826015"/>
        <c:crosses val="max"/>
        <c:crossBetween val="between"/>
      </c:valAx>
      <c:catAx>
        <c:axId val="179826015"/>
        <c:scaling>
          <c:orientation val="minMax"/>
        </c:scaling>
        <c:delete val="1"/>
        <c:axPos val="b"/>
        <c:numFmt formatCode="General" sourceLinked="1"/>
        <c:majorTickMark val="out"/>
        <c:minorTickMark val="none"/>
        <c:tickLblPos val="nextTo"/>
        <c:crossAx val="17982697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Key Contractual Test Tracker - Status Pie Chart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5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2"/>
        <c:spPr>
          <a:solidFill>
            <a:srgbClr val="00B050"/>
          </a:solidFill>
          <a:ln w="19050">
            <a:solidFill>
              <a:schemeClr val="lt1"/>
            </a:solidFill>
          </a:ln>
          <a:effectLst/>
        </c:spPr>
      </c:pivotFmt>
      <c:pivotFmt>
        <c:idx val="3"/>
        <c:spPr>
          <a:solidFill>
            <a:srgbClr val="FFC000"/>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dLblPos val="bestFit"/>
          <c:showLegendKey val="0"/>
          <c:showVal val="1"/>
          <c:showCatName val="0"/>
          <c:showSerName val="0"/>
          <c:showPercent val="1"/>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7"/>
        <c:spPr>
          <a:solidFill>
            <a:srgbClr val="00B05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48"/>
        <c:spPr>
          <a:solidFill>
            <a:srgbClr val="FFC000"/>
          </a:solidFill>
          <a:ln w="19050">
            <a:solidFill>
              <a:schemeClr val="lt1"/>
            </a:solidFill>
          </a:ln>
          <a:effectLst/>
        </c:spPr>
      </c:pivotFmt>
      <c:pivotFmt>
        <c:idx val="49"/>
        <c:spPr>
          <a:solidFill>
            <a:srgbClr val="00B050"/>
          </a:solidFill>
          <a:ln w="19050">
            <a:solidFill>
              <a:schemeClr val="lt1"/>
            </a:solidFill>
          </a:ln>
          <a:effectLst/>
        </c:spPr>
      </c:pivotFmt>
      <c:pivotFmt>
        <c:idx val="5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51"/>
        <c:spPr>
          <a:solidFill>
            <a:srgbClr val="00B050"/>
          </a:solidFill>
          <a:ln w="19050">
            <a:solidFill>
              <a:schemeClr val="lt1"/>
            </a:solidFill>
          </a:ln>
          <a:effectLst/>
        </c:spPr>
      </c:pivotFmt>
      <c:pivotFmt>
        <c:idx val="52"/>
        <c:spPr>
          <a:solidFill>
            <a:srgbClr val="FFC000"/>
          </a:solidFill>
          <a:ln w="19050">
            <a:solidFill>
              <a:schemeClr val="lt1"/>
            </a:solidFill>
          </a:ln>
          <a:effectLst/>
        </c:spPr>
      </c:pivotFmt>
      <c:pivotFmt>
        <c:idx val="53"/>
        <c:spPr>
          <a:solidFill>
            <a:srgbClr val="92D050"/>
          </a:solidFill>
          <a:ln w="19050">
            <a:solidFill>
              <a:schemeClr val="lt1"/>
            </a:solidFill>
          </a:ln>
          <a:effectLst/>
        </c:spPr>
      </c:pivotFmt>
    </c:pivotFmts>
    <c:plotArea>
      <c:layout/>
      <c:pieChart>
        <c:varyColors val="1"/>
        <c:ser>
          <c:idx val="0"/>
          <c:order val="0"/>
          <c:tx>
            <c:v>Total</c:v>
          </c:tx>
          <c:dPt>
            <c:idx val="0"/>
            <c:bubble3D val="0"/>
            <c:spPr>
              <a:solidFill>
                <a:srgbClr val="00B050"/>
              </a:solidFill>
              <a:ln w="19050">
                <a:solidFill>
                  <a:schemeClr val="lt1"/>
                </a:solidFill>
              </a:ln>
              <a:effectLst/>
            </c:spPr>
            <c:extLst>
              <c:ext xmlns:c16="http://schemas.microsoft.com/office/drawing/2014/chart" uri="{C3380CC4-5D6E-409C-BE32-E72D297353CC}">
                <c16:uniqueId val="{00000007-67F3-43AA-8F31-487C554F6782}"/>
              </c:ext>
            </c:extLst>
          </c:dPt>
          <c:dPt>
            <c:idx val="1"/>
            <c:bubble3D val="0"/>
            <c:spPr>
              <a:solidFill>
                <a:srgbClr val="FFC000"/>
              </a:solidFill>
              <a:ln w="19050">
                <a:solidFill>
                  <a:schemeClr val="lt1"/>
                </a:solidFill>
              </a:ln>
              <a:effectLst/>
            </c:spPr>
            <c:extLst>
              <c:ext xmlns:c16="http://schemas.microsoft.com/office/drawing/2014/chart" uri="{C3380CC4-5D6E-409C-BE32-E72D297353CC}">
                <c16:uniqueId val="{00000008-67F3-43AA-8F31-487C554F6782}"/>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09-67F3-43AA-8F31-487C554F678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Accepted</c:v>
              </c:pt>
              <c:pt idx="1">
                <c:v>TBD</c:v>
              </c:pt>
              <c:pt idx="2">
                <c:v>Partially Accepted</c:v>
              </c:pt>
            </c:strLit>
          </c:cat>
          <c:val>
            <c:numLit>
              <c:formatCode>General</c:formatCode>
              <c:ptCount val="3"/>
              <c:pt idx="0">
                <c:v>13</c:v>
              </c:pt>
              <c:pt idx="1">
                <c:v>589</c:v>
              </c:pt>
              <c:pt idx="2">
                <c:v>5</c:v>
              </c:pt>
            </c:numLit>
          </c:val>
          <c:extLst>
            <c:ext xmlns:c16="http://schemas.microsoft.com/office/drawing/2014/chart" uri="{C3380CC4-5D6E-409C-BE32-E72D297353CC}">
              <c16:uniqueId val="{00000005-67F3-43AA-8F31-487C554F678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9.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418F44C-4C25-4B70-AA22-FFC4C2A55AAC}">
  <sheetPr codeName="Chart13">
    <tabColor theme="4" tint="0.59999389629810485"/>
  </sheetPr>
  <sheetViews>
    <sheetView zoomScale="11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0E2E237-4ADA-415C-9344-93E47A14E3F4}">
  <sheetPr codeName="Chart38"/>
  <sheetViews>
    <sheetView zoomScale="112"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8F58EE9-AB16-498D-A97C-06EE5A296062}">
  <sheetPr codeName="Chart39"/>
  <sheetViews>
    <sheetView zoomScale="76" workbookViewId="0" zoomToFit="1"/>
  </sheetViews>
  <pageMargins left="0.7" right="0.7" top="0.75" bottom="0.75" header="0.3" footer="0.3"/>
  <drawing r:id="rId1"/>
</chartsheet>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4.xml.rels><?xml version="1.0" encoding="UTF-8" standalone="yes"?>
<Relationships xmlns="http://schemas.openxmlformats.org/package/2006/relationships"><Relationship Id="rId1" Type="http://schemas.openxmlformats.org/officeDocument/2006/relationships/image" Target="../media/image3.emf"/></Relationships>
</file>

<file path=xl/drawings/_rels/drawing25.xml.rels><?xml version="1.0" encoding="UTF-8" standalone="yes"?>
<Relationships xmlns="http://schemas.openxmlformats.org/package/2006/relationships"><Relationship Id="rId8" Type="http://schemas.openxmlformats.org/officeDocument/2006/relationships/hyperlink" Target="#Key_Quality_Docs!A1"/><Relationship Id="rId13" Type="http://schemas.openxmlformats.org/officeDocument/2006/relationships/hyperlink" Target="#ITP_ONS_TECO!A1"/><Relationship Id="rId18" Type="http://schemas.openxmlformats.org/officeDocument/2006/relationships/hyperlink" Target="#NCR_Summary!A1"/><Relationship Id="rId26" Type="http://schemas.openxmlformats.org/officeDocument/2006/relationships/hyperlink" Target="#ITP_FOU_JKT_INT_SKOP!A1"/><Relationship Id="rId3" Type="http://schemas.openxmlformats.org/officeDocument/2006/relationships/hyperlink" Target="#Summary!A1"/><Relationship Id="rId21" Type="http://schemas.openxmlformats.org/officeDocument/2006/relationships/hyperlink" Target="#NOI_Tracker!A1"/><Relationship Id="rId7" Type="http://schemas.openxmlformats.org/officeDocument/2006/relationships/hyperlink" Target="#KCT_Pivot!A1"/><Relationship Id="rId12" Type="http://schemas.openxmlformats.org/officeDocument/2006/relationships/hyperlink" Target="#ITP_Cable_TNI_S7!A1"/><Relationship Id="rId17" Type="http://schemas.openxmlformats.org/officeDocument/2006/relationships/hyperlink" Target="#PQP!A1"/><Relationship Id="rId25" Type="http://schemas.openxmlformats.org/officeDocument/2006/relationships/hyperlink" Target="#ITP_FOU_Pin_Pile_INT_EEW!A1"/><Relationship Id="rId2" Type="http://schemas.openxmlformats.org/officeDocument/2006/relationships/hyperlink" Target="#Dashboard!A1"/><Relationship Id="rId16" Type="http://schemas.openxmlformats.org/officeDocument/2006/relationships/hyperlink" Target="#ITP_OSS_SMPTSC!A1"/><Relationship Id="rId20" Type="http://schemas.openxmlformats.org/officeDocument/2006/relationships/hyperlink" Target="#OBS_Pivot!A1"/><Relationship Id="rId29" Type="http://schemas.openxmlformats.org/officeDocument/2006/relationships/hyperlink" Target="#ITP_FOU_Pin_Pile_LOC_CSBC!A1"/><Relationship Id="rId1" Type="http://schemas.openxmlformats.org/officeDocument/2006/relationships/hyperlink" Target="#Menu!A1"/><Relationship Id="rId6" Type="http://schemas.openxmlformats.org/officeDocument/2006/relationships/hyperlink" Target="#KCT!A1"/><Relationship Id="rId11" Type="http://schemas.openxmlformats.org/officeDocument/2006/relationships/hyperlink" Target="#ITP_EXC_LSC!A1"/><Relationship Id="rId24" Type="http://schemas.openxmlformats.org/officeDocument/2006/relationships/hyperlink" Target="#ITP_FOU_JKT_LOC_CWP!A1"/><Relationship Id="rId5" Type="http://schemas.openxmlformats.org/officeDocument/2006/relationships/hyperlink" Target="#KCT_Curve!A1"/><Relationship Id="rId15" Type="http://schemas.openxmlformats.org/officeDocument/2006/relationships/hyperlink" Target="#ITP_CDWE!A1"/><Relationship Id="rId23" Type="http://schemas.openxmlformats.org/officeDocument/2006/relationships/hyperlink" Target="#Audit_Tracker!A1"/><Relationship Id="rId28" Type="http://schemas.openxmlformats.org/officeDocument/2006/relationships/hyperlink" Target="#ITP_WTG_SUP_SGRE!A1"/><Relationship Id="rId10" Type="http://schemas.openxmlformats.org/officeDocument/2006/relationships/hyperlink" Target="#ITP_IAC_Hellenic!A1"/><Relationship Id="rId19" Type="http://schemas.openxmlformats.org/officeDocument/2006/relationships/hyperlink" Target="#NCR_Pivot!A1"/><Relationship Id="rId4" Type="http://schemas.openxmlformats.org/officeDocument/2006/relationships/hyperlink" Target="#Database!A1"/><Relationship Id="rId9" Type="http://schemas.openxmlformats.org/officeDocument/2006/relationships/hyperlink" Target="#ITP_Summary!A1"/><Relationship Id="rId14" Type="http://schemas.openxmlformats.org/officeDocument/2006/relationships/hyperlink" Target="#OBS_Summary!A1"/><Relationship Id="rId22" Type="http://schemas.openxmlformats.org/officeDocument/2006/relationships/hyperlink" Target="#NOI_Pivot!A1"/><Relationship Id="rId27" Type="http://schemas.openxmlformats.org/officeDocument/2006/relationships/hyperlink" Target="#ITP_TNI_JPG_SUP_IQIP!A1"/></Relationships>
</file>

<file path=xl/drawings/_rels/drawing2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2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32.xml.rels><?xml version="1.0" encoding="UTF-8" standalone="yes"?>
<Relationships xmlns="http://schemas.openxmlformats.org/package/2006/relationships"><Relationship Id="rId8" Type="http://schemas.openxmlformats.org/officeDocument/2006/relationships/hyperlink" Target="#ITP_Summary!A1"/><Relationship Id="rId13" Type="http://schemas.openxmlformats.org/officeDocument/2006/relationships/hyperlink" Target="#OBS_Summary!A1"/><Relationship Id="rId18" Type="http://schemas.openxmlformats.org/officeDocument/2006/relationships/hyperlink" Target="#NCR_Pivot!A1"/><Relationship Id="rId26" Type="http://schemas.openxmlformats.org/officeDocument/2006/relationships/hyperlink" Target="#ITP_TNI_JPG_SUP_IQIP!A1"/><Relationship Id="rId3" Type="http://schemas.openxmlformats.org/officeDocument/2006/relationships/hyperlink" Target="#KCT_Curve!A1"/><Relationship Id="rId21" Type="http://schemas.openxmlformats.org/officeDocument/2006/relationships/hyperlink" Target="#NOI_Pivot!A1"/><Relationship Id="rId7" Type="http://schemas.openxmlformats.org/officeDocument/2006/relationships/hyperlink" Target="#Key_Quality_Docs!A1"/><Relationship Id="rId12" Type="http://schemas.openxmlformats.org/officeDocument/2006/relationships/hyperlink" Target="#ITP_ONS_TECO!A1"/><Relationship Id="rId17" Type="http://schemas.openxmlformats.org/officeDocument/2006/relationships/hyperlink" Target="#NCR_Summary!A1"/><Relationship Id="rId25" Type="http://schemas.openxmlformats.org/officeDocument/2006/relationships/hyperlink" Target="#ITP_FOU_JKT_INT_SKOP!A1"/><Relationship Id="rId2" Type="http://schemas.openxmlformats.org/officeDocument/2006/relationships/hyperlink" Target="#Dashboard!A1"/><Relationship Id="rId16" Type="http://schemas.openxmlformats.org/officeDocument/2006/relationships/hyperlink" Target="#PQP!A1"/><Relationship Id="rId20" Type="http://schemas.openxmlformats.org/officeDocument/2006/relationships/hyperlink" Target="#NOI_Tracker!A1"/><Relationship Id="rId1" Type="http://schemas.openxmlformats.org/officeDocument/2006/relationships/hyperlink" Target="#Menu!A1"/><Relationship Id="rId6" Type="http://schemas.openxmlformats.org/officeDocument/2006/relationships/hyperlink" Target="#KCT_Pivot!A1"/><Relationship Id="rId11" Type="http://schemas.openxmlformats.org/officeDocument/2006/relationships/hyperlink" Target="#ITP_Cable_TNI_S7!A1"/><Relationship Id="rId24" Type="http://schemas.openxmlformats.org/officeDocument/2006/relationships/hyperlink" Target="#ITP_FOU_Pin_Pile_INT_EEW!A1"/><Relationship Id="rId5" Type="http://schemas.openxmlformats.org/officeDocument/2006/relationships/hyperlink" Target="#KCT!A1"/><Relationship Id="rId15" Type="http://schemas.openxmlformats.org/officeDocument/2006/relationships/hyperlink" Target="#ITP_OSS_SMPTSC!A1"/><Relationship Id="rId23" Type="http://schemas.openxmlformats.org/officeDocument/2006/relationships/hyperlink" Target="#ITP_FOU_JKT_LOC_CWP!A1"/><Relationship Id="rId28" Type="http://schemas.openxmlformats.org/officeDocument/2006/relationships/hyperlink" Target="#ITP_FOU_Pin_Pile_LOC_CSBC!A1"/><Relationship Id="rId10" Type="http://schemas.openxmlformats.org/officeDocument/2006/relationships/hyperlink" Target="#ITP_EXC_LSC!A1"/><Relationship Id="rId19" Type="http://schemas.openxmlformats.org/officeDocument/2006/relationships/hyperlink" Target="#OBS_Pivot!A1"/><Relationship Id="rId4" Type="http://schemas.openxmlformats.org/officeDocument/2006/relationships/hyperlink" Target="#Database!A1"/><Relationship Id="rId9" Type="http://schemas.openxmlformats.org/officeDocument/2006/relationships/hyperlink" Target="#ITP_IAC_Hellenic!A1"/><Relationship Id="rId14" Type="http://schemas.openxmlformats.org/officeDocument/2006/relationships/hyperlink" Target="#ITP_CDWE!A1"/><Relationship Id="rId22" Type="http://schemas.openxmlformats.org/officeDocument/2006/relationships/hyperlink" Target="#Audit_Tracker!A1"/><Relationship Id="rId27" Type="http://schemas.openxmlformats.org/officeDocument/2006/relationships/hyperlink" Target="#ITP_WTG_SUP_SGRE!A1"/></Relationships>
</file>

<file path=xl/drawings/_rels/drawing33.xml.rels><?xml version="1.0" encoding="UTF-8" standalone="yes"?>
<Relationships xmlns="http://schemas.openxmlformats.org/package/2006/relationships"><Relationship Id="rId8" Type="http://schemas.openxmlformats.org/officeDocument/2006/relationships/hyperlink" Target="#Key_Quality_Docs!A1"/><Relationship Id="rId13" Type="http://schemas.openxmlformats.org/officeDocument/2006/relationships/hyperlink" Target="#ITP_ONS_TECO!A1"/><Relationship Id="rId18" Type="http://schemas.openxmlformats.org/officeDocument/2006/relationships/hyperlink" Target="#NCR_Summary!A1"/><Relationship Id="rId26" Type="http://schemas.openxmlformats.org/officeDocument/2006/relationships/hyperlink" Target="#ITP_FOU_JKT_INT_SKOP!A1"/><Relationship Id="rId3" Type="http://schemas.openxmlformats.org/officeDocument/2006/relationships/hyperlink" Target="#Summary!A1"/><Relationship Id="rId21" Type="http://schemas.openxmlformats.org/officeDocument/2006/relationships/hyperlink" Target="#NOI_Tracker!A1"/><Relationship Id="rId7" Type="http://schemas.openxmlformats.org/officeDocument/2006/relationships/hyperlink" Target="#KCT_Pivot!A1"/><Relationship Id="rId12" Type="http://schemas.openxmlformats.org/officeDocument/2006/relationships/hyperlink" Target="#ITP_Cable_TNI_S7!A1"/><Relationship Id="rId17" Type="http://schemas.openxmlformats.org/officeDocument/2006/relationships/hyperlink" Target="#PQP!A1"/><Relationship Id="rId25" Type="http://schemas.openxmlformats.org/officeDocument/2006/relationships/hyperlink" Target="#ITP_FOU_Pin_Pile_INT_EEW!A1"/><Relationship Id="rId2" Type="http://schemas.openxmlformats.org/officeDocument/2006/relationships/hyperlink" Target="#Dashboard!A1"/><Relationship Id="rId16" Type="http://schemas.openxmlformats.org/officeDocument/2006/relationships/hyperlink" Target="#ITP_OSS_SMPTSC!A1"/><Relationship Id="rId20" Type="http://schemas.openxmlformats.org/officeDocument/2006/relationships/hyperlink" Target="#OBS_Pivot!A1"/><Relationship Id="rId29" Type="http://schemas.openxmlformats.org/officeDocument/2006/relationships/hyperlink" Target="#ITP_FOU_Pin_Pile_LOC_CSBC!A1"/><Relationship Id="rId1" Type="http://schemas.openxmlformats.org/officeDocument/2006/relationships/hyperlink" Target="#Menu!A1"/><Relationship Id="rId6" Type="http://schemas.openxmlformats.org/officeDocument/2006/relationships/hyperlink" Target="#KCT!A1"/><Relationship Id="rId11" Type="http://schemas.openxmlformats.org/officeDocument/2006/relationships/hyperlink" Target="#ITP_EXC_LSC!A1"/><Relationship Id="rId24" Type="http://schemas.openxmlformats.org/officeDocument/2006/relationships/hyperlink" Target="#ITP_FOU_JKT_LOC_CWP!A1"/><Relationship Id="rId5" Type="http://schemas.openxmlformats.org/officeDocument/2006/relationships/hyperlink" Target="#KCT_Curve!A1"/><Relationship Id="rId15" Type="http://schemas.openxmlformats.org/officeDocument/2006/relationships/hyperlink" Target="#ITP_CDWE!A1"/><Relationship Id="rId23" Type="http://schemas.openxmlformats.org/officeDocument/2006/relationships/hyperlink" Target="#Audit_Tracker!A1"/><Relationship Id="rId28" Type="http://schemas.openxmlformats.org/officeDocument/2006/relationships/hyperlink" Target="#ITP_WTG_SUP_SGRE!A1"/><Relationship Id="rId10" Type="http://schemas.openxmlformats.org/officeDocument/2006/relationships/hyperlink" Target="#ITP_IAC_Hellenic!A1"/><Relationship Id="rId19" Type="http://schemas.openxmlformats.org/officeDocument/2006/relationships/hyperlink" Target="#NCR_Pivot!A1"/><Relationship Id="rId4" Type="http://schemas.openxmlformats.org/officeDocument/2006/relationships/hyperlink" Target="#Database!A1"/><Relationship Id="rId9" Type="http://schemas.openxmlformats.org/officeDocument/2006/relationships/hyperlink" Target="#ITP_Summary!A1"/><Relationship Id="rId14" Type="http://schemas.openxmlformats.org/officeDocument/2006/relationships/hyperlink" Target="#OBS_Summary!A1"/><Relationship Id="rId22" Type="http://schemas.openxmlformats.org/officeDocument/2006/relationships/hyperlink" Target="#NOI_Pivot!A1"/><Relationship Id="rId27" Type="http://schemas.openxmlformats.org/officeDocument/2006/relationships/hyperlink" Target="#ITP_TNI_JPG_SUP_IQIP!A1"/></Relationships>
</file>

<file path=xl/drawings/_rels/drawing34.xml.rels><?xml version="1.0" encoding="UTF-8" standalone="yes"?>
<Relationships xmlns="http://schemas.openxmlformats.org/package/2006/relationships"><Relationship Id="rId8" Type="http://schemas.openxmlformats.org/officeDocument/2006/relationships/hyperlink" Target="#Key_Quality_Docs!A1"/><Relationship Id="rId13" Type="http://schemas.openxmlformats.org/officeDocument/2006/relationships/hyperlink" Target="#ITP_ONS_TECO!A1"/><Relationship Id="rId18" Type="http://schemas.openxmlformats.org/officeDocument/2006/relationships/hyperlink" Target="#NCR_Summary!A1"/><Relationship Id="rId26" Type="http://schemas.openxmlformats.org/officeDocument/2006/relationships/hyperlink" Target="#ITP_FOU_JKT_INT_SKOP!A1"/><Relationship Id="rId3" Type="http://schemas.openxmlformats.org/officeDocument/2006/relationships/hyperlink" Target="#Summary!A1"/><Relationship Id="rId21" Type="http://schemas.openxmlformats.org/officeDocument/2006/relationships/hyperlink" Target="#NOI_Tracker!A1"/><Relationship Id="rId7" Type="http://schemas.openxmlformats.org/officeDocument/2006/relationships/hyperlink" Target="#KCT_Pivot!A1"/><Relationship Id="rId12" Type="http://schemas.openxmlformats.org/officeDocument/2006/relationships/hyperlink" Target="#ITP_Cable_TNI_S7!A1"/><Relationship Id="rId17" Type="http://schemas.openxmlformats.org/officeDocument/2006/relationships/hyperlink" Target="#PQP!A1"/><Relationship Id="rId25" Type="http://schemas.openxmlformats.org/officeDocument/2006/relationships/hyperlink" Target="#ITP_FOU_Pin_Pile_INT_EEW!A1"/><Relationship Id="rId2" Type="http://schemas.openxmlformats.org/officeDocument/2006/relationships/hyperlink" Target="#Dashboard!A1"/><Relationship Id="rId16" Type="http://schemas.openxmlformats.org/officeDocument/2006/relationships/hyperlink" Target="#ITP_OSS_SMPTSC!A1"/><Relationship Id="rId20" Type="http://schemas.openxmlformats.org/officeDocument/2006/relationships/hyperlink" Target="#OBS_Pivot!A1"/><Relationship Id="rId29" Type="http://schemas.openxmlformats.org/officeDocument/2006/relationships/hyperlink" Target="#ITP_FOU_Pin_Pile_LOC_CSBC!A1"/><Relationship Id="rId1" Type="http://schemas.openxmlformats.org/officeDocument/2006/relationships/hyperlink" Target="#Menu!A1"/><Relationship Id="rId6" Type="http://schemas.openxmlformats.org/officeDocument/2006/relationships/hyperlink" Target="#KCT!A1"/><Relationship Id="rId11" Type="http://schemas.openxmlformats.org/officeDocument/2006/relationships/hyperlink" Target="#ITP_EXC_LSC!A1"/><Relationship Id="rId24" Type="http://schemas.openxmlformats.org/officeDocument/2006/relationships/hyperlink" Target="#ITP_FOU_JKT_LOC_CWP!A1"/><Relationship Id="rId5" Type="http://schemas.openxmlformats.org/officeDocument/2006/relationships/hyperlink" Target="#KCT_Curve!A1"/><Relationship Id="rId15" Type="http://schemas.openxmlformats.org/officeDocument/2006/relationships/hyperlink" Target="#ITP_CDWE!A1"/><Relationship Id="rId23" Type="http://schemas.openxmlformats.org/officeDocument/2006/relationships/hyperlink" Target="#Audit_Tracker!A1"/><Relationship Id="rId28" Type="http://schemas.openxmlformats.org/officeDocument/2006/relationships/hyperlink" Target="#ITP_WTG_SUP_SGRE!A1"/><Relationship Id="rId10" Type="http://schemas.openxmlformats.org/officeDocument/2006/relationships/hyperlink" Target="#ITP_IAC_Hellenic!A1"/><Relationship Id="rId19" Type="http://schemas.openxmlformats.org/officeDocument/2006/relationships/hyperlink" Target="#NCR_Pivot!A1"/><Relationship Id="rId4" Type="http://schemas.openxmlformats.org/officeDocument/2006/relationships/hyperlink" Target="#Database!A1"/><Relationship Id="rId9" Type="http://schemas.openxmlformats.org/officeDocument/2006/relationships/hyperlink" Target="#ITP_Summary!A1"/><Relationship Id="rId14" Type="http://schemas.openxmlformats.org/officeDocument/2006/relationships/hyperlink" Target="#OBS_Summary!A1"/><Relationship Id="rId22" Type="http://schemas.openxmlformats.org/officeDocument/2006/relationships/hyperlink" Target="#NOI_Pivot!A1"/><Relationship Id="rId27" Type="http://schemas.openxmlformats.org/officeDocument/2006/relationships/hyperlink" Target="#ITP_TNI_JPG_SUP_IQIP!A1"/></Relationships>
</file>

<file path=xl/drawings/_rels/drawing35.xml.rels><?xml version="1.0" encoding="UTF-8" standalone="yes"?>
<Relationships xmlns="http://schemas.openxmlformats.org/package/2006/relationships"><Relationship Id="rId8" Type="http://schemas.openxmlformats.org/officeDocument/2006/relationships/hyperlink" Target="#ITP_Summary!A1"/><Relationship Id="rId13" Type="http://schemas.openxmlformats.org/officeDocument/2006/relationships/hyperlink" Target="#OBS_Summary!A1"/><Relationship Id="rId18" Type="http://schemas.openxmlformats.org/officeDocument/2006/relationships/hyperlink" Target="#NCR_Pivot!A1"/><Relationship Id="rId26" Type="http://schemas.openxmlformats.org/officeDocument/2006/relationships/hyperlink" Target="#ITP_TNI_JPG_SUP_IQIP!A1"/><Relationship Id="rId3" Type="http://schemas.openxmlformats.org/officeDocument/2006/relationships/hyperlink" Target="#KCT_Curve!A1"/><Relationship Id="rId21" Type="http://schemas.openxmlformats.org/officeDocument/2006/relationships/hyperlink" Target="#NOI_Pivot!A1"/><Relationship Id="rId7" Type="http://schemas.openxmlformats.org/officeDocument/2006/relationships/hyperlink" Target="#Key_Quality_Docs!A1"/><Relationship Id="rId12" Type="http://schemas.openxmlformats.org/officeDocument/2006/relationships/hyperlink" Target="#ITP_ONS_TECO!A1"/><Relationship Id="rId17" Type="http://schemas.openxmlformats.org/officeDocument/2006/relationships/hyperlink" Target="#NCR_Summary!A1"/><Relationship Id="rId25" Type="http://schemas.openxmlformats.org/officeDocument/2006/relationships/hyperlink" Target="#ITP_FOU_JKT_INT_SKOP!A1"/><Relationship Id="rId2" Type="http://schemas.openxmlformats.org/officeDocument/2006/relationships/hyperlink" Target="#Dashboard!A1"/><Relationship Id="rId16" Type="http://schemas.openxmlformats.org/officeDocument/2006/relationships/hyperlink" Target="#PQP!A1"/><Relationship Id="rId20" Type="http://schemas.openxmlformats.org/officeDocument/2006/relationships/hyperlink" Target="#NOI_Tracker!A1"/><Relationship Id="rId1" Type="http://schemas.openxmlformats.org/officeDocument/2006/relationships/hyperlink" Target="#Menu!A1"/><Relationship Id="rId6" Type="http://schemas.openxmlformats.org/officeDocument/2006/relationships/hyperlink" Target="#KCT_Pivot!A1"/><Relationship Id="rId11" Type="http://schemas.openxmlformats.org/officeDocument/2006/relationships/hyperlink" Target="#ITP_Cable_TNI_S7!A1"/><Relationship Id="rId24" Type="http://schemas.openxmlformats.org/officeDocument/2006/relationships/hyperlink" Target="#ITP_FOU_Pin_Pile_INT_EEW!A1"/><Relationship Id="rId5" Type="http://schemas.openxmlformats.org/officeDocument/2006/relationships/hyperlink" Target="#KCT!A1"/><Relationship Id="rId15" Type="http://schemas.openxmlformats.org/officeDocument/2006/relationships/hyperlink" Target="#ITP_OSS_SMPTSC!A1"/><Relationship Id="rId23" Type="http://schemas.openxmlformats.org/officeDocument/2006/relationships/hyperlink" Target="#ITP_FOU_JKT_LOC_CWP!A1"/><Relationship Id="rId28" Type="http://schemas.openxmlformats.org/officeDocument/2006/relationships/hyperlink" Target="#ITP_FOU_Pin_Pile_LOC_CSBC!A1"/><Relationship Id="rId10" Type="http://schemas.openxmlformats.org/officeDocument/2006/relationships/hyperlink" Target="#ITP_EXC_LSC!A1"/><Relationship Id="rId19" Type="http://schemas.openxmlformats.org/officeDocument/2006/relationships/hyperlink" Target="#OBS_Pivot!A1"/><Relationship Id="rId4" Type="http://schemas.openxmlformats.org/officeDocument/2006/relationships/hyperlink" Target="#Database!A1"/><Relationship Id="rId9" Type="http://schemas.openxmlformats.org/officeDocument/2006/relationships/hyperlink" Target="#ITP_IAC_Hellenic!A1"/><Relationship Id="rId14" Type="http://schemas.openxmlformats.org/officeDocument/2006/relationships/hyperlink" Target="#ITP_CDWE!A1"/><Relationship Id="rId22" Type="http://schemas.openxmlformats.org/officeDocument/2006/relationships/hyperlink" Target="#Audit_Tracker!A1"/><Relationship Id="rId27" Type="http://schemas.openxmlformats.org/officeDocument/2006/relationships/hyperlink" Target="#ITP_WTG_SUP_SGRE!A1"/></Relationships>
</file>

<file path=xl/drawings/_rels/drawing36.xml.rels><?xml version="1.0" encoding="UTF-8" standalone="yes"?>
<Relationships xmlns="http://schemas.openxmlformats.org/package/2006/relationships"><Relationship Id="rId8" Type="http://schemas.openxmlformats.org/officeDocument/2006/relationships/hyperlink" Target="#ITP_Summary!A1"/><Relationship Id="rId13" Type="http://schemas.openxmlformats.org/officeDocument/2006/relationships/hyperlink" Target="#OBS_Summary!A1"/><Relationship Id="rId18" Type="http://schemas.openxmlformats.org/officeDocument/2006/relationships/hyperlink" Target="#NCR_Pivot!A1"/><Relationship Id="rId26" Type="http://schemas.openxmlformats.org/officeDocument/2006/relationships/hyperlink" Target="#ITP_TNI_JPG_SUP_IQIP!A1"/><Relationship Id="rId3" Type="http://schemas.openxmlformats.org/officeDocument/2006/relationships/hyperlink" Target="#KCT_Curve!A1"/><Relationship Id="rId21" Type="http://schemas.openxmlformats.org/officeDocument/2006/relationships/hyperlink" Target="#NOI_Pivot!A1"/><Relationship Id="rId7" Type="http://schemas.openxmlformats.org/officeDocument/2006/relationships/hyperlink" Target="#Key_Quality_Docs!A1"/><Relationship Id="rId12" Type="http://schemas.openxmlformats.org/officeDocument/2006/relationships/hyperlink" Target="#ITP_ONS_TECO!A1"/><Relationship Id="rId17" Type="http://schemas.openxmlformats.org/officeDocument/2006/relationships/hyperlink" Target="#NCR_Summary!A1"/><Relationship Id="rId25" Type="http://schemas.openxmlformats.org/officeDocument/2006/relationships/hyperlink" Target="#ITP_FOU_JKT_INT_SKOP!A1"/><Relationship Id="rId2" Type="http://schemas.openxmlformats.org/officeDocument/2006/relationships/hyperlink" Target="#Dashboard!A1"/><Relationship Id="rId16" Type="http://schemas.openxmlformats.org/officeDocument/2006/relationships/hyperlink" Target="#PQP!A1"/><Relationship Id="rId20" Type="http://schemas.openxmlformats.org/officeDocument/2006/relationships/hyperlink" Target="#NOI_Tracker!A1"/><Relationship Id="rId1" Type="http://schemas.openxmlformats.org/officeDocument/2006/relationships/hyperlink" Target="#Menu!A1"/><Relationship Id="rId6" Type="http://schemas.openxmlformats.org/officeDocument/2006/relationships/hyperlink" Target="#KCT_Pivot!A1"/><Relationship Id="rId11" Type="http://schemas.openxmlformats.org/officeDocument/2006/relationships/hyperlink" Target="#ITP_Cable_TNI_S7!A1"/><Relationship Id="rId24" Type="http://schemas.openxmlformats.org/officeDocument/2006/relationships/hyperlink" Target="#ITP_FOU_Pin_Pile_INT_EEW!A1"/><Relationship Id="rId5" Type="http://schemas.openxmlformats.org/officeDocument/2006/relationships/hyperlink" Target="#KCT!A1"/><Relationship Id="rId15" Type="http://schemas.openxmlformats.org/officeDocument/2006/relationships/hyperlink" Target="#ITP_OSS_SMPTSC!A1"/><Relationship Id="rId23" Type="http://schemas.openxmlformats.org/officeDocument/2006/relationships/hyperlink" Target="#ITP_FOU_JKT_LOC_CWP!A1"/><Relationship Id="rId28" Type="http://schemas.openxmlformats.org/officeDocument/2006/relationships/hyperlink" Target="#ITP_FOU_Pin_Pile_LOC_CSBC!A1"/><Relationship Id="rId10" Type="http://schemas.openxmlformats.org/officeDocument/2006/relationships/hyperlink" Target="#ITP_EXC_LSC!A1"/><Relationship Id="rId19" Type="http://schemas.openxmlformats.org/officeDocument/2006/relationships/hyperlink" Target="#OBS_Pivot!A1"/><Relationship Id="rId4" Type="http://schemas.openxmlformats.org/officeDocument/2006/relationships/hyperlink" Target="#Database!A1"/><Relationship Id="rId9" Type="http://schemas.openxmlformats.org/officeDocument/2006/relationships/hyperlink" Target="#ITP_IAC_Hellenic!A1"/><Relationship Id="rId14" Type="http://schemas.openxmlformats.org/officeDocument/2006/relationships/hyperlink" Target="#ITP_CDWE!A1"/><Relationship Id="rId22" Type="http://schemas.openxmlformats.org/officeDocument/2006/relationships/hyperlink" Target="#Audit_Tracker!A1"/><Relationship Id="rId27" Type="http://schemas.openxmlformats.org/officeDocument/2006/relationships/hyperlink" Target="#ITP_WTG_SUP_SGRE!A1"/></Relationships>
</file>

<file path=xl/drawings/_rels/drawing37.xml.rels><?xml version="1.0" encoding="UTF-8" standalone="yes"?>
<Relationships xmlns="http://schemas.openxmlformats.org/package/2006/relationships"><Relationship Id="rId8" Type="http://schemas.openxmlformats.org/officeDocument/2006/relationships/hyperlink" Target="#ITP_Summary!A1"/><Relationship Id="rId13" Type="http://schemas.openxmlformats.org/officeDocument/2006/relationships/hyperlink" Target="#OBS_Summary!A1"/><Relationship Id="rId18" Type="http://schemas.openxmlformats.org/officeDocument/2006/relationships/hyperlink" Target="#NCR_Pivot!A1"/><Relationship Id="rId26" Type="http://schemas.openxmlformats.org/officeDocument/2006/relationships/hyperlink" Target="#ITP_TNI_JPG_SUP_IQIP!A1"/><Relationship Id="rId3" Type="http://schemas.openxmlformats.org/officeDocument/2006/relationships/hyperlink" Target="#KCT_Curve!A1"/><Relationship Id="rId21" Type="http://schemas.openxmlformats.org/officeDocument/2006/relationships/hyperlink" Target="#NOI_Pivot!A1"/><Relationship Id="rId7" Type="http://schemas.openxmlformats.org/officeDocument/2006/relationships/hyperlink" Target="#Key_Quality_Docs!A1"/><Relationship Id="rId12" Type="http://schemas.openxmlformats.org/officeDocument/2006/relationships/hyperlink" Target="#ITP_ONS_TECO!A1"/><Relationship Id="rId17" Type="http://schemas.openxmlformats.org/officeDocument/2006/relationships/hyperlink" Target="#NCR_Summary!A1"/><Relationship Id="rId25" Type="http://schemas.openxmlformats.org/officeDocument/2006/relationships/hyperlink" Target="#ITP_FOU_JKT_INT_SKOP!A1"/><Relationship Id="rId2" Type="http://schemas.openxmlformats.org/officeDocument/2006/relationships/hyperlink" Target="#Dashboard!A1"/><Relationship Id="rId16" Type="http://schemas.openxmlformats.org/officeDocument/2006/relationships/hyperlink" Target="#PQP!A1"/><Relationship Id="rId20" Type="http://schemas.openxmlformats.org/officeDocument/2006/relationships/hyperlink" Target="#NOI_Tracker!A1"/><Relationship Id="rId1" Type="http://schemas.openxmlformats.org/officeDocument/2006/relationships/hyperlink" Target="#Menu!A1"/><Relationship Id="rId6" Type="http://schemas.openxmlformats.org/officeDocument/2006/relationships/hyperlink" Target="#KCT_Pivot!A1"/><Relationship Id="rId11" Type="http://schemas.openxmlformats.org/officeDocument/2006/relationships/hyperlink" Target="#ITP_Cable_TNI_S7!A1"/><Relationship Id="rId24" Type="http://schemas.openxmlformats.org/officeDocument/2006/relationships/hyperlink" Target="#ITP_FOU_Pin_Pile_INT_EEW!A1"/><Relationship Id="rId5" Type="http://schemas.openxmlformats.org/officeDocument/2006/relationships/hyperlink" Target="#KCT!A1"/><Relationship Id="rId15" Type="http://schemas.openxmlformats.org/officeDocument/2006/relationships/hyperlink" Target="#ITP_OSS_SMPTSC!A1"/><Relationship Id="rId23" Type="http://schemas.openxmlformats.org/officeDocument/2006/relationships/hyperlink" Target="#ITP_FOU_JKT_LOC_CWP!A1"/><Relationship Id="rId28" Type="http://schemas.openxmlformats.org/officeDocument/2006/relationships/hyperlink" Target="#ITP_FOU_Pin_Pile_LOC_CSBC!A1"/><Relationship Id="rId10" Type="http://schemas.openxmlformats.org/officeDocument/2006/relationships/hyperlink" Target="#ITP_EXC_LSC!A1"/><Relationship Id="rId19" Type="http://schemas.openxmlformats.org/officeDocument/2006/relationships/hyperlink" Target="#OBS_Pivot!A1"/><Relationship Id="rId4" Type="http://schemas.openxmlformats.org/officeDocument/2006/relationships/hyperlink" Target="#Database!A1"/><Relationship Id="rId9" Type="http://schemas.openxmlformats.org/officeDocument/2006/relationships/hyperlink" Target="#ITP_IAC_Hellenic!A1"/><Relationship Id="rId14" Type="http://schemas.openxmlformats.org/officeDocument/2006/relationships/hyperlink" Target="#ITP_CDWE!A1"/><Relationship Id="rId22" Type="http://schemas.openxmlformats.org/officeDocument/2006/relationships/hyperlink" Target="#Audit_Tracker!A1"/><Relationship Id="rId27" Type="http://schemas.openxmlformats.org/officeDocument/2006/relationships/hyperlink" Target="#ITP_WTG_SUP_SGRE!A1"/></Relationships>
</file>

<file path=xl/drawings/_rels/drawing38.xml.rels><?xml version="1.0" encoding="UTF-8" standalone="yes"?>
<Relationships xmlns="http://schemas.openxmlformats.org/package/2006/relationships"><Relationship Id="rId8" Type="http://schemas.openxmlformats.org/officeDocument/2006/relationships/hyperlink" Target="#ITP_Summary!A1"/><Relationship Id="rId13" Type="http://schemas.openxmlformats.org/officeDocument/2006/relationships/hyperlink" Target="#OBS_Summary!A1"/><Relationship Id="rId18" Type="http://schemas.openxmlformats.org/officeDocument/2006/relationships/hyperlink" Target="#NCR_Pivot!A1"/><Relationship Id="rId26" Type="http://schemas.openxmlformats.org/officeDocument/2006/relationships/hyperlink" Target="#ITP_TNI_JPG_SUP_IQIP!A1"/><Relationship Id="rId3" Type="http://schemas.openxmlformats.org/officeDocument/2006/relationships/hyperlink" Target="#KCT_Curve!A1"/><Relationship Id="rId21" Type="http://schemas.openxmlformats.org/officeDocument/2006/relationships/hyperlink" Target="#NOI_Pivot!A1"/><Relationship Id="rId7" Type="http://schemas.openxmlformats.org/officeDocument/2006/relationships/hyperlink" Target="#Key_Quality_Docs!A1"/><Relationship Id="rId12" Type="http://schemas.openxmlformats.org/officeDocument/2006/relationships/hyperlink" Target="#ITP_ONS_TECO!A1"/><Relationship Id="rId17" Type="http://schemas.openxmlformats.org/officeDocument/2006/relationships/hyperlink" Target="#NCR_Summary!A1"/><Relationship Id="rId25" Type="http://schemas.openxmlformats.org/officeDocument/2006/relationships/hyperlink" Target="#ITP_FOU_JKT_INT_SKOP!A1"/><Relationship Id="rId2" Type="http://schemas.openxmlformats.org/officeDocument/2006/relationships/hyperlink" Target="#Dashboard!A1"/><Relationship Id="rId16" Type="http://schemas.openxmlformats.org/officeDocument/2006/relationships/hyperlink" Target="#PQP!A1"/><Relationship Id="rId20" Type="http://schemas.openxmlformats.org/officeDocument/2006/relationships/hyperlink" Target="#NOI_Tracker!A1"/><Relationship Id="rId1" Type="http://schemas.openxmlformats.org/officeDocument/2006/relationships/hyperlink" Target="#Menu!A1"/><Relationship Id="rId6" Type="http://schemas.openxmlformats.org/officeDocument/2006/relationships/hyperlink" Target="#KCT_Pivot!A1"/><Relationship Id="rId11" Type="http://schemas.openxmlformats.org/officeDocument/2006/relationships/hyperlink" Target="#ITP_Cable_TNI_S7!A1"/><Relationship Id="rId24" Type="http://schemas.openxmlformats.org/officeDocument/2006/relationships/hyperlink" Target="#ITP_FOU_Pin_Pile_INT_EEW!A1"/><Relationship Id="rId5" Type="http://schemas.openxmlformats.org/officeDocument/2006/relationships/hyperlink" Target="#KCT!A1"/><Relationship Id="rId15" Type="http://schemas.openxmlformats.org/officeDocument/2006/relationships/hyperlink" Target="#ITP_OSS_SMPTSC!A1"/><Relationship Id="rId23" Type="http://schemas.openxmlformats.org/officeDocument/2006/relationships/hyperlink" Target="#ITP_FOU_JKT_LOC_CWP!A1"/><Relationship Id="rId28" Type="http://schemas.openxmlformats.org/officeDocument/2006/relationships/hyperlink" Target="#ITP_FOU_Pin_Pile_LOC_CSBC!A1"/><Relationship Id="rId10" Type="http://schemas.openxmlformats.org/officeDocument/2006/relationships/hyperlink" Target="#ITP_EXC_LSC!A1"/><Relationship Id="rId19" Type="http://schemas.openxmlformats.org/officeDocument/2006/relationships/hyperlink" Target="#OBS_Pivot!A1"/><Relationship Id="rId4" Type="http://schemas.openxmlformats.org/officeDocument/2006/relationships/hyperlink" Target="#Database!A1"/><Relationship Id="rId9" Type="http://schemas.openxmlformats.org/officeDocument/2006/relationships/hyperlink" Target="#ITP_IAC_Hellenic!A1"/><Relationship Id="rId14" Type="http://schemas.openxmlformats.org/officeDocument/2006/relationships/hyperlink" Target="#ITP_CDWE!A1"/><Relationship Id="rId22" Type="http://schemas.openxmlformats.org/officeDocument/2006/relationships/hyperlink" Target="#Audit_Tracker!A1"/><Relationship Id="rId27" Type="http://schemas.openxmlformats.org/officeDocument/2006/relationships/hyperlink" Target="#ITP_WTG_SUP_SGRE!A1"/></Relationships>
</file>

<file path=xl/drawings/_rels/drawing40.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w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7</xdr:col>
      <xdr:colOff>438150</xdr:colOff>
      <xdr:row>14</xdr:row>
      <xdr:rowOff>2390775</xdr:rowOff>
    </xdr:from>
    <xdr:to>
      <xdr:col>7</xdr:col>
      <xdr:colOff>904875</xdr:colOff>
      <xdr:row>14</xdr:row>
      <xdr:rowOff>2657475</xdr:rowOff>
    </xdr:to>
    <xdr:sp macro="" textlink="">
      <xdr:nvSpPr>
        <xdr:cNvPr id="2" name="Right Arrow 36">
          <a:extLst>
            <a:ext uri="{FF2B5EF4-FFF2-40B4-BE49-F238E27FC236}">
              <a16:creationId xmlns:a16="http://schemas.microsoft.com/office/drawing/2014/main" id="{FA9F70D4-297C-455C-8B0C-5E3056EBB057}"/>
            </a:ext>
            <a:ext uri="{147F2762-F138-4A5C-976F-8EAC2B608ADB}">
              <a16:predDERef xmlns:a16="http://schemas.microsoft.com/office/drawing/2014/main" pred="{862CE99F-69ED-45FF-93DF-78118E8E6C2D}"/>
            </a:ext>
          </a:extLst>
        </xdr:cNvPr>
        <xdr:cNvSpPr/>
      </xdr:nvSpPr>
      <xdr:spPr>
        <a:xfrm rot="2675451">
          <a:off x="45319950" y="20875625"/>
          <a:ext cx="463550" cy="266700"/>
        </a:xfrm>
        <a:prstGeom prst="right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485775</xdr:colOff>
      <xdr:row>5</xdr:row>
      <xdr:rowOff>2533650</xdr:rowOff>
    </xdr:from>
    <xdr:to>
      <xdr:col>7</xdr:col>
      <xdr:colOff>949325</xdr:colOff>
      <xdr:row>5</xdr:row>
      <xdr:rowOff>2800350</xdr:rowOff>
    </xdr:to>
    <xdr:sp macro="" textlink="">
      <xdr:nvSpPr>
        <xdr:cNvPr id="3" name="Right Arrow 37">
          <a:extLst>
            <a:ext uri="{FF2B5EF4-FFF2-40B4-BE49-F238E27FC236}">
              <a16:creationId xmlns:a16="http://schemas.microsoft.com/office/drawing/2014/main" id="{11E812AE-96C2-4F8B-B108-6ADA55E98C79}"/>
            </a:ext>
            <a:ext uri="{147F2762-F138-4A5C-976F-8EAC2B608ADB}">
              <a16:predDERef xmlns:a16="http://schemas.microsoft.com/office/drawing/2014/main" pred="{3DB18E62-9870-493F-B05C-7C9ED28A0A22}"/>
            </a:ext>
          </a:extLst>
        </xdr:cNvPr>
        <xdr:cNvSpPr/>
      </xdr:nvSpPr>
      <xdr:spPr>
        <a:xfrm rot="2675451">
          <a:off x="45364400" y="11391900"/>
          <a:ext cx="466725" cy="266700"/>
        </a:xfrm>
        <a:prstGeom prst="right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444583</xdr:colOff>
      <xdr:row>1</xdr:row>
      <xdr:rowOff>904874</xdr:rowOff>
    </xdr:from>
    <xdr:to>
      <xdr:col>7</xdr:col>
      <xdr:colOff>911308</xdr:colOff>
      <xdr:row>1</xdr:row>
      <xdr:rowOff>1182369</xdr:rowOff>
    </xdr:to>
    <xdr:sp macro="" textlink="">
      <xdr:nvSpPr>
        <xdr:cNvPr id="4" name="Right Arrow 38">
          <a:extLst>
            <a:ext uri="{FF2B5EF4-FFF2-40B4-BE49-F238E27FC236}">
              <a16:creationId xmlns:a16="http://schemas.microsoft.com/office/drawing/2014/main" id="{EEB7BE8D-7B91-413F-A87C-9E530A990B07}"/>
            </a:ext>
            <a:ext uri="{147F2762-F138-4A5C-976F-8EAC2B608ADB}">
              <a16:predDERef xmlns:a16="http://schemas.microsoft.com/office/drawing/2014/main" pred="{9BDC70B2-F3C9-44A8-887D-431487F4D6AC}"/>
            </a:ext>
          </a:extLst>
        </xdr:cNvPr>
        <xdr:cNvSpPr/>
      </xdr:nvSpPr>
      <xdr:spPr>
        <a:xfrm rot="53241">
          <a:off x="45329558" y="1450974"/>
          <a:ext cx="463550" cy="27432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marL="0" indent="0" algn="l"/>
          <a:endParaRPr lang="en-US" sz="1100">
            <a:solidFill>
              <a:schemeClr val="lt1"/>
            </a:solidFill>
            <a:latin typeface="+mn-lt"/>
            <a:ea typeface="+mn-lt"/>
            <a:cs typeface="+mn-lt"/>
          </a:endParaRPr>
        </a:p>
      </xdr:txBody>
    </xdr:sp>
    <xdr:clientData/>
  </xdr:twoCellAnchor>
  <xdr:twoCellAnchor>
    <xdr:from>
      <xdr:col>7</xdr:col>
      <xdr:colOff>444534</xdr:colOff>
      <xdr:row>2</xdr:row>
      <xdr:rowOff>393698</xdr:rowOff>
    </xdr:from>
    <xdr:to>
      <xdr:col>7</xdr:col>
      <xdr:colOff>911259</xdr:colOff>
      <xdr:row>2</xdr:row>
      <xdr:rowOff>664843</xdr:rowOff>
    </xdr:to>
    <xdr:sp macro="" textlink="">
      <xdr:nvSpPr>
        <xdr:cNvPr id="5" name="Right Arrow 1">
          <a:extLst>
            <a:ext uri="{FF2B5EF4-FFF2-40B4-BE49-F238E27FC236}">
              <a16:creationId xmlns:a16="http://schemas.microsoft.com/office/drawing/2014/main" id="{C2C2539F-9E72-45BA-8365-8459DCC9D8A9}"/>
            </a:ext>
            <a:ext uri="{147F2762-F138-4A5C-976F-8EAC2B608ADB}">
              <a16:predDERef xmlns:a16="http://schemas.microsoft.com/office/drawing/2014/main" pred="{84B80236-0EA7-4DC7-AF72-27CD040D7FCB}"/>
            </a:ext>
          </a:extLst>
        </xdr:cNvPr>
        <xdr:cNvSpPr/>
      </xdr:nvSpPr>
      <xdr:spPr>
        <a:xfrm rot="53241">
          <a:off x="45329509" y="2571748"/>
          <a:ext cx="463550" cy="27432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444500</xdr:colOff>
      <xdr:row>3</xdr:row>
      <xdr:rowOff>1111250</xdr:rowOff>
    </xdr:from>
    <xdr:to>
      <xdr:col>7</xdr:col>
      <xdr:colOff>911225</xdr:colOff>
      <xdr:row>3</xdr:row>
      <xdr:rowOff>1377950</xdr:rowOff>
    </xdr:to>
    <xdr:sp macro="" textlink="">
      <xdr:nvSpPr>
        <xdr:cNvPr id="6" name="Right Arrow 45">
          <a:extLst>
            <a:ext uri="{FF2B5EF4-FFF2-40B4-BE49-F238E27FC236}">
              <a16:creationId xmlns:a16="http://schemas.microsoft.com/office/drawing/2014/main" id="{A01AAB7E-B069-4082-9833-0E9F83C64B5C}"/>
            </a:ext>
            <a:ext uri="{147F2762-F138-4A5C-976F-8EAC2B608ADB}">
              <a16:predDERef xmlns:a16="http://schemas.microsoft.com/office/drawing/2014/main" pred="{7A892512-3FCA-48F1-B1AF-68CE75ACC5BE}"/>
            </a:ext>
          </a:extLst>
        </xdr:cNvPr>
        <xdr:cNvSpPr/>
      </xdr:nvSpPr>
      <xdr:spPr>
        <a:xfrm rot="53241">
          <a:off x="45329475" y="4295775"/>
          <a:ext cx="463550" cy="26670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444500</xdr:colOff>
      <xdr:row>4</xdr:row>
      <xdr:rowOff>409575</xdr:rowOff>
    </xdr:from>
    <xdr:to>
      <xdr:col>7</xdr:col>
      <xdr:colOff>911225</xdr:colOff>
      <xdr:row>4</xdr:row>
      <xdr:rowOff>676275</xdr:rowOff>
    </xdr:to>
    <xdr:sp macro="" textlink="">
      <xdr:nvSpPr>
        <xdr:cNvPr id="7" name="Right Arrow 46">
          <a:extLst>
            <a:ext uri="{FF2B5EF4-FFF2-40B4-BE49-F238E27FC236}">
              <a16:creationId xmlns:a16="http://schemas.microsoft.com/office/drawing/2014/main" id="{08D93F5F-8FCB-4D35-A370-B230DAEB4D1C}"/>
            </a:ext>
            <a:ext uri="{147F2762-F138-4A5C-976F-8EAC2B608ADB}">
              <a16:predDERef xmlns:a16="http://schemas.microsoft.com/office/drawing/2014/main" pred="{544FBE2C-523C-4017-8D26-0A770832CF97}"/>
            </a:ext>
          </a:extLst>
        </xdr:cNvPr>
        <xdr:cNvSpPr/>
      </xdr:nvSpPr>
      <xdr:spPr>
        <a:xfrm rot="53241">
          <a:off x="45329475" y="5302250"/>
          <a:ext cx="463550" cy="26670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444509</xdr:colOff>
      <xdr:row>13</xdr:row>
      <xdr:rowOff>66675</xdr:rowOff>
    </xdr:from>
    <xdr:to>
      <xdr:col>7</xdr:col>
      <xdr:colOff>911234</xdr:colOff>
      <xdr:row>13</xdr:row>
      <xdr:rowOff>334645</xdr:rowOff>
    </xdr:to>
    <xdr:sp macro="" textlink="">
      <xdr:nvSpPr>
        <xdr:cNvPr id="8" name="Right Arrow 7">
          <a:extLst>
            <a:ext uri="{FF2B5EF4-FFF2-40B4-BE49-F238E27FC236}">
              <a16:creationId xmlns:a16="http://schemas.microsoft.com/office/drawing/2014/main" id="{D950773C-2E6F-45A1-88D8-170BEED2CCCE}"/>
            </a:ext>
            <a:ext uri="{147F2762-F138-4A5C-976F-8EAC2B608ADB}">
              <a16:predDERef xmlns:a16="http://schemas.microsoft.com/office/drawing/2014/main" pred="{BAC15E5E-EA79-4BA4-A260-EE522ECEDCAC}"/>
            </a:ext>
          </a:extLst>
        </xdr:cNvPr>
        <xdr:cNvSpPr/>
      </xdr:nvSpPr>
      <xdr:spPr>
        <a:xfrm rot="53241">
          <a:off x="45329484" y="17951450"/>
          <a:ext cx="463550" cy="26797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444534</xdr:colOff>
      <xdr:row>11</xdr:row>
      <xdr:rowOff>88896</xdr:rowOff>
    </xdr:from>
    <xdr:to>
      <xdr:col>7</xdr:col>
      <xdr:colOff>914434</xdr:colOff>
      <xdr:row>11</xdr:row>
      <xdr:rowOff>360041</xdr:rowOff>
    </xdr:to>
    <xdr:sp macro="" textlink="">
      <xdr:nvSpPr>
        <xdr:cNvPr id="9" name="Right Arrow 8">
          <a:extLst>
            <a:ext uri="{FF2B5EF4-FFF2-40B4-BE49-F238E27FC236}">
              <a16:creationId xmlns:a16="http://schemas.microsoft.com/office/drawing/2014/main" id="{7126D2BA-020B-44B0-B28E-4A504C21A5B8}"/>
            </a:ext>
            <a:ext uri="{147F2762-F138-4A5C-976F-8EAC2B608ADB}">
              <a16:predDERef xmlns:a16="http://schemas.microsoft.com/office/drawing/2014/main" pred="{BC23E523-A0CA-4F10-8C5E-F3CC391A4A3B}"/>
            </a:ext>
          </a:extLst>
        </xdr:cNvPr>
        <xdr:cNvSpPr/>
      </xdr:nvSpPr>
      <xdr:spPr>
        <a:xfrm rot="53241">
          <a:off x="45329509" y="16811621"/>
          <a:ext cx="466725" cy="27432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450849</xdr:colOff>
      <xdr:row>7</xdr:row>
      <xdr:rowOff>238125</xdr:rowOff>
    </xdr:from>
    <xdr:to>
      <xdr:col>7</xdr:col>
      <xdr:colOff>914399</xdr:colOff>
      <xdr:row>7</xdr:row>
      <xdr:rowOff>504825</xdr:rowOff>
    </xdr:to>
    <xdr:sp macro="" textlink="">
      <xdr:nvSpPr>
        <xdr:cNvPr id="10" name="Right Arrow 9">
          <a:extLst>
            <a:ext uri="{FF2B5EF4-FFF2-40B4-BE49-F238E27FC236}">
              <a16:creationId xmlns:a16="http://schemas.microsoft.com/office/drawing/2014/main" id="{D57DEA4A-1A31-4AB3-AC16-2CF162A08920}"/>
            </a:ext>
            <a:ext uri="{147F2762-F138-4A5C-976F-8EAC2B608ADB}">
              <a16:predDERef xmlns:a16="http://schemas.microsoft.com/office/drawing/2014/main" pred="{76521773-E1DE-46DE-A8E5-0B955252951A}"/>
            </a:ext>
          </a:extLst>
        </xdr:cNvPr>
        <xdr:cNvSpPr/>
      </xdr:nvSpPr>
      <xdr:spPr>
        <a:xfrm rot="53241">
          <a:off x="45329474" y="14665325"/>
          <a:ext cx="466725" cy="26670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444500</xdr:colOff>
      <xdr:row>6</xdr:row>
      <xdr:rowOff>419100</xdr:rowOff>
    </xdr:from>
    <xdr:to>
      <xdr:col>7</xdr:col>
      <xdr:colOff>914400</xdr:colOff>
      <xdr:row>6</xdr:row>
      <xdr:rowOff>685800</xdr:rowOff>
    </xdr:to>
    <xdr:sp macro="" textlink="">
      <xdr:nvSpPr>
        <xdr:cNvPr id="11" name="Right Arrow 11">
          <a:extLst>
            <a:ext uri="{FF2B5EF4-FFF2-40B4-BE49-F238E27FC236}">
              <a16:creationId xmlns:a16="http://schemas.microsoft.com/office/drawing/2014/main" id="{0673E8B0-85C5-47FB-B0A2-C52E9905191C}"/>
            </a:ext>
            <a:ext uri="{147F2762-F138-4A5C-976F-8EAC2B608ADB}">
              <a16:predDERef xmlns:a16="http://schemas.microsoft.com/office/drawing/2014/main" pred="{12DC46D3-7E23-4A29-9BE5-6D3D8A6C2D27}"/>
            </a:ext>
          </a:extLst>
        </xdr:cNvPr>
        <xdr:cNvSpPr/>
      </xdr:nvSpPr>
      <xdr:spPr>
        <a:xfrm rot="53241">
          <a:off x="45329475" y="13716000"/>
          <a:ext cx="466725" cy="26670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444500</xdr:colOff>
      <xdr:row>9</xdr:row>
      <xdr:rowOff>63500</xdr:rowOff>
    </xdr:from>
    <xdr:to>
      <xdr:col>7</xdr:col>
      <xdr:colOff>914400</xdr:colOff>
      <xdr:row>9</xdr:row>
      <xdr:rowOff>330200</xdr:rowOff>
    </xdr:to>
    <xdr:sp macro="" textlink="">
      <xdr:nvSpPr>
        <xdr:cNvPr id="12" name="Right Arrow 9">
          <a:extLst>
            <a:ext uri="{FF2B5EF4-FFF2-40B4-BE49-F238E27FC236}">
              <a16:creationId xmlns:a16="http://schemas.microsoft.com/office/drawing/2014/main" id="{7FA12672-25D9-4D00-8C05-A06C68AC6111}"/>
            </a:ext>
            <a:ext uri="{147F2762-F138-4A5C-976F-8EAC2B608ADB}">
              <a16:predDERef xmlns:a16="http://schemas.microsoft.com/office/drawing/2014/main" pred="{76521773-E1DE-46DE-A8E5-0B955252951A}"/>
            </a:ext>
          </a:extLst>
        </xdr:cNvPr>
        <xdr:cNvSpPr/>
      </xdr:nvSpPr>
      <xdr:spPr>
        <a:xfrm rot="53241">
          <a:off x="45329475" y="15744825"/>
          <a:ext cx="466725" cy="26670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twoCellAnchor>
    <xdr:from>
      <xdr:col>7</xdr:col>
      <xdr:colOff>444583</xdr:colOff>
      <xdr:row>12</xdr:row>
      <xdr:rowOff>76196</xdr:rowOff>
    </xdr:from>
    <xdr:to>
      <xdr:col>7</xdr:col>
      <xdr:colOff>911308</xdr:colOff>
      <xdr:row>12</xdr:row>
      <xdr:rowOff>353691</xdr:rowOff>
    </xdr:to>
    <xdr:sp macro="" textlink="">
      <xdr:nvSpPr>
        <xdr:cNvPr id="13" name="Right Arrow 8">
          <a:extLst>
            <a:ext uri="{FF2B5EF4-FFF2-40B4-BE49-F238E27FC236}">
              <a16:creationId xmlns:a16="http://schemas.microsoft.com/office/drawing/2014/main" id="{BD7259C6-77ED-49AB-AA56-603C7B03207E}"/>
            </a:ext>
            <a:ext uri="{147F2762-F138-4A5C-976F-8EAC2B608ADB}">
              <a16:predDERef xmlns:a16="http://schemas.microsoft.com/office/drawing/2014/main" pred="{BC23E523-A0CA-4F10-8C5E-F3CC391A4A3B}"/>
            </a:ext>
          </a:extLst>
        </xdr:cNvPr>
        <xdr:cNvSpPr/>
      </xdr:nvSpPr>
      <xdr:spPr>
        <a:xfrm rot="53241">
          <a:off x="45329558" y="17364071"/>
          <a:ext cx="463550" cy="274320"/>
        </a:xfrm>
        <a:prstGeom prst="rightArrow">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l"/>
          <a:endParaRPr lang="en-US"/>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1247775</xdr:colOff>
      <xdr:row>1</xdr:row>
      <xdr:rowOff>152400</xdr:rowOff>
    </xdr:from>
    <xdr:to>
      <xdr:col>6</xdr:col>
      <xdr:colOff>120650</xdr:colOff>
      <xdr:row>7</xdr:row>
      <xdr:rowOff>112310</xdr:rowOff>
    </xdr:to>
    <xdr:pic>
      <xdr:nvPicPr>
        <xdr:cNvPr id="2" name="Picture 1">
          <a:extLst>
            <a:ext uri="{FF2B5EF4-FFF2-40B4-BE49-F238E27FC236}">
              <a16:creationId xmlns:a16="http://schemas.microsoft.com/office/drawing/2014/main" id="{23C1B5B4-B197-E83B-FE92-3D1569378615}"/>
            </a:ext>
          </a:extLst>
        </xdr:cNvPr>
        <xdr:cNvPicPr>
          <a:picLocks noChangeAspect="1"/>
        </xdr:cNvPicPr>
      </xdr:nvPicPr>
      <xdr:blipFill>
        <a:blip xmlns:r="http://schemas.openxmlformats.org/officeDocument/2006/relationships" r:embed="rId1"/>
        <a:stretch>
          <a:fillRect/>
        </a:stretch>
      </xdr:blipFill>
      <xdr:spPr>
        <a:xfrm>
          <a:off x="8372475" y="466725"/>
          <a:ext cx="4705350" cy="1045760"/>
        </a:xfrm>
        <a:prstGeom prst="rect">
          <a:avLst/>
        </a:prstGeom>
      </xdr:spPr>
    </xdr:pic>
    <xdr:clientData/>
  </xdr:twoCellAnchor>
  <xdr:twoCellAnchor>
    <xdr:from>
      <xdr:col>3</xdr:col>
      <xdr:colOff>3174</xdr:colOff>
      <xdr:row>2</xdr:row>
      <xdr:rowOff>0</xdr:rowOff>
    </xdr:from>
    <xdr:to>
      <xdr:col>4</xdr:col>
      <xdr:colOff>9525</xdr:colOff>
      <xdr:row>5</xdr:row>
      <xdr:rowOff>171450</xdr:rowOff>
    </xdr:to>
    <xdr:sp macro="[0]!Toggle_SelectGroup" textlink="">
      <xdr:nvSpPr>
        <xdr:cNvPr id="6" name="Rectangle: Rounded Corners 5">
          <a:extLst>
            <a:ext uri="{FF2B5EF4-FFF2-40B4-BE49-F238E27FC236}">
              <a16:creationId xmlns:a16="http://schemas.microsoft.com/office/drawing/2014/main" id="{C7FB4D68-4365-492A-8C75-0741CD3AE0E3}"/>
            </a:ext>
          </a:extLst>
        </xdr:cNvPr>
        <xdr:cNvSpPr/>
      </xdr:nvSpPr>
      <xdr:spPr>
        <a:xfrm>
          <a:off x="5060949" y="495300"/>
          <a:ext cx="2073276" cy="71437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b="1">
              <a:solidFill>
                <a:schemeClr val="bg1"/>
              </a:solidFill>
            </a:rPr>
            <a:t>Hide / Show</a:t>
          </a:r>
        </a:p>
        <a:p>
          <a:pPr algn="ctr"/>
          <a:r>
            <a:rPr lang="en-US" sz="1600" b="1">
              <a:solidFill>
                <a:sysClr val="windowText" lastClr="000000"/>
              </a:solidFill>
            </a:rPr>
            <a:t>List</a:t>
          </a:r>
          <a:r>
            <a:rPr lang="en-US" sz="1600" b="1" baseline="0">
              <a:solidFill>
                <a:sysClr val="windowText" lastClr="000000"/>
              </a:solidFill>
            </a:rPr>
            <a:t> </a:t>
          </a:r>
          <a:r>
            <a:rPr lang="en-US" sz="1600" b="1">
              <a:solidFill>
                <a:sysClr val="windowText" lastClr="000000"/>
              </a:solidFill>
            </a:rPr>
            <a:t>Group</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196850</xdr:colOff>
      <xdr:row>21</xdr:row>
      <xdr:rowOff>153118</xdr:rowOff>
    </xdr:from>
    <xdr:to>
      <xdr:col>19</xdr:col>
      <xdr:colOff>176491</xdr:colOff>
      <xdr:row>24</xdr:row>
      <xdr:rowOff>27871</xdr:rowOff>
    </xdr:to>
    <xdr:sp macro="" textlink="">
      <xdr:nvSpPr>
        <xdr:cNvPr id="2" name="TextBox 3">
          <a:extLst>
            <a:ext uri="{FF2B5EF4-FFF2-40B4-BE49-F238E27FC236}">
              <a16:creationId xmlns:a16="http://schemas.microsoft.com/office/drawing/2014/main" id="{1E2A53BF-B9B7-4B31-BA83-09C5D63C290E}"/>
            </a:ext>
          </a:extLst>
        </xdr:cNvPr>
        <xdr:cNvSpPr txBox="1"/>
      </xdr:nvSpPr>
      <xdr:spPr>
        <a:xfrm>
          <a:off x="8803986" y="4344118"/>
          <a:ext cx="1469005" cy="446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l" rtl="0"/>
          <a:r>
            <a:rPr lang="en-US" sz="2000" b="1" i="0" baseline="0">
              <a:solidFill>
                <a:schemeClr val="bg1"/>
              </a:solidFill>
              <a:effectLst/>
              <a:latin typeface="+mn-lt"/>
              <a:ea typeface="+mn-ea"/>
              <a:cs typeface="+mn-cs"/>
            </a:rPr>
            <a:t>NCR. </a:t>
          </a:r>
          <a:r>
            <a:rPr lang="en-US" altLang="zh-TW" sz="2000" b="1" i="0" baseline="0">
              <a:solidFill>
                <a:schemeClr val="bg1"/>
              </a:solidFill>
              <a:effectLst/>
              <a:latin typeface="+mn-lt"/>
              <a:ea typeface="+mn-ea"/>
              <a:cs typeface="+mn-cs"/>
            </a:rPr>
            <a:t>Open</a:t>
          </a:r>
        </a:p>
      </xdr:txBody>
    </xdr:sp>
    <xdr:clientData/>
  </xdr:twoCellAnchor>
  <xdr:twoCellAnchor>
    <xdr:from>
      <xdr:col>11</xdr:col>
      <xdr:colOff>217875</xdr:colOff>
      <xdr:row>4</xdr:row>
      <xdr:rowOff>112059</xdr:rowOff>
    </xdr:from>
    <xdr:to>
      <xdr:col>15</xdr:col>
      <xdr:colOff>526122</xdr:colOff>
      <xdr:row>10</xdr:row>
      <xdr:rowOff>66339</xdr:rowOff>
    </xdr:to>
    <xdr:sp macro="" textlink="Query_Basedata!$N$34">
      <xdr:nvSpPr>
        <xdr:cNvPr id="6" name="TextBox 17">
          <a:extLst>
            <a:ext uri="{FF2B5EF4-FFF2-40B4-BE49-F238E27FC236}">
              <a16:creationId xmlns:a16="http://schemas.microsoft.com/office/drawing/2014/main" id="{B67F6E0C-13A2-4DE9-B879-A77BF1913786}"/>
            </a:ext>
          </a:extLst>
        </xdr:cNvPr>
        <xdr:cNvSpPr txBox="1"/>
      </xdr:nvSpPr>
      <xdr:spPr>
        <a:xfrm>
          <a:off x="6232232" y="642738"/>
          <a:ext cx="2485390" cy="1015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AF450A0-8F63-49FB-B0FE-51F6F4CCEC21}" type="TxLink">
            <a:rPr lang="en-US" sz="6000" b="0" i="0" u="none" strike="noStrike">
              <a:solidFill>
                <a:srgbClr val="92D050"/>
              </a:solidFill>
              <a:latin typeface="Calibri"/>
              <a:ea typeface="+mn-ea"/>
              <a:cs typeface="Calibri"/>
            </a:rPr>
            <a:pPr marL="0" indent="0" algn="ctr"/>
            <a:t>0</a:t>
          </a:fld>
          <a:endParaRPr lang="en-US" sz="6000" b="0" i="0" u="none" strike="noStrike">
            <a:solidFill>
              <a:srgbClr val="92D050"/>
            </a:solidFill>
            <a:latin typeface="Calibri"/>
            <a:ea typeface="+mn-ea"/>
            <a:cs typeface="Calibri"/>
          </a:endParaRPr>
        </a:p>
      </xdr:txBody>
    </xdr:sp>
    <xdr:clientData/>
  </xdr:twoCellAnchor>
  <xdr:twoCellAnchor>
    <xdr:from>
      <xdr:col>11</xdr:col>
      <xdr:colOff>227400</xdr:colOff>
      <xdr:row>14</xdr:row>
      <xdr:rowOff>107130</xdr:rowOff>
    </xdr:from>
    <xdr:to>
      <xdr:col>15</xdr:col>
      <xdr:colOff>516597</xdr:colOff>
      <xdr:row>18</xdr:row>
      <xdr:rowOff>0</xdr:rowOff>
    </xdr:to>
    <xdr:sp macro="" textlink="Query_Basedata!$N$35">
      <xdr:nvSpPr>
        <xdr:cNvPr id="38" name="TextBox 18">
          <a:extLst>
            <a:ext uri="{FF2B5EF4-FFF2-40B4-BE49-F238E27FC236}">
              <a16:creationId xmlns:a16="http://schemas.microsoft.com/office/drawing/2014/main" id="{5186710E-83B8-4094-A4C3-E73A51305BB2}"/>
            </a:ext>
            <a:ext uri="{147F2762-F138-4A5C-976F-8EAC2B608ADB}">
              <a16:predDERef xmlns:a16="http://schemas.microsoft.com/office/drawing/2014/main" pred="{B67F6E0C-13A2-4DE9-B879-A77BF1913786}"/>
            </a:ext>
          </a:extLst>
        </xdr:cNvPr>
        <xdr:cNvSpPr txBox="1"/>
      </xdr:nvSpPr>
      <xdr:spPr>
        <a:xfrm>
          <a:off x="7345173" y="2583630"/>
          <a:ext cx="2350060" cy="654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74D7A29-8DBA-4014-9784-DB885A091716}" type="TxLink">
            <a:rPr lang="en-US" sz="6000" b="0" i="0" u="none" strike="noStrike">
              <a:solidFill>
                <a:srgbClr val="92D050"/>
              </a:solidFill>
              <a:latin typeface="Calibri"/>
              <a:ea typeface="+mn-ea"/>
              <a:cs typeface="Calibri"/>
            </a:rPr>
            <a:pPr marL="0" indent="0" algn="ctr"/>
            <a:t>0</a:t>
          </a:fld>
          <a:endParaRPr lang="en-US" sz="6000" b="0" i="0" u="none" strike="noStrike">
            <a:solidFill>
              <a:srgbClr val="92D050"/>
            </a:solidFill>
            <a:latin typeface="Calibri"/>
            <a:ea typeface="+mn-ea"/>
            <a:cs typeface="Calibri"/>
          </a:endParaRPr>
        </a:p>
      </xdr:txBody>
    </xdr:sp>
    <xdr:clientData/>
  </xdr:twoCellAnchor>
  <xdr:twoCellAnchor>
    <xdr:from>
      <xdr:col>5</xdr:col>
      <xdr:colOff>622787</xdr:colOff>
      <xdr:row>0</xdr:row>
      <xdr:rowOff>0</xdr:rowOff>
    </xdr:from>
    <xdr:to>
      <xdr:col>6</xdr:col>
      <xdr:colOff>91439</xdr:colOff>
      <xdr:row>41</xdr:row>
      <xdr:rowOff>79424</xdr:rowOff>
    </xdr:to>
    <xdr:sp macro="" textlink="">
      <xdr:nvSpPr>
        <xdr:cNvPr id="9" name="Rectangle 8">
          <a:extLst>
            <a:ext uri="{FF2B5EF4-FFF2-40B4-BE49-F238E27FC236}">
              <a16:creationId xmlns:a16="http://schemas.microsoft.com/office/drawing/2014/main" id="{C3F9C90E-2FDA-40EA-BA53-0BACD3FC2B30}"/>
            </a:ext>
            <a:ext uri="{147F2762-F138-4A5C-976F-8EAC2B608ADB}">
              <a16:predDERef xmlns:a16="http://schemas.microsoft.com/office/drawing/2014/main" pred="{5186710E-83B8-4094-A4C3-E73A51305BB2}"/>
            </a:ext>
          </a:extLst>
        </xdr:cNvPr>
        <xdr:cNvSpPr/>
      </xdr:nvSpPr>
      <xdr:spPr>
        <a:xfrm>
          <a:off x="3773364" y="0"/>
          <a:ext cx="91440" cy="758952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2541</xdr:colOff>
      <xdr:row>0</xdr:row>
      <xdr:rowOff>0</xdr:rowOff>
    </xdr:from>
    <xdr:to>
      <xdr:col>11</xdr:col>
      <xdr:colOff>76201</xdr:colOff>
      <xdr:row>20</xdr:row>
      <xdr:rowOff>177018</xdr:rowOff>
    </xdr:to>
    <xdr:sp macro="" textlink="">
      <xdr:nvSpPr>
        <xdr:cNvPr id="10" name="Rectangle 9">
          <a:extLst>
            <a:ext uri="{FF2B5EF4-FFF2-40B4-BE49-F238E27FC236}">
              <a16:creationId xmlns:a16="http://schemas.microsoft.com/office/drawing/2014/main" id="{0AD2DCBD-F7ED-41C9-9B7A-F2CDB9C2B66C}"/>
            </a:ext>
          </a:extLst>
        </xdr:cNvPr>
        <xdr:cNvSpPr/>
      </xdr:nvSpPr>
      <xdr:spPr>
        <a:xfrm>
          <a:off x="6505185" y="0"/>
          <a:ext cx="73660" cy="384048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oneCellAnchor>
    <xdr:from>
      <xdr:col>6</xdr:col>
      <xdr:colOff>236259</xdr:colOff>
      <xdr:row>4</xdr:row>
      <xdr:rowOff>144058</xdr:rowOff>
    </xdr:from>
    <xdr:ext cx="2254622" cy="2094317"/>
    <xdr:sp macro="" textlink="Query_Basedata!$F$38">
      <xdr:nvSpPr>
        <xdr:cNvPr id="11" name="TextBox 14">
          <a:extLst>
            <a:ext uri="{FF2B5EF4-FFF2-40B4-BE49-F238E27FC236}">
              <a16:creationId xmlns:a16="http://schemas.microsoft.com/office/drawing/2014/main" id="{8C0B3F87-801F-4C37-91FF-9521DFE94F9A}"/>
            </a:ext>
          </a:extLst>
        </xdr:cNvPr>
        <xdr:cNvSpPr txBox="1"/>
      </xdr:nvSpPr>
      <xdr:spPr>
        <a:xfrm>
          <a:off x="3411259" y="667933"/>
          <a:ext cx="2254622" cy="2094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77A662F-2CA0-4E71-8392-532EBEF82B02}" type="TxLink">
            <a:rPr lang="en-US" sz="4000" b="1" i="0" u="none" strike="noStrike">
              <a:solidFill>
                <a:srgbClr val="92D050"/>
              </a:solidFill>
              <a:latin typeface="Calibri"/>
              <a:ea typeface="+mn-ea"/>
              <a:cs typeface="Calibri"/>
            </a:rPr>
            <a:pPr marL="0" indent="0" algn="ctr"/>
            <a:t>Not Approved yet</a:t>
          </a:fld>
          <a:endParaRPr lang="en-US" sz="4000" b="1" i="0" u="none" strike="noStrike">
            <a:solidFill>
              <a:srgbClr val="92D050"/>
            </a:solidFill>
            <a:latin typeface="Calibri"/>
            <a:ea typeface="+mn-ea"/>
            <a:cs typeface="Calibri"/>
          </a:endParaRPr>
        </a:p>
      </xdr:txBody>
    </xdr:sp>
    <xdr:clientData/>
  </xdr:oneCellAnchor>
  <xdr:oneCellAnchor>
    <xdr:from>
      <xdr:col>6</xdr:col>
      <xdr:colOff>173182</xdr:colOff>
      <xdr:row>1</xdr:row>
      <xdr:rowOff>189175</xdr:rowOff>
    </xdr:from>
    <xdr:ext cx="2490297" cy="468013"/>
    <xdr:sp macro="" textlink="">
      <xdr:nvSpPr>
        <xdr:cNvPr id="12" name="TextBox 10">
          <a:extLst>
            <a:ext uri="{FF2B5EF4-FFF2-40B4-BE49-F238E27FC236}">
              <a16:creationId xmlns:a16="http://schemas.microsoft.com/office/drawing/2014/main" id="{CCD0ED64-0385-47DB-986D-F27F7AB10734}"/>
            </a:ext>
          </a:extLst>
        </xdr:cNvPr>
        <xdr:cNvSpPr txBox="1"/>
      </xdr:nvSpPr>
      <xdr:spPr>
        <a:xfrm>
          <a:off x="3325091" y="189175"/>
          <a:ext cx="2490297" cy="468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spAutoFit/>
        </a:bodyPr>
        <a:lstStyle/>
        <a:p>
          <a:pPr rtl="0"/>
          <a:r>
            <a:rPr lang="en-US" sz="2000" b="1" i="0" baseline="0">
              <a:solidFill>
                <a:schemeClr val="bg1"/>
              </a:solidFill>
              <a:effectLst/>
              <a:latin typeface="+mn-lt"/>
              <a:ea typeface="+mn-ea"/>
              <a:cs typeface="+mn-cs"/>
            </a:rPr>
            <a:t>PQP Maturity </a:t>
          </a:r>
          <a:r>
            <a:rPr lang="en-US" sz="2400" b="1" i="0" baseline="0">
              <a:solidFill>
                <a:schemeClr val="bg1"/>
              </a:solidFill>
              <a:effectLst/>
              <a:latin typeface="+mn-lt"/>
              <a:ea typeface="+mn-ea"/>
              <a:cs typeface="+mn-cs"/>
            </a:rPr>
            <a:t>Status</a:t>
          </a:r>
          <a:endParaRPr lang="en-US" sz="3600" b="1">
            <a:solidFill>
              <a:schemeClr val="bg1"/>
            </a:solidFill>
            <a:effectLst/>
          </a:endParaRPr>
        </a:p>
      </xdr:txBody>
    </xdr:sp>
    <xdr:clientData/>
  </xdr:oneCellAnchor>
  <xdr:twoCellAnchor>
    <xdr:from>
      <xdr:col>6</xdr:col>
      <xdr:colOff>13606</xdr:colOff>
      <xdr:row>20</xdr:row>
      <xdr:rowOff>190499</xdr:rowOff>
    </xdr:from>
    <xdr:to>
      <xdr:col>46</xdr:col>
      <xdr:colOff>31567</xdr:colOff>
      <xdr:row>21</xdr:row>
      <xdr:rowOff>91439</xdr:rowOff>
    </xdr:to>
    <xdr:sp macro="" textlink="">
      <xdr:nvSpPr>
        <xdr:cNvPr id="13" name="Rectangle 12">
          <a:extLst>
            <a:ext uri="{FF2B5EF4-FFF2-40B4-BE49-F238E27FC236}">
              <a16:creationId xmlns:a16="http://schemas.microsoft.com/office/drawing/2014/main" id="{E1BD89E8-BE05-4981-96F6-D0E3BA524378}"/>
            </a:ext>
          </a:extLst>
        </xdr:cNvPr>
        <xdr:cNvSpPr/>
      </xdr:nvSpPr>
      <xdr:spPr>
        <a:xfrm rot="-5400000">
          <a:off x="14428890" y="-6154512"/>
          <a:ext cx="91440" cy="20020461"/>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89647</xdr:colOff>
      <xdr:row>11</xdr:row>
      <xdr:rowOff>11205</xdr:rowOff>
    </xdr:from>
    <xdr:to>
      <xdr:col>16</xdr:col>
      <xdr:colOff>74407</xdr:colOff>
      <xdr:row>11</xdr:row>
      <xdr:rowOff>102645</xdr:rowOff>
    </xdr:to>
    <xdr:sp macro="" textlink="">
      <xdr:nvSpPr>
        <xdr:cNvPr id="14" name="Rectangle 13">
          <a:extLst>
            <a:ext uri="{FF2B5EF4-FFF2-40B4-BE49-F238E27FC236}">
              <a16:creationId xmlns:a16="http://schemas.microsoft.com/office/drawing/2014/main" id="{15E0DFF8-7944-4BB4-8BAF-CFC5E379AA2D}"/>
            </a:ext>
          </a:extLst>
        </xdr:cNvPr>
        <xdr:cNvSpPr/>
      </xdr:nvSpPr>
      <xdr:spPr>
        <a:xfrm rot="-5400000">
          <a:off x="7113382" y="626520"/>
          <a:ext cx="91440" cy="267081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0</xdr:colOff>
      <xdr:row>0</xdr:row>
      <xdr:rowOff>0</xdr:rowOff>
    </xdr:from>
    <xdr:to>
      <xdr:col>16</xdr:col>
      <xdr:colOff>85090</xdr:colOff>
      <xdr:row>41</xdr:row>
      <xdr:rowOff>79424</xdr:rowOff>
    </xdr:to>
    <xdr:sp macro="" textlink="">
      <xdr:nvSpPr>
        <xdr:cNvPr id="16" name="Rectangle 15">
          <a:extLst>
            <a:ext uri="{FF2B5EF4-FFF2-40B4-BE49-F238E27FC236}">
              <a16:creationId xmlns:a16="http://schemas.microsoft.com/office/drawing/2014/main" id="{3A433CF3-0E20-48CD-8468-2A95A4131F83}"/>
            </a:ext>
          </a:extLst>
        </xdr:cNvPr>
        <xdr:cNvSpPr/>
      </xdr:nvSpPr>
      <xdr:spPr>
        <a:xfrm>
          <a:off x="9250240" y="0"/>
          <a:ext cx="85090" cy="758952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1</xdr:row>
      <xdr:rowOff>0</xdr:rowOff>
    </xdr:from>
    <xdr:to>
      <xdr:col>17</xdr:col>
      <xdr:colOff>0</xdr:colOff>
      <xdr:row>41</xdr:row>
      <xdr:rowOff>7620</xdr:rowOff>
    </xdr:to>
    <xdr:sp macro="" textlink="">
      <xdr:nvSpPr>
        <xdr:cNvPr id="17" name="Rectangle 16">
          <a:extLst>
            <a:ext uri="{FF2B5EF4-FFF2-40B4-BE49-F238E27FC236}">
              <a16:creationId xmlns:a16="http://schemas.microsoft.com/office/drawing/2014/main" id="{1087AE9E-24EF-47CD-96CE-DDA3B6A780C3}"/>
            </a:ext>
          </a:extLst>
        </xdr:cNvPr>
        <xdr:cNvSpPr/>
      </xdr:nvSpPr>
      <xdr:spPr>
        <a:xfrm>
          <a:off x="12325350" y="0"/>
          <a:ext cx="91440" cy="762762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20808</xdr:colOff>
      <xdr:row>22</xdr:row>
      <xdr:rowOff>16561</xdr:rowOff>
    </xdr:from>
    <xdr:to>
      <xdr:col>15</xdr:col>
      <xdr:colOff>30388</xdr:colOff>
      <xdr:row>24</xdr:row>
      <xdr:rowOff>40993</xdr:rowOff>
    </xdr:to>
    <xdr:sp macro="" textlink="">
      <xdr:nvSpPr>
        <xdr:cNvPr id="18" name="TextBox 15">
          <a:extLst>
            <a:ext uri="{FF2B5EF4-FFF2-40B4-BE49-F238E27FC236}">
              <a16:creationId xmlns:a16="http://schemas.microsoft.com/office/drawing/2014/main" id="{2E346DFE-38FD-4441-9B58-DCF56835389D}"/>
            </a:ext>
          </a:extLst>
        </xdr:cNvPr>
        <xdr:cNvSpPr txBox="1"/>
      </xdr:nvSpPr>
      <xdr:spPr>
        <a:xfrm>
          <a:off x="3415172" y="4398061"/>
          <a:ext cx="4598898" cy="4054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l" rtl="0"/>
          <a:r>
            <a:rPr lang="en-US" altLang="zh-TW" sz="2000" b="1" i="0" baseline="0">
              <a:solidFill>
                <a:schemeClr val="bg1"/>
              </a:solidFill>
              <a:effectLst/>
              <a:latin typeface="+mn-lt"/>
              <a:ea typeface="+mn-ea"/>
              <a:cs typeface="+mn-cs"/>
            </a:rPr>
            <a:t>ITP</a:t>
          </a:r>
          <a:r>
            <a:rPr lang="zh-TW" altLang="en-US" sz="2000" b="1" i="0" baseline="0">
              <a:solidFill>
                <a:schemeClr val="bg1"/>
              </a:solidFill>
              <a:effectLst/>
              <a:latin typeface="+mn-lt"/>
              <a:ea typeface="+mn-ea"/>
              <a:cs typeface="+mn-cs"/>
            </a:rPr>
            <a:t> </a:t>
          </a:r>
          <a:r>
            <a:rPr lang="en-US" altLang="zh-TW" sz="2000" b="1" i="0" baseline="0">
              <a:solidFill>
                <a:schemeClr val="bg1"/>
              </a:solidFill>
              <a:effectLst/>
              <a:latin typeface="+mn-lt"/>
              <a:ea typeface="+mn-ea"/>
              <a:cs typeface="+mn-cs"/>
            </a:rPr>
            <a:t>Approved or with comment (Qty &amp; %)</a:t>
          </a:r>
        </a:p>
      </xdr:txBody>
    </xdr:sp>
    <xdr:clientData/>
  </xdr:twoCellAnchor>
  <xdr:twoCellAnchor>
    <xdr:from>
      <xdr:col>38</xdr:col>
      <xdr:colOff>0</xdr:colOff>
      <xdr:row>1</xdr:row>
      <xdr:rowOff>0</xdr:rowOff>
    </xdr:from>
    <xdr:to>
      <xdr:col>38</xdr:col>
      <xdr:colOff>91440</xdr:colOff>
      <xdr:row>41</xdr:row>
      <xdr:rowOff>153035</xdr:rowOff>
    </xdr:to>
    <xdr:sp macro="" textlink="">
      <xdr:nvSpPr>
        <xdr:cNvPr id="19" name="Rectangle 18">
          <a:extLst>
            <a:ext uri="{FF2B5EF4-FFF2-40B4-BE49-F238E27FC236}">
              <a16:creationId xmlns:a16="http://schemas.microsoft.com/office/drawing/2014/main" id="{12CEA563-C9E2-48BB-8C15-5C11FD3BB67A}"/>
            </a:ext>
          </a:extLst>
        </xdr:cNvPr>
        <xdr:cNvSpPr/>
      </xdr:nvSpPr>
      <xdr:spPr>
        <a:xfrm>
          <a:off x="21177250" y="15875"/>
          <a:ext cx="91440" cy="813816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87778</xdr:colOff>
      <xdr:row>11</xdr:row>
      <xdr:rowOff>11195</xdr:rowOff>
    </xdr:from>
    <xdr:to>
      <xdr:col>21</xdr:col>
      <xdr:colOff>18301</xdr:colOff>
      <xdr:row>11</xdr:row>
      <xdr:rowOff>102635</xdr:rowOff>
    </xdr:to>
    <xdr:sp macro="" textlink="">
      <xdr:nvSpPr>
        <xdr:cNvPr id="20" name="Rectangle 19">
          <a:extLst>
            <a:ext uri="{FF2B5EF4-FFF2-40B4-BE49-F238E27FC236}">
              <a16:creationId xmlns:a16="http://schemas.microsoft.com/office/drawing/2014/main" id="{C40C2870-EADA-439F-8FD3-43239FA3D6F1}"/>
            </a:ext>
          </a:extLst>
        </xdr:cNvPr>
        <xdr:cNvSpPr/>
      </xdr:nvSpPr>
      <xdr:spPr>
        <a:xfrm rot="-5400000">
          <a:off x="10232687" y="478256"/>
          <a:ext cx="91440" cy="274320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40823</xdr:colOff>
      <xdr:row>24</xdr:row>
      <xdr:rowOff>10241</xdr:rowOff>
    </xdr:from>
    <xdr:to>
      <xdr:col>20</xdr:col>
      <xdr:colOff>449102</xdr:colOff>
      <xdr:row>29</xdr:row>
      <xdr:rowOff>155021</xdr:rowOff>
    </xdr:to>
    <xdr:sp macro="" textlink="Query_Basedata!AE35">
      <xdr:nvSpPr>
        <xdr:cNvPr id="21" name="TextBox 1">
          <a:extLst>
            <a:ext uri="{FF2B5EF4-FFF2-40B4-BE49-F238E27FC236}">
              <a16:creationId xmlns:a16="http://schemas.microsoft.com/office/drawing/2014/main" id="{7D92F695-1042-4888-A703-6170D8E9E35F}"/>
            </a:ext>
          </a:extLst>
        </xdr:cNvPr>
        <xdr:cNvSpPr txBox="1"/>
      </xdr:nvSpPr>
      <xdr:spPr>
        <a:xfrm>
          <a:off x="9130394" y="4078777"/>
          <a:ext cx="2326887" cy="1029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ED739E-E7C2-4DB4-8432-5C27798A63D5}" type="TxLink">
            <a:rPr lang="en-US" sz="6000" b="0" i="0" u="none" strike="noStrike">
              <a:solidFill>
                <a:schemeClr val="accent2"/>
              </a:solidFill>
              <a:latin typeface="Calibri"/>
              <a:ea typeface="+mn-ea"/>
              <a:cs typeface="Calibri"/>
            </a:rPr>
            <a:pPr marL="0" indent="0" algn="ctr"/>
            <a:t>0</a:t>
          </a:fld>
          <a:endParaRPr lang="en-US" sz="6000" b="0" i="0" u="none" strike="noStrike">
            <a:solidFill>
              <a:schemeClr val="accent2"/>
            </a:solidFill>
            <a:latin typeface="Calibri"/>
            <a:ea typeface="+mn-ea"/>
            <a:cs typeface="Calibri"/>
          </a:endParaRPr>
        </a:p>
      </xdr:txBody>
    </xdr:sp>
    <xdr:clientData/>
  </xdr:twoCellAnchor>
  <xdr:twoCellAnchor>
    <xdr:from>
      <xdr:col>46</xdr:col>
      <xdr:colOff>0</xdr:colOff>
      <xdr:row>0</xdr:row>
      <xdr:rowOff>0</xdr:rowOff>
    </xdr:from>
    <xdr:to>
      <xdr:col>46</xdr:col>
      <xdr:colOff>91440</xdr:colOff>
      <xdr:row>72</xdr:row>
      <xdr:rowOff>182880</xdr:rowOff>
    </xdr:to>
    <xdr:sp macro="" textlink="">
      <xdr:nvSpPr>
        <xdr:cNvPr id="23" name="Rectangle 22">
          <a:extLst>
            <a:ext uri="{FF2B5EF4-FFF2-40B4-BE49-F238E27FC236}">
              <a16:creationId xmlns:a16="http://schemas.microsoft.com/office/drawing/2014/main" id="{400F9635-6EAF-4E55-8902-A276B1F924C7}"/>
            </a:ext>
          </a:extLst>
        </xdr:cNvPr>
        <xdr:cNvSpPr/>
      </xdr:nvSpPr>
      <xdr:spPr>
        <a:xfrm>
          <a:off x="24856109" y="0"/>
          <a:ext cx="91440" cy="1389888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xdr:colOff>
      <xdr:row>41</xdr:row>
      <xdr:rowOff>58238</xdr:rowOff>
    </xdr:from>
    <xdr:to>
      <xdr:col>46</xdr:col>
      <xdr:colOff>109541</xdr:colOff>
      <xdr:row>41</xdr:row>
      <xdr:rowOff>149678</xdr:rowOff>
    </xdr:to>
    <xdr:sp macro="" textlink="">
      <xdr:nvSpPr>
        <xdr:cNvPr id="44" name="Rectangle 23">
          <a:extLst>
            <a:ext uri="{FF2B5EF4-FFF2-40B4-BE49-F238E27FC236}">
              <a16:creationId xmlns:a16="http://schemas.microsoft.com/office/drawing/2014/main" id="{48DB3BD8-514D-4531-82A2-0AC5AE1D97CF}"/>
            </a:ext>
          </a:extLst>
        </xdr:cNvPr>
        <xdr:cNvSpPr/>
      </xdr:nvSpPr>
      <xdr:spPr>
        <a:xfrm rot="-5400000" flipH="1">
          <a:off x="12070084" y="-4391842"/>
          <a:ext cx="91440" cy="2423160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62</xdr:col>
      <xdr:colOff>0</xdr:colOff>
      <xdr:row>1</xdr:row>
      <xdr:rowOff>0</xdr:rowOff>
    </xdr:from>
    <xdr:to>
      <xdr:col>62</xdr:col>
      <xdr:colOff>91440</xdr:colOff>
      <xdr:row>73</xdr:row>
      <xdr:rowOff>0</xdr:rowOff>
    </xdr:to>
    <xdr:sp macro="" textlink="">
      <xdr:nvSpPr>
        <xdr:cNvPr id="26" name="Rectangle 25">
          <a:extLst>
            <a:ext uri="{FF2B5EF4-FFF2-40B4-BE49-F238E27FC236}">
              <a16:creationId xmlns:a16="http://schemas.microsoft.com/office/drawing/2014/main" id="{B1EB1137-B7D7-4CD4-A427-35C157D466BA}"/>
            </a:ext>
          </a:extLst>
        </xdr:cNvPr>
        <xdr:cNvSpPr/>
      </xdr:nvSpPr>
      <xdr:spPr>
        <a:xfrm>
          <a:off x="32623125" y="0"/>
          <a:ext cx="91440" cy="1371600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oneCellAnchor>
    <xdr:from>
      <xdr:col>46</xdr:col>
      <xdr:colOff>231642</xdr:colOff>
      <xdr:row>1</xdr:row>
      <xdr:rowOff>75363</xdr:rowOff>
    </xdr:from>
    <xdr:ext cx="2289681" cy="739241"/>
    <xdr:sp macro="" textlink="">
      <xdr:nvSpPr>
        <xdr:cNvPr id="27" name="TextBox 8">
          <a:extLst>
            <a:ext uri="{FF2B5EF4-FFF2-40B4-BE49-F238E27FC236}">
              <a16:creationId xmlns:a16="http://schemas.microsoft.com/office/drawing/2014/main" id="{3B2377E8-46AC-4304-85A5-CD002D32FEBD}"/>
            </a:ext>
          </a:extLst>
        </xdr:cNvPr>
        <xdr:cNvSpPr txBox="1"/>
      </xdr:nvSpPr>
      <xdr:spPr>
        <a:xfrm>
          <a:off x="27748309" y="265863"/>
          <a:ext cx="2289681" cy="7392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l" rtl="0"/>
          <a:r>
            <a:rPr lang="en-US" sz="2000" b="1" i="0" u="sng" baseline="0">
              <a:solidFill>
                <a:schemeClr val="bg1"/>
              </a:solidFill>
              <a:effectLst/>
              <a:latin typeface="+mn-lt"/>
              <a:ea typeface="+mn-ea"/>
              <a:cs typeface="+mn-cs"/>
            </a:rPr>
            <a:t>Qualit</a:t>
          </a:r>
          <a:r>
            <a:rPr lang="en-US" altLang="zh-TW" sz="2000" b="1" i="0" u="sng" baseline="0">
              <a:solidFill>
                <a:schemeClr val="bg1"/>
              </a:solidFill>
              <a:effectLst/>
              <a:latin typeface="+mn-lt"/>
              <a:ea typeface="+mn-ea"/>
              <a:cs typeface="+mn-cs"/>
            </a:rPr>
            <a:t>KPIP</a:t>
          </a:r>
          <a:r>
            <a:rPr lang="en-US" sz="2000" b="1" i="0" u="sng" baseline="0">
              <a:solidFill>
                <a:schemeClr val="bg1"/>
              </a:solidFill>
              <a:effectLst/>
              <a:latin typeface="+mn-lt"/>
              <a:ea typeface="+mn-ea"/>
              <a:cs typeface="+mn-cs"/>
            </a:rPr>
            <a:t>y Comment</a:t>
          </a:r>
          <a:r>
            <a:rPr lang="zh-TW" altLang="en-US" sz="2000" b="1" i="0" u="sng" baseline="0">
              <a:solidFill>
                <a:schemeClr val="bg1"/>
              </a:solidFill>
              <a:effectLst/>
              <a:latin typeface="+mn-lt"/>
              <a:ea typeface="+mn-ea"/>
              <a:cs typeface="+mn-cs"/>
            </a:rPr>
            <a:t>：</a:t>
          </a:r>
          <a:endParaRPr lang="en-US" altLang="zh-TW" sz="2000" b="1" i="0" u="sng" baseline="0">
            <a:solidFill>
              <a:schemeClr val="bg1"/>
            </a:solidFill>
            <a:effectLst/>
            <a:latin typeface="+mn-lt"/>
            <a:ea typeface="+mn-ea"/>
            <a:cs typeface="+mn-cs"/>
          </a:endParaRPr>
        </a:p>
      </xdr:txBody>
    </xdr:sp>
    <xdr:clientData/>
  </xdr:oneCellAnchor>
  <xdr:twoCellAnchor>
    <xdr:from>
      <xdr:col>16</xdr:col>
      <xdr:colOff>87779</xdr:colOff>
      <xdr:row>31</xdr:row>
      <xdr:rowOff>11193</xdr:rowOff>
    </xdr:from>
    <xdr:to>
      <xdr:col>21</xdr:col>
      <xdr:colOff>18302</xdr:colOff>
      <xdr:row>31</xdr:row>
      <xdr:rowOff>102633</xdr:rowOff>
    </xdr:to>
    <xdr:sp macro="" textlink="">
      <xdr:nvSpPr>
        <xdr:cNvPr id="28" name="Rectangle 27">
          <a:extLst>
            <a:ext uri="{FF2B5EF4-FFF2-40B4-BE49-F238E27FC236}">
              <a16:creationId xmlns:a16="http://schemas.microsoft.com/office/drawing/2014/main" id="{CEB8414A-A79E-4B41-96DF-44B5821B4E7E}"/>
            </a:ext>
          </a:extLst>
        </xdr:cNvPr>
        <xdr:cNvSpPr/>
      </xdr:nvSpPr>
      <xdr:spPr>
        <a:xfrm rot="-5400000">
          <a:off x="10232688" y="4064137"/>
          <a:ext cx="91440" cy="274320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196850</xdr:colOff>
      <xdr:row>1</xdr:row>
      <xdr:rowOff>189175</xdr:rowOff>
    </xdr:from>
    <xdr:to>
      <xdr:col>20</xdr:col>
      <xdr:colOff>218645</xdr:colOff>
      <xdr:row>4</xdr:row>
      <xdr:rowOff>85688</xdr:rowOff>
    </xdr:to>
    <xdr:sp macro="" textlink="">
      <xdr:nvSpPr>
        <xdr:cNvPr id="29" name="TextBox 3">
          <a:extLst>
            <a:ext uri="{FF2B5EF4-FFF2-40B4-BE49-F238E27FC236}">
              <a16:creationId xmlns:a16="http://schemas.microsoft.com/office/drawing/2014/main" id="{49C63D85-525C-44E6-B373-D021E3CBDA9D}"/>
            </a:ext>
          </a:extLst>
        </xdr:cNvPr>
        <xdr:cNvSpPr txBox="1"/>
      </xdr:nvSpPr>
      <xdr:spPr>
        <a:xfrm>
          <a:off x="8803986" y="189175"/>
          <a:ext cx="2134614" cy="468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l" rtl="0"/>
          <a:r>
            <a:rPr lang="en-US" altLang="zh-TW" sz="2400" b="1" i="0" baseline="0">
              <a:solidFill>
                <a:schemeClr val="bg1"/>
              </a:solidFill>
              <a:effectLst/>
              <a:latin typeface="+mn-lt"/>
              <a:ea typeface="+mn-ea"/>
              <a:cs typeface="+mn-cs"/>
            </a:rPr>
            <a:t>Obs. Open</a:t>
          </a:r>
          <a:endParaRPr lang="en-US" sz="2400" b="1" i="0" baseline="0">
            <a:solidFill>
              <a:schemeClr val="bg1"/>
            </a:solidFill>
            <a:effectLst/>
            <a:latin typeface="+mn-lt"/>
            <a:ea typeface="+mn-ea"/>
            <a:cs typeface="+mn-cs"/>
          </a:endParaRPr>
        </a:p>
      </xdr:txBody>
    </xdr:sp>
    <xdr:clientData/>
  </xdr:twoCellAnchor>
  <xdr:twoCellAnchor>
    <xdr:from>
      <xdr:col>16</xdr:col>
      <xdr:colOff>231672</xdr:colOff>
      <xdr:row>5</xdr:row>
      <xdr:rowOff>109367</xdr:rowOff>
    </xdr:from>
    <xdr:to>
      <xdr:col>20</xdr:col>
      <xdr:colOff>507262</xdr:colOff>
      <xdr:row>9</xdr:row>
      <xdr:rowOff>69032</xdr:rowOff>
    </xdr:to>
    <xdr:sp macro="" textlink="Query_Basedata!V34">
      <xdr:nvSpPr>
        <xdr:cNvPr id="30" name="TextBox 1">
          <a:extLst>
            <a:ext uri="{FF2B5EF4-FFF2-40B4-BE49-F238E27FC236}">
              <a16:creationId xmlns:a16="http://schemas.microsoft.com/office/drawing/2014/main" id="{9B9D3F8A-C655-4FCD-BABC-D486CC7F6CE0}"/>
            </a:ext>
          </a:extLst>
        </xdr:cNvPr>
        <xdr:cNvSpPr txBox="1"/>
      </xdr:nvSpPr>
      <xdr:spPr>
        <a:xfrm>
          <a:off x="10668763" y="848276"/>
          <a:ext cx="2480772" cy="698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767D109-B97F-4C84-9D1D-1826D54D30A0}" type="TxLink">
            <a:rPr lang="en-US" sz="6000" b="0" i="0" u="none" strike="noStrike">
              <a:solidFill>
                <a:schemeClr val="accent2"/>
              </a:solidFill>
              <a:latin typeface="Calibri"/>
              <a:ea typeface="+mn-ea"/>
              <a:cs typeface="Calibri"/>
            </a:rPr>
            <a:pPr marL="0" indent="0" algn="ctr"/>
            <a:t>0</a:t>
          </a:fld>
          <a:endParaRPr lang="en-US" sz="6000" b="0" i="0" u="none" strike="noStrike">
            <a:solidFill>
              <a:schemeClr val="accent2"/>
            </a:solidFill>
            <a:latin typeface="Calibri"/>
            <a:ea typeface="+mn-ea"/>
            <a:cs typeface="Calibri"/>
          </a:endParaRPr>
        </a:p>
      </xdr:txBody>
    </xdr:sp>
    <xdr:clientData/>
  </xdr:twoCellAnchor>
  <xdr:twoCellAnchor>
    <xdr:from>
      <xdr:col>16</xdr:col>
      <xdr:colOff>196850</xdr:colOff>
      <xdr:row>11</xdr:row>
      <xdr:rowOff>186171</xdr:rowOff>
    </xdr:from>
    <xdr:to>
      <xdr:col>20</xdr:col>
      <xdr:colOff>218645</xdr:colOff>
      <xdr:row>14</xdr:row>
      <xdr:rowOff>82684</xdr:rowOff>
    </xdr:to>
    <xdr:sp macro="" textlink="">
      <xdr:nvSpPr>
        <xdr:cNvPr id="31" name="TextBox 3">
          <a:extLst>
            <a:ext uri="{FF2B5EF4-FFF2-40B4-BE49-F238E27FC236}">
              <a16:creationId xmlns:a16="http://schemas.microsoft.com/office/drawing/2014/main" id="{E805529B-D1C5-4E61-9267-CD8F0D074549}"/>
            </a:ext>
          </a:extLst>
        </xdr:cNvPr>
        <xdr:cNvSpPr txBox="1"/>
      </xdr:nvSpPr>
      <xdr:spPr>
        <a:xfrm>
          <a:off x="8803986" y="2091171"/>
          <a:ext cx="2134614" cy="468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l" rtl="0"/>
          <a:r>
            <a:rPr lang="en-US" altLang="zh-TW" sz="2400" b="1" i="0" baseline="0">
              <a:solidFill>
                <a:schemeClr val="bg1"/>
              </a:solidFill>
              <a:effectLst/>
              <a:latin typeface="+mn-lt"/>
              <a:ea typeface="+mn-ea"/>
              <a:cs typeface="+mn-cs"/>
            </a:rPr>
            <a:t>Obs. Closed</a:t>
          </a:r>
          <a:endParaRPr lang="en-US" sz="2400" b="1" i="0" baseline="0">
            <a:solidFill>
              <a:schemeClr val="bg1"/>
            </a:solidFill>
            <a:effectLst/>
            <a:latin typeface="+mn-lt"/>
            <a:ea typeface="+mn-ea"/>
            <a:cs typeface="+mn-cs"/>
          </a:endParaRPr>
        </a:p>
      </xdr:txBody>
    </xdr:sp>
    <xdr:clientData/>
  </xdr:twoCellAnchor>
  <xdr:twoCellAnchor>
    <xdr:from>
      <xdr:col>16</xdr:col>
      <xdr:colOff>231672</xdr:colOff>
      <xdr:row>15</xdr:row>
      <xdr:rowOff>101262</xdr:rowOff>
    </xdr:from>
    <xdr:to>
      <xdr:col>20</xdr:col>
      <xdr:colOff>504087</xdr:colOff>
      <xdr:row>19</xdr:row>
      <xdr:rowOff>60928</xdr:rowOff>
    </xdr:to>
    <xdr:sp macro="" textlink="Query_Basedata!V36">
      <xdr:nvSpPr>
        <xdr:cNvPr id="32" name="TextBox 1">
          <a:extLst>
            <a:ext uri="{FF2B5EF4-FFF2-40B4-BE49-F238E27FC236}">
              <a16:creationId xmlns:a16="http://schemas.microsoft.com/office/drawing/2014/main" id="{67EF6D58-C3E8-4941-92A4-2D41D52A6BB9}"/>
            </a:ext>
          </a:extLst>
        </xdr:cNvPr>
        <xdr:cNvSpPr txBox="1"/>
      </xdr:nvSpPr>
      <xdr:spPr>
        <a:xfrm>
          <a:off x="9062708" y="2577762"/>
          <a:ext cx="2449558" cy="667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03193E5-BBF6-4DF4-8407-DE0B09E1E214}" type="TxLink">
            <a:rPr lang="en-US" sz="6000" b="0" i="0" u="none" strike="noStrike">
              <a:solidFill>
                <a:srgbClr val="92D050"/>
              </a:solidFill>
              <a:latin typeface="Calibri"/>
              <a:ea typeface="+mn-ea"/>
              <a:cs typeface="Calibri"/>
            </a:rPr>
            <a:pPr marL="0" indent="0" algn="ctr"/>
            <a:t>0</a:t>
          </a:fld>
          <a:endParaRPr lang="en-US" sz="6000" b="0" i="0" u="none" strike="noStrike">
            <a:solidFill>
              <a:srgbClr val="92D050"/>
            </a:solidFill>
            <a:latin typeface="Calibri"/>
            <a:ea typeface="+mn-ea"/>
            <a:cs typeface="Calibri"/>
          </a:endParaRPr>
        </a:p>
      </xdr:txBody>
    </xdr:sp>
    <xdr:clientData/>
  </xdr:twoCellAnchor>
  <xdr:twoCellAnchor>
    <xdr:from>
      <xdr:col>7</xdr:col>
      <xdr:colOff>111075</xdr:colOff>
      <xdr:row>34</xdr:row>
      <xdr:rowOff>24932</xdr:rowOff>
    </xdr:from>
    <xdr:to>
      <xdr:col>12</xdr:col>
      <xdr:colOff>159571</xdr:colOff>
      <xdr:row>40</xdr:row>
      <xdr:rowOff>52586</xdr:rowOff>
    </xdr:to>
    <xdr:sp macro="" textlink="Query_Basedata!N36">
      <xdr:nvSpPr>
        <xdr:cNvPr id="45" name="TextBox 18">
          <a:extLst>
            <a:ext uri="{FF2B5EF4-FFF2-40B4-BE49-F238E27FC236}">
              <a16:creationId xmlns:a16="http://schemas.microsoft.com/office/drawing/2014/main" id="{94001EBE-F311-4D92-9F41-63302A2FBE22}"/>
            </a:ext>
          </a:extLst>
        </xdr:cNvPr>
        <xdr:cNvSpPr txBox="1"/>
      </xdr:nvSpPr>
      <xdr:spPr>
        <a:xfrm>
          <a:off x="3417611" y="6311432"/>
          <a:ext cx="2742710" cy="1170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48B5F1E-BBE8-49AE-9D99-E4ABB950BB62}" type="TxLink">
            <a:rPr lang="en-US" sz="6000" b="0" i="0" u="none" strike="noStrike">
              <a:solidFill>
                <a:srgbClr val="92D050"/>
              </a:solidFill>
              <a:latin typeface="Calibri"/>
              <a:ea typeface="+mn-ea"/>
              <a:cs typeface="Calibri"/>
            </a:rPr>
            <a:pPr marL="0" indent="0" algn="ctr"/>
            <a:t>0</a:t>
          </a:fld>
          <a:endParaRPr lang="en-US" sz="6000" b="0" i="0" u="none" strike="noStrike">
            <a:solidFill>
              <a:srgbClr val="92D050"/>
            </a:solidFill>
            <a:latin typeface="Calibri"/>
            <a:ea typeface="+mn-ea"/>
            <a:cs typeface="Calibri"/>
          </a:endParaRPr>
        </a:p>
      </xdr:txBody>
    </xdr:sp>
    <xdr:clientData/>
  </xdr:twoCellAnchor>
  <xdr:twoCellAnchor>
    <xdr:from>
      <xdr:col>1</xdr:col>
      <xdr:colOff>215927</xdr:colOff>
      <xdr:row>34</xdr:row>
      <xdr:rowOff>46405</xdr:rowOff>
    </xdr:from>
    <xdr:to>
      <xdr:col>5</xdr:col>
      <xdr:colOff>65886</xdr:colOff>
      <xdr:row>38</xdr:row>
      <xdr:rowOff>73528</xdr:rowOff>
    </xdr:to>
    <xdr:sp macro="" textlink="Key_Quality_Docs!#REF!">
      <xdr:nvSpPr>
        <xdr:cNvPr id="56" name="TextBox 18">
          <a:extLst>
            <a:ext uri="{FF2B5EF4-FFF2-40B4-BE49-F238E27FC236}">
              <a16:creationId xmlns:a16="http://schemas.microsoft.com/office/drawing/2014/main" id="{CB9C9228-22C4-4D9C-A31C-9616F543B04D}"/>
            </a:ext>
            <a:ext uri="{147F2762-F138-4A5C-976F-8EAC2B608ADB}">
              <a16:predDERef xmlns:a16="http://schemas.microsoft.com/office/drawing/2014/main" pred="{94001EBE-F311-4D92-9F41-63302A2FBE22}"/>
            </a:ext>
          </a:extLst>
        </xdr:cNvPr>
        <xdr:cNvSpPr txBox="1"/>
      </xdr:nvSpPr>
      <xdr:spPr>
        <a:xfrm>
          <a:off x="215927" y="6264869"/>
          <a:ext cx="2462530" cy="734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2400" b="1" i="0" u="none" strike="noStrike">
              <a:solidFill>
                <a:srgbClr val="FFFFFF"/>
              </a:solidFill>
              <a:latin typeface="Arial" panose="020B0604020202020204" pitchFamily="34" charset="0"/>
              <a:ea typeface="+mn-ea"/>
              <a:cs typeface="Arial" panose="020B0604020202020204" pitchFamily="34" charset="0"/>
            </a:rPr>
            <a:t>29-Aug-2025</a:t>
          </a:r>
        </a:p>
      </xdr:txBody>
    </xdr:sp>
    <xdr:clientData/>
  </xdr:twoCellAnchor>
  <xdr:twoCellAnchor>
    <xdr:from>
      <xdr:col>16</xdr:col>
      <xdr:colOff>196850</xdr:colOff>
      <xdr:row>31</xdr:row>
      <xdr:rowOff>123326</xdr:rowOff>
    </xdr:from>
    <xdr:to>
      <xdr:col>20</xdr:col>
      <xdr:colOff>49100</xdr:colOff>
      <xdr:row>33</xdr:row>
      <xdr:rowOff>174973</xdr:rowOff>
    </xdr:to>
    <xdr:sp macro="" textlink="">
      <xdr:nvSpPr>
        <xdr:cNvPr id="55" name="TextBox 5">
          <a:extLst>
            <a:ext uri="{FF2B5EF4-FFF2-40B4-BE49-F238E27FC236}">
              <a16:creationId xmlns:a16="http://schemas.microsoft.com/office/drawing/2014/main" id="{386AD1E9-32C3-4334-B934-51185B93EC10}"/>
            </a:ext>
          </a:extLst>
        </xdr:cNvPr>
        <xdr:cNvSpPr txBox="1"/>
      </xdr:nvSpPr>
      <xdr:spPr>
        <a:xfrm>
          <a:off x="8803986" y="6219326"/>
          <a:ext cx="1965069" cy="432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l" rtl="0"/>
          <a:r>
            <a:rPr lang="en-US" sz="2000" b="1" i="0" baseline="0">
              <a:solidFill>
                <a:schemeClr val="bg1"/>
              </a:solidFill>
              <a:effectLst/>
              <a:latin typeface="+mn-lt"/>
              <a:ea typeface="+mn-ea"/>
              <a:cs typeface="+mn-cs"/>
            </a:rPr>
            <a:t>NCR. Closed</a:t>
          </a:r>
        </a:p>
      </xdr:txBody>
    </xdr:sp>
    <xdr:clientData/>
  </xdr:twoCellAnchor>
  <xdr:twoCellAnchor>
    <xdr:from>
      <xdr:col>16</xdr:col>
      <xdr:colOff>231672</xdr:colOff>
      <xdr:row>34</xdr:row>
      <xdr:rowOff>28547</xdr:rowOff>
    </xdr:from>
    <xdr:to>
      <xdr:col>20</xdr:col>
      <xdr:colOff>510437</xdr:colOff>
      <xdr:row>40</xdr:row>
      <xdr:rowOff>2785</xdr:rowOff>
    </xdr:to>
    <xdr:sp macro="" textlink="Query_Basedata!AE36">
      <xdr:nvSpPr>
        <xdr:cNvPr id="34" name="TextBox 2">
          <a:extLst>
            <a:ext uri="{FF2B5EF4-FFF2-40B4-BE49-F238E27FC236}">
              <a16:creationId xmlns:a16="http://schemas.microsoft.com/office/drawing/2014/main" id="{9483AC3E-1743-45A6-90E7-F20EA18A6D7F}"/>
            </a:ext>
          </a:extLst>
        </xdr:cNvPr>
        <xdr:cNvSpPr txBox="1"/>
      </xdr:nvSpPr>
      <xdr:spPr>
        <a:xfrm>
          <a:off x="9062708" y="5866011"/>
          <a:ext cx="2455908" cy="10355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F81ABFA-BE37-4D2D-98FA-9A525DF346F2}" type="TxLink">
            <a:rPr lang="en-US" sz="6000" b="0" i="0" u="none" strike="noStrike">
              <a:solidFill>
                <a:srgbClr val="92D050"/>
              </a:solidFill>
              <a:latin typeface="Calibri"/>
              <a:ea typeface="+mn-ea"/>
              <a:cs typeface="Calibri"/>
            </a:rPr>
            <a:pPr marL="0" indent="0" algn="ctr"/>
            <a:t>0</a:t>
          </a:fld>
          <a:endParaRPr lang="en-US" sz="6000" b="0" i="0" u="none" strike="noStrike">
            <a:solidFill>
              <a:srgbClr val="92D050"/>
            </a:solidFill>
            <a:latin typeface="Calibri"/>
            <a:ea typeface="+mn-ea"/>
            <a:cs typeface="Calibri"/>
          </a:endParaRPr>
        </a:p>
      </xdr:txBody>
    </xdr:sp>
    <xdr:clientData/>
  </xdr:twoCellAnchor>
  <xdr:twoCellAnchor>
    <xdr:from>
      <xdr:col>9</xdr:col>
      <xdr:colOff>517072</xdr:colOff>
      <xdr:row>34</xdr:row>
      <xdr:rowOff>54815</xdr:rowOff>
    </xdr:from>
    <xdr:to>
      <xdr:col>17</xdr:col>
      <xdr:colOff>9796</xdr:colOff>
      <xdr:row>40</xdr:row>
      <xdr:rowOff>29053</xdr:rowOff>
    </xdr:to>
    <xdr:grpSp>
      <xdr:nvGrpSpPr>
        <xdr:cNvPr id="69" name="Group 32">
          <a:extLst>
            <a:ext uri="{FF2B5EF4-FFF2-40B4-BE49-F238E27FC236}">
              <a16:creationId xmlns:a16="http://schemas.microsoft.com/office/drawing/2014/main" id="{BC9FB2DF-463C-27AF-F703-4B0F49BDADDF}"/>
            </a:ext>
          </a:extLst>
        </xdr:cNvPr>
        <xdr:cNvGrpSpPr/>
      </xdr:nvGrpSpPr>
      <xdr:grpSpPr>
        <a:xfrm>
          <a:off x="5764481" y="7120633"/>
          <a:ext cx="3718360" cy="1221147"/>
          <a:chOff x="4367893" y="6830786"/>
          <a:chExt cx="3653334" cy="1117238"/>
        </a:xfrm>
      </xdr:grpSpPr>
      <xdr:sp macro="" textlink="">
        <xdr:nvSpPr>
          <xdr:cNvPr id="88" name="TextBox 2">
            <a:extLst>
              <a:ext uri="{FF2B5EF4-FFF2-40B4-BE49-F238E27FC236}">
                <a16:creationId xmlns:a16="http://schemas.microsoft.com/office/drawing/2014/main" id="{EEC9D5E7-DBBF-4D3D-A812-DD2FC07F6420}"/>
              </a:ext>
            </a:extLst>
          </xdr:cNvPr>
          <xdr:cNvSpPr txBox="1"/>
        </xdr:nvSpPr>
        <xdr:spPr>
          <a:xfrm>
            <a:off x="4367893" y="6830786"/>
            <a:ext cx="2360658" cy="111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2800" b="0" i="0" u="none" strike="noStrike">
                <a:solidFill>
                  <a:srgbClr val="92D050"/>
                </a:solidFill>
                <a:latin typeface="+mn-lt"/>
                <a:ea typeface="+mn-ea"/>
                <a:cs typeface="Calibri"/>
              </a:rPr>
              <a:t>Maturity</a:t>
            </a:r>
            <a:r>
              <a:rPr lang="zh-TW" altLang="en-US" sz="2800" b="0" i="0" u="none" strike="noStrike">
                <a:solidFill>
                  <a:srgbClr val="92D050"/>
                </a:solidFill>
                <a:latin typeface="+mn-lt"/>
                <a:ea typeface="+mn-ea"/>
                <a:cs typeface="Calibri"/>
              </a:rPr>
              <a:t> </a:t>
            </a:r>
            <a:r>
              <a:rPr lang="en-US" altLang="zh-TW" sz="2800" b="0" i="0" u="none" strike="noStrike">
                <a:solidFill>
                  <a:srgbClr val="92D050"/>
                </a:solidFill>
                <a:latin typeface="+mn-lt"/>
                <a:ea typeface="+mn-ea"/>
                <a:cs typeface="Calibri"/>
              </a:rPr>
              <a:t>=</a:t>
            </a:r>
            <a:r>
              <a:rPr lang="zh-TW" altLang="en-US" sz="2800" b="0" i="0" u="none" strike="noStrike">
                <a:solidFill>
                  <a:srgbClr val="92D050"/>
                </a:solidFill>
                <a:latin typeface="+mn-lt"/>
                <a:ea typeface="+mn-ea"/>
                <a:cs typeface="Calibri"/>
              </a:rPr>
              <a:t> </a:t>
            </a:r>
            <a:endParaRPr lang="en-US" sz="2800" b="0" i="0" u="none" strike="noStrike">
              <a:solidFill>
                <a:srgbClr val="92D050"/>
              </a:solidFill>
              <a:latin typeface="+mn-lt"/>
              <a:ea typeface="+mn-ea"/>
              <a:cs typeface="Calibri"/>
            </a:endParaRPr>
          </a:p>
        </xdr:txBody>
      </xdr:sp>
      <xdr:sp macro="" textlink="Query_Basedata!N37">
        <xdr:nvSpPr>
          <xdr:cNvPr id="90" name="TextBox 2">
            <a:extLst>
              <a:ext uri="{FF2B5EF4-FFF2-40B4-BE49-F238E27FC236}">
                <a16:creationId xmlns:a16="http://schemas.microsoft.com/office/drawing/2014/main" id="{10459DF7-9FB6-4E02-93EC-1CC9D9B7AC78}"/>
              </a:ext>
            </a:extLst>
          </xdr:cNvPr>
          <xdr:cNvSpPr txBox="1"/>
        </xdr:nvSpPr>
        <xdr:spPr>
          <a:xfrm>
            <a:off x="5660569" y="6830786"/>
            <a:ext cx="2360658" cy="111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FCEA10F-C2EA-494B-8AA1-8AED5C24A384}" type="TxLink">
              <a:rPr lang="en-US" sz="2800" b="0" i="0" u="none" strike="noStrike">
                <a:solidFill>
                  <a:srgbClr val="92D050"/>
                </a:solidFill>
                <a:latin typeface="+mn-lt"/>
                <a:ea typeface="+mn-ea"/>
                <a:cs typeface="Calibri"/>
              </a:rPr>
              <a:pPr marL="0" indent="0" algn="ctr"/>
              <a:t>#DIV/0!</a:t>
            </a:fld>
            <a:endParaRPr lang="en-US" sz="2800" b="0" i="0" u="none" strike="noStrike">
              <a:solidFill>
                <a:srgbClr val="92D050"/>
              </a:solidFill>
              <a:latin typeface="+mn-lt"/>
              <a:ea typeface="+mn-ea"/>
              <a:cs typeface="Calibri"/>
            </a:endParaRPr>
          </a:p>
        </xdr:txBody>
      </xdr:sp>
    </xdr:grpSp>
    <xdr:clientData/>
  </xdr:twoCellAnchor>
  <xdr:twoCellAnchor>
    <xdr:from>
      <xdr:col>1</xdr:col>
      <xdr:colOff>0</xdr:colOff>
      <xdr:row>22</xdr:row>
      <xdr:rowOff>0</xdr:rowOff>
    </xdr:from>
    <xdr:to>
      <xdr:col>6</xdr:col>
      <xdr:colOff>31825</xdr:colOff>
      <xdr:row>22</xdr:row>
      <xdr:rowOff>91440</xdr:rowOff>
    </xdr:to>
    <xdr:sp macro="" textlink="">
      <xdr:nvSpPr>
        <xdr:cNvPr id="86" name="Rectangle 85">
          <a:extLst>
            <a:ext uri="{FF2B5EF4-FFF2-40B4-BE49-F238E27FC236}">
              <a16:creationId xmlns:a16="http://schemas.microsoft.com/office/drawing/2014/main" id="{3D8F46C3-3C88-44F8-A048-3F4415042158}"/>
            </a:ext>
          </a:extLst>
        </xdr:cNvPr>
        <xdr:cNvSpPr/>
      </xdr:nvSpPr>
      <xdr:spPr>
        <a:xfrm rot="-5400000">
          <a:off x="2194560" y="1805940"/>
          <a:ext cx="91440" cy="448056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31</xdr:row>
      <xdr:rowOff>0</xdr:rowOff>
    </xdr:from>
    <xdr:to>
      <xdr:col>6</xdr:col>
      <xdr:colOff>31825</xdr:colOff>
      <xdr:row>31</xdr:row>
      <xdr:rowOff>91440</xdr:rowOff>
    </xdr:to>
    <xdr:sp macro="" textlink="">
      <xdr:nvSpPr>
        <xdr:cNvPr id="87" name="Rectangle 86">
          <a:extLst>
            <a:ext uri="{FF2B5EF4-FFF2-40B4-BE49-F238E27FC236}">
              <a16:creationId xmlns:a16="http://schemas.microsoft.com/office/drawing/2014/main" id="{895E6289-8445-4030-8DAE-4651BF64F16C}"/>
            </a:ext>
          </a:extLst>
        </xdr:cNvPr>
        <xdr:cNvSpPr/>
      </xdr:nvSpPr>
      <xdr:spPr>
        <a:xfrm rot="-5400000">
          <a:off x="2194560" y="3520440"/>
          <a:ext cx="91440" cy="448056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215927</xdr:colOff>
      <xdr:row>25</xdr:row>
      <xdr:rowOff>19958</xdr:rowOff>
    </xdr:from>
    <xdr:to>
      <xdr:col>5</xdr:col>
      <xdr:colOff>75411</xdr:colOff>
      <xdr:row>29</xdr:row>
      <xdr:rowOff>31207</xdr:rowOff>
    </xdr:to>
    <xdr:sp macro="" textlink="">
      <xdr:nvSpPr>
        <xdr:cNvPr id="3" name="TextBox 18">
          <a:extLst>
            <a:ext uri="{FF2B5EF4-FFF2-40B4-BE49-F238E27FC236}">
              <a16:creationId xmlns:a16="http://schemas.microsoft.com/office/drawing/2014/main" id="{C0451554-6F0F-4620-BBE4-C7A4B8E4F06A}"/>
            </a:ext>
            <a:ext uri="{147F2762-F138-4A5C-976F-8EAC2B608ADB}">
              <a16:predDERef xmlns:a16="http://schemas.microsoft.com/office/drawing/2014/main" pred="{895E6289-8445-4030-8DAE-4651BF64F16C}"/>
            </a:ext>
          </a:extLst>
        </xdr:cNvPr>
        <xdr:cNvSpPr txBox="1"/>
      </xdr:nvSpPr>
      <xdr:spPr>
        <a:xfrm>
          <a:off x="215927" y="4646387"/>
          <a:ext cx="2472055" cy="718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2400" b="1" i="0" u="none" strike="noStrike">
              <a:solidFill>
                <a:srgbClr val="FFFFFF"/>
              </a:solidFill>
              <a:latin typeface="Arial" panose="020B0604020202020204" pitchFamily="34" charset="0"/>
              <a:ea typeface="+mn-ea"/>
              <a:cs typeface="Arial" panose="020B0604020202020204" pitchFamily="34" charset="0"/>
            </a:rPr>
            <a:t>End</a:t>
          </a:r>
          <a:r>
            <a:rPr lang="en-US" sz="2400" b="1" i="0" u="none" strike="noStrike" baseline="0">
              <a:solidFill>
                <a:srgbClr val="FFFFFF"/>
              </a:solidFill>
              <a:latin typeface="Arial" panose="020B0604020202020204" pitchFamily="34" charset="0"/>
              <a:ea typeface="+mn-ea"/>
              <a:cs typeface="Arial" panose="020B0604020202020204" pitchFamily="34" charset="0"/>
            </a:rPr>
            <a:t> of Month</a:t>
          </a:r>
          <a:endParaRPr lang="en-US" sz="2400" b="1" i="0" u="none" strike="noStrike">
            <a:solidFill>
              <a:srgbClr val="FFFFFF"/>
            </a:solidFill>
            <a:latin typeface="Arial" panose="020B0604020202020204" pitchFamily="34" charset="0"/>
            <a:ea typeface="+mn-ea"/>
            <a:cs typeface="Arial" panose="020B0604020202020204" pitchFamily="34" charset="0"/>
          </a:endParaRPr>
        </a:p>
      </xdr:txBody>
    </xdr:sp>
    <xdr:clientData/>
  </xdr:twoCellAnchor>
  <xdr:oneCellAnchor>
    <xdr:from>
      <xdr:col>14</xdr:col>
      <xdr:colOff>182845</xdr:colOff>
      <xdr:row>18</xdr:row>
      <xdr:rowOff>89115</xdr:rowOff>
    </xdr:from>
    <xdr:ext cx="1150656" cy="413112"/>
    <xdr:sp macro="" textlink="Query_Basedata!O35">
      <xdr:nvSpPr>
        <xdr:cNvPr id="131" name="TextBox 2">
          <a:extLst>
            <a:ext uri="{FF2B5EF4-FFF2-40B4-BE49-F238E27FC236}">
              <a16:creationId xmlns:a16="http://schemas.microsoft.com/office/drawing/2014/main" id="{0899DB67-88B2-44A0-A1AF-D77073821EE3}"/>
            </a:ext>
            <a:ext uri="{147F2762-F138-4A5C-976F-8EAC2B608ADB}">
              <a16:predDERef xmlns:a16="http://schemas.microsoft.com/office/drawing/2014/main" pred="{18CED2B2-784C-453D-BA51-DD83679C8D09}"/>
            </a:ext>
          </a:extLst>
        </xdr:cNvPr>
        <xdr:cNvSpPr txBox="1"/>
      </xdr:nvSpPr>
      <xdr:spPr>
        <a:xfrm>
          <a:off x="7543072" y="3708615"/>
          <a:ext cx="1150656" cy="413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oAutofit/>
        </a:bodyPr>
        <a:lstStyle/>
        <a:p>
          <a:pPr marL="0" indent="0" algn="ctr"/>
          <a:fld id="{1D09917D-2F84-4114-9D38-0FF66099DB24}" type="TxLink">
            <a:rPr lang="en-US" sz="2000" b="1" i="0" u="none" strike="noStrike">
              <a:solidFill>
                <a:srgbClr val="92D050"/>
              </a:solidFill>
              <a:latin typeface="Calibri"/>
              <a:ea typeface="+mn-ea"/>
              <a:cs typeface="Calibri"/>
            </a:rPr>
            <a:pPr marL="0" indent="0" algn="ctr"/>
            <a:t>#DIV/0!</a:t>
          </a:fld>
          <a:endParaRPr lang="en-US" sz="2000" b="1" i="0" u="none" strike="noStrike">
            <a:solidFill>
              <a:srgbClr val="92D050"/>
            </a:solidFill>
            <a:latin typeface="Calibri"/>
            <a:ea typeface="+mn-ea"/>
            <a:cs typeface="Calibri"/>
          </a:endParaRPr>
        </a:p>
      </xdr:txBody>
    </xdr:sp>
    <xdr:clientData/>
  </xdr:oneCellAnchor>
  <xdr:oneCellAnchor>
    <xdr:from>
      <xdr:col>1</xdr:col>
      <xdr:colOff>0</xdr:colOff>
      <xdr:row>32</xdr:row>
      <xdr:rowOff>0</xdr:rowOff>
    </xdr:from>
    <xdr:ext cx="1505156" cy="374141"/>
    <xdr:sp macro="" textlink="">
      <xdr:nvSpPr>
        <xdr:cNvPr id="35" name="TextBox 10">
          <a:extLst>
            <a:ext uri="{FF2B5EF4-FFF2-40B4-BE49-F238E27FC236}">
              <a16:creationId xmlns:a16="http://schemas.microsoft.com/office/drawing/2014/main" id="{440CE23B-9D40-4F00-85DD-DE119918FC28}"/>
            </a:ext>
          </a:extLst>
        </xdr:cNvPr>
        <xdr:cNvSpPr txBox="1"/>
      </xdr:nvSpPr>
      <xdr:spPr>
        <a:xfrm>
          <a:off x="0" y="5864679"/>
          <a:ext cx="1505156" cy="3741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spAutoFit/>
        </a:bodyPr>
        <a:lstStyle/>
        <a:p>
          <a:pPr rtl="0"/>
          <a:r>
            <a:rPr lang="en-US" sz="1800" b="1" i="0" baseline="0">
              <a:solidFill>
                <a:schemeClr val="bg1"/>
              </a:solidFill>
              <a:effectLst/>
              <a:latin typeface="+mn-lt"/>
              <a:ea typeface="+mn-ea"/>
              <a:cs typeface="+mn-cs"/>
            </a:rPr>
            <a:t>Last Update</a:t>
          </a:r>
          <a:r>
            <a:rPr lang="en-US" altLang="zh-TW" sz="1800" b="1" i="0" baseline="0">
              <a:solidFill>
                <a:schemeClr val="bg1"/>
              </a:solidFill>
              <a:effectLst/>
              <a:latin typeface="+mn-lt"/>
              <a:ea typeface="+mn-ea"/>
              <a:cs typeface="+mn-cs"/>
            </a:rPr>
            <a:t>d:</a:t>
          </a:r>
          <a:endParaRPr lang="en-US" sz="3200" b="1">
            <a:solidFill>
              <a:schemeClr val="bg1"/>
            </a:solidFill>
            <a:effectLst/>
          </a:endParaRPr>
        </a:p>
      </xdr:txBody>
    </xdr:sp>
    <xdr:clientData/>
  </xdr:oneCellAnchor>
  <xdr:oneCellAnchor>
    <xdr:from>
      <xdr:col>1</xdr:col>
      <xdr:colOff>0</xdr:colOff>
      <xdr:row>23</xdr:row>
      <xdr:rowOff>0</xdr:rowOff>
    </xdr:from>
    <xdr:ext cx="1890005" cy="374141"/>
    <xdr:sp macro="" textlink="">
      <xdr:nvSpPr>
        <xdr:cNvPr id="37" name="TextBox 10">
          <a:extLst>
            <a:ext uri="{FF2B5EF4-FFF2-40B4-BE49-F238E27FC236}">
              <a16:creationId xmlns:a16="http://schemas.microsoft.com/office/drawing/2014/main" id="{66AFEBE8-840C-4EBB-9A24-1CF2D8F821AE}"/>
            </a:ext>
          </a:extLst>
        </xdr:cNvPr>
        <xdr:cNvSpPr txBox="1"/>
      </xdr:nvSpPr>
      <xdr:spPr>
        <a:xfrm>
          <a:off x="0" y="4272643"/>
          <a:ext cx="1890005" cy="3741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spAutoFit/>
        </a:bodyPr>
        <a:lstStyle/>
        <a:p>
          <a:pPr rtl="0"/>
          <a:r>
            <a:rPr lang="en-US" sz="1800" b="1" i="0" baseline="0">
              <a:solidFill>
                <a:schemeClr val="bg1"/>
              </a:solidFill>
              <a:effectLst/>
              <a:latin typeface="+mn-lt"/>
              <a:ea typeface="+mn-ea"/>
              <a:cs typeface="+mn-cs"/>
            </a:rPr>
            <a:t>Data CutOff Date</a:t>
          </a:r>
          <a:r>
            <a:rPr lang="en-US" altLang="zh-TW" sz="1800" b="1" i="0" baseline="0">
              <a:solidFill>
                <a:schemeClr val="bg1"/>
              </a:solidFill>
              <a:effectLst/>
              <a:latin typeface="+mn-lt"/>
              <a:ea typeface="+mn-ea"/>
              <a:cs typeface="+mn-cs"/>
            </a:rPr>
            <a:t>:</a:t>
          </a:r>
          <a:endParaRPr lang="en-US" sz="1800" b="1" i="0" baseline="0">
            <a:solidFill>
              <a:schemeClr val="bg1"/>
            </a:solidFill>
            <a:effectLst/>
            <a:latin typeface="+mn-lt"/>
            <a:ea typeface="+mn-ea"/>
            <a:cs typeface="+mn-cs"/>
          </a:endParaRPr>
        </a:p>
      </xdr:txBody>
    </xdr:sp>
    <xdr:clientData/>
  </xdr:oneCellAnchor>
  <xdr:twoCellAnchor>
    <xdr:from>
      <xdr:col>1</xdr:col>
      <xdr:colOff>0</xdr:colOff>
      <xdr:row>72</xdr:row>
      <xdr:rowOff>177302</xdr:rowOff>
    </xdr:from>
    <xdr:to>
      <xdr:col>62</xdr:col>
      <xdr:colOff>26034</xdr:colOff>
      <xdr:row>73</xdr:row>
      <xdr:rowOff>78242</xdr:rowOff>
    </xdr:to>
    <xdr:sp macro="" textlink="">
      <xdr:nvSpPr>
        <xdr:cNvPr id="25" name="Rectangle 23">
          <a:extLst>
            <a:ext uri="{FF2B5EF4-FFF2-40B4-BE49-F238E27FC236}">
              <a16:creationId xmlns:a16="http://schemas.microsoft.com/office/drawing/2014/main" id="{4270894F-DAF7-4CAA-0E98-A56744194DD8}"/>
            </a:ext>
          </a:extLst>
        </xdr:cNvPr>
        <xdr:cNvSpPr/>
      </xdr:nvSpPr>
      <xdr:spPr>
        <a:xfrm rot="-5400000" flipH="1">
          <a:off x="16969422" y="-2885620"/>
          <a:ext cx="91440" cy="34030284"/>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0</xdr:colOff>
      <xdr:row>0</xdr:row>
      <xdr:rowOff>0</xdr:rowOff>
    </xdr:from>
    <xdr:to>
      <xdr:col>21</xdr:col>
      <xdr:colOff>88265</xdr:colOff>
      <xdr:row>72</xdr:row>
      <xdr:rowOff>182880</xdr:rowOff>
    </xdr:to>
    <xdr:sp macro="" textlink="">
      <xdr:nvSpPr>
        <xdr:cNvPr id="62" name="Rectangle 61">
          <a:extLst>
            <a:ext uri="{FF2B5EF4-FFF2-40B4-BE49-F238E27FC236}">
              <a16:creationId xmlns:a16="http://schemas.microsoft.com/office/drawing/2014/main" id="{E4208C51-125D-4B66-B62B-4CE714C9A90A}"/>
            </a:ext>
          </a:extLst>
        </xdr:cNvPr>
        <xdr:cNvSpPr/>
      </xdr:nvSpPr>
      <xdr:spPr>
        <a:xfrm>
          <a:off x="11935239" y="0"/>
          <a:ext cx="88265" cy="1389888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xdr:row>
      <xdr:rowOff>0</xdr:rowOff>
    </xdr:from>
    <xdr:to>
      <xdr:col>1</xdr:col>
      <xdr:colOff>0</xdr:colOff>
      <xdr:row>1</xdr:row>
      <xdr:rowOff>0</xdr:rowOff>
    </xdr:to>
    <xdr:graphicFrame macro="">
      <xdr:nvGraphicFramePr>
        <xdr:cNvPr id="49" name="Chart 48">
          <a:extLst>
            <a:ext uri="{FF2B5EF4-FFF2-40B4-BE49-F238E27FC236}">
              <a16:creationId xmlns:a16="http://schemas.microsoft.com/office/drawing/2014/main" id="{7A706E17-F8A4-42FD-8E03-147A5F48F5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xdr:row>
      <xdr:rowOff>0</xdr:rowOff>
    </xdr:from>
    <xdr:to>
      <xdr:col>1</xdr:col>
      <xdr:colOff>0</xdr:colOff>
      <xdr:row>1</xdr:row>
      <xdr:rowOff>0</xdr:rowOff>
    </xdr:to>
    <xdr:graphicFrame macro="">
      <xdr:nvGraphicFramePr>
        <xdr:cNvPr id="50" name="Chart 49">
          <a:extLst>
            <a:ext uri="{FF2B5EF4-FFF2-40B4-BE49-F238E27FC236}">
              <a16:creationId xmlns:a16="http://schemas.microsoft.com/office/drawing/2014/main" id="{22E7E643-7CC8-474D-9451-2D37792F56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xdr:row>
      <xdr:rowOff>0</xdr:rowOff>
    </xdr:from>
    <xdr:to>
      <xdr:col>1</xdr:col>
      <xdr:colOff>0</xdr:colOff>
      <xdr:row>1</xdr:row>
      <xdr:rowOff>0</xdr:rowOff>
    </xdr:to>
    <xdr:graphicFrame macro="">
      <xdr:nvGraphicFramePr>
        <xdr:cNvPr id="51" name="Chart 50">
          <a:extLst>
            <a:ext uri="{FF2B5EF4-FFF2-40B4-BE49-F238E27FC236}">
              <a16:creationId xmlns:a16="http://schemas.microsoft.com/office/drawing/2014/main" id="{B31C8C35-E24F-41C1-82C5-3F32DBEDBB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xdr:row>
      <xdr:rowOff>0</xdr:rowOff>
    </xdr:from>
    <xdr:to>
      <xdr:col>1</xdr:col>
      <xdr:colOff>0</xdr:colOff>
      <xdr:row>1</xdr:row>
      <xdr:rowOff>0</xdr:rowOff>
    </xdr:to>
    <xdr:graphicFrame macro="">
      <xdr:nvGraphicFramePr>
        <xdr:cNvPr id="52" name="Chart 51">
          <a:extLst>
            <a:ext uri="{FF2B5EF4-FFF2-40B4-BE49-F238E27FC236}">
              <a16:creationId xmlns:a16="http://schemas.microsoft.com/office/drawing/2014/main" id="{3A6CD8B0-4F36-45B0-8088-691B774CEE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12</xdr:row>
      <xdr:rowOff>0</xdr:rowOff>
    </xdr:from>
    <xdr:to>
      <xdr:col>15</xdr:col>
      <xdr:colOff>294409</xdr:colOff>
      <xdr:row>14</xdr:row>
      <xdr:rowOff>87013</xdr:rowOff>
    </xdr:to>
    <xdr:sp macro="" textlink="">
      <xdr:nvSpPr>
        <xdr:cNvPr id="42" name="TextBox 16">
          <a:extLst>
            <a:ext uri="{FF2B5EF4-FFF2-40B4-BE49-F238E27FC236}">
              <a16:creationId xmlns:a16="http://schemas.microsoft.com/office/drawing/2014/main" id="{24CD21B9-3305-4B58-A3BF-C41AE7C85AF8}"/>
            </a:ext>
          </a:extLst>
        </xdr:cNvPr>
        <xdr:cNvSpPr txBox="1"/>
      </xdr:nvSpPr>
      <xdr:spPr>
        <a:xfrm>
          <a:off x="6113318" y="2095500"/>
          <a:ext cx="2164773" cy="468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l" rtl="0"/>
          <a:r>
            <a:rPr lang="en-US" altLang="zh-TW" sz="2400" b="1" i="0" baseline="0">
              <a:solidFill>
                <a:schemeClr val="bg1"/>
              </a:solidFill>
              <a:effectLst/>
              <a:latin typeface="+mn-lt"/>
              <a:ea typeface="+mn-ea"/>
              <a:cs typeface="+mn-cs"/>
            </a:rPr>
            <a:t>ITP Submitted</a:t>
          </a:r>
          <a:endParaRPr lang="en-US" sz="2400" b="1" i="0" baseline="0">
            <a:solidFill>
              <a:schemeClr val="bg1"/>
            </a:solidFill>
            <a:effectLst/>
            <a:latin typeface="+mn-lt"/>
            <a:ea typeface="+mn-ea"/>
            <a:cs typeface="+mn-cs"/>
          </a:endParaRPr>
        </a:p>
      </xdr:txBody>
    </xdr:sp>
    <xdr:clientData/>
  </xdr:twoCellAnchor>
  <xdr:twoCellAnchor>
    <xdr:from>
      <xdr:col>12</xdr:col>
      <xdr:colOff>0</xdr:colOff>
      <xdr:row>1</xdr:row>
      <xdr:rowOff>189175</xdr:rowOff>
    </xdr:from>
    <xdr:to>
      <xdr:col>16</xdr:col>
      <xdr:colOff>13447</xdr:colOff>
      <xdr:row>4</xdr:row>
      <xdr:rowOff>85688</xdr:rowOff>
    </xdr:to>
    <xdr:sp macro="" textlink="">
      <xdr:nvSpPr>
        <xdr:cNvPr id="53" name="TextBox 15">
          <a:extLst>
            <a:ext uri="{FF2B5EF4-FFF2-40B4-BE49-F238E27FC236}">
              <a16:creationId xmlns:a16="http://schemas.microsoft.com/office/drawing/2014/main" id="{FF1E9AEE-84DA-4138-86A4-04E0D08B0245}"/>
            </a:ext>
          </a:extLst>
        </xdr:cNvPr>
        <xdr:cNvSpPr txBox="1"/>
      </xdr:nvSpPr>
      <xdr:spPr>
        <a:xfrm>
          <a:off x="6113318" y="189175"/>
          <a:ext cx="2507265" cy="468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pAutoFit/>
        </a:bodyPr>
        <a:lstStyle/>
        <a:p>
          <a:pPr marL="0" indent="0" algn="l" rtl="0"/>
          <a:r>
            <a:rPr lang="en-US" altLang="zh-TW" sz="2400" b="1" i="0" baseline="0">
              <a:solidFill>
                <a:schemeClr val="bg1"/>
              </a:solidFill>
              <a:effectLst/>
              <a:latin typeface="+mn-lt"/>
              <a:ea typeface="+mn-ea"/>
              <a:cs typeface="+mn-cs"/>
            </a:rPr>
            <a:t>ITP</a:t>
          </a:r>
          <a:r>
            <a:rPr lang="zh-TW" altLang="en-US" sz="2400" b="1" i="0" baseline="0">
              <a:solidFill>
                <a:schemeClr val="bg1"/>
              </a:solidFill>
              <a:effectLst/>
              <a:latin typeface="+mn-lt"/>
              <a:ea typeface="+mn-ea"/>
              <a:cs typeface="+mn-cs"/>
            </a:rPr>
            <a:t> </a:t>
          </a:r>
          <a:r>
            <a:rPr lang="en-US" altLang="zh-TW" sz="2400" b="1" i="0" baseline="0">
              <a:solidFill>
                <a:schemeClr val="bg1"/>
              </a:solidFill>
              <a:effectLst/>
              <a:latin typeface="+mn-lt"/>
              <a:ea typeface="+mn-ea"/>
              <a:cs typeface="+mn-cs"/>
            </a:rPr>
            <a:t>Total</a:t>
          </a:r>
          <a:endParaRPr lang="en-US" sz="2400" b="1" i="0" baseline="0">
            <a:solidFill>
              <a:schemeClr val="bg1"/>
            </a:solidFill>
            <a:effectLst/>
            <a:latin typeface="+mn-lt"/>
            <a:ea typeface="+mn-ea"/>
            <a:cs typeface="+mn-cs"/>
          </a:endParaRPr>
        </a:p>
      </xdr:txBody>
    </xdr:sp>
    <xdr:clientData/>
  </xdr:twoCellAnchor>
  <xdr:twoCellAnchor>
    <xdr:from>
      <xdr:col>1</xdr:col>
      <xdr:colOff>138544</xdr:colOff>
      <xdr:row>42</xdr:row>
      <xdr:rowOff>0</xdr:rowOff>
    </xdr:from>
    <xdr:to>
      <xdr:col>20</xdr:col>
      <xdr:colOff>450270</xdr:colOff>
      <xdr:row>72</xdr:row>
      <xdr:rowOff>45720</xdr:rowOff>
    </xdr:to>
    <xdr:graphicFrame macro="">
      <xdr:nvGraphicFramePr>
        <xdr:cNvPr id="57" name="Chart 56">
          <a:extLst>
            <a:ext uri="{FF2B5EF4-FFF2-40B4-BE49-F238E27FC236}">
              <a16:creationId xmlns:a16="http://schemas.microsoft.com/office/drawing/2014/main" id="{F5487A35-5068-4204-A2B6-8B54B2FD23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0</xdr:colOff>
      <xdr:row>41</xdr:row>
      <xdr:rowOff>190499</xdr:rowOff>
    </xdr:from>
    <xdr:to>
      <xdr:col>46</xdr:col>
      <xdr:colOff>0</xdr:colOff>
      <xdr:row>72</xdr:row>
      <xdr:rowOff>45604</xdr:rowOff>
    </xdr:to>
    <xdr:graphicFrame macro="">
      <xdr:nvGraphicFramePr>
        <xdr:cNvPr id="58" name="KPI_Chart">
          <a:extLst>
            <a:ext uri="{FF2B5EF4-FFF2-40B4-BE49-F238E27FC236}">
              <a16:creationId xmlns:a16="http://schemas.microsoft.com/office/drawing/2014/main" id="{11C32C90-CA3E-4CD4-AE35-36E8911D19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588818</xdr:colOff>
      <xdr:row>23</xdr:row>
      <xdr:rowOff>86591</xdr:rowOff>
    </xdr:from>
    <xdr:to>
      <xdr:col>15</xdr:col>
      <xdr:colOff>326096</xdr:colOff>
      <xdr:row>45</xdr:row>
      <xdr:rowOff>135046</xdr:rowOff>
    </xdr:to>
    <xdr:graphicFrame macro="">
      <xdr:nvGraphicFramePr>
        <xdr:cNvPr id="59" name="Chart 58">
          <a:extLst>
            <a:ext uri="{FF2B5EF4-FFF2-40B4-BE49-F238E27FC236}">
              <a16:creationId xmlns:a16="http://schemas.microsoft.com/office/drawing/2014/main" id="{3A6DD671-57FA-4A9F-8123-C2E152854F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39</xdr:col>
      <xdr:colOff>0</xdr:colOff>
      <xdr:row>1</xdr:row>
      <xdr:rowOff>0</xdr:rowOff>
    </xdr:from>
    <xdr:to>
      <xdr:col>46</xdr:col>
      <xdr:colOff>0</xdr:colOff>
      <xdr:row>19</xdr:row>
      <xdr:rowOff>106136</xdr:rowOff>
    </xdr:to>
    <xdr:graphicFrame macro="">
      <xdr:nvGraphicFramePr>
        <xdr:cNvPr id="65" name="Chart 64">
          <a:extLst>
            <a:ext uri="{FF2B5EF4-FFF2-40B4-BE49-F238E27FC236}">
              <a16:creationId xmlns:a16="http://schemas.microsoft.com/office/drawing/2014/main" id="{267E621C-F30D-41A3-A6F7-63FE5FD9BB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0</xdr:row>
      <xdr:rowOff>0</xdr:rowOff>
    </xdr:from>
    <xdr:to>
      <xdr:col>1</xdr:col>
      <xdr:colOff>91440</xdr:colOff>
      <xdr:row>72</xdr:row>
      <xdr:rowOff>182880</xdr:rowOff>
    </xdr:to>
    <xdr:sp macro="" textlink="">
      <xdr:nvSpPr>
        <xdr:cNvPr id="67" name="Rectangle 66">
          <a:extLst>
            <a:ext uri="{FF2B5EF4-FFF2-40B4-BE49-F238E27FC236}">
              <a16:creationId xmlns:a16="http://schemas.microsoft.com/office/drawing/2014/main" id="{5583E3D9-166F-44FC-A3EA-2440FD79F06A}"/>
            </a:ext>
            <a:ext uri="{147F2762-F138-4A5C-976F-8EAC2B608ADB}">
              <a16:predDERef xmlns:a16="http://schemas.microsoft.com/office/drawing/2014/main" pred="{5186710E-83B8-4094-A4C3-E73A51305BB2}"/>
            </a:ext>
          </a:extLst>
        </xdr:cNvPr>
        <xdr:cNvSpPr/>
      </xdr:nvSpPr>
      <xdr:spPr>
        <a:xfrm>
          <a:off x="621196" y="0"/>
          <a:ext cx="91440" cy="13898880"/>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146540</xdr:colOff>
      <xdr:row>0</xdr:row>
      <xdr:rowOff>183172</xdr:rowOff>
    </xdr:from>
    <xdr:to>
      <xdr:col>5</xdr:col>
      <xdr:colOff>544831</xdr:colOff>
      <xdr:row>21</xdr:row>
      <xdr:rowOff>18316</xdr:rowOff>
    </xdr:to>
    <mc:AlternateContent xmlns:mc="http://schemas.openxmlformats.org/markup-compatibility/2006" xmlns:a14="http://schemas.microsoft.com/office/drawing/2010/main">
      <mc:Choice Requires="a14">
        <xdr:graphicFrame macro="">
          <xdr:nvGraphicFramePr>
            <xdr:cNvPr id="71" name="Contractor 2">
              <a:extLst>
                <a:ext uri="{FF2B5EF4-FFF2-40B4-BE49-F238E27FC236}">
                  <a16:creationId xmlns:a16="http://schemas.microsoft.com/office/drawing/2014/main" id="{469F2249-88C2-4860-A9AA-C7F7628C4D65}"/>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Contractor 2"/>
            </a:graphicData>
          </a:graphic>
        </xdr:graphicFrame>
      </mc:Choice>
      <mc:Fallback xmlns="">
        <xdr:sp macro="" textlink="">
          <xdr:nvSpPr>
            <xdr:cNvPr id="0" name=""/>
            <xdr:cNvSpPr>
              <a:spLocks noTextEdit="1"/>
            </xdr:cNvSpPr>
          </xdr:nvSpPr>
          <xdr:spPr>
            <a:xfrm>
              <a:off x="765665" y="183172"/>
              <a:ext cx="2922416" cy="38356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0</xdr:colOff>
      <xdr:row>22</xdr:row>
      <xdr:rowOff>0</xdr:rowOff>
    </xdr:from>
    <xdr:to>
      <xdr:col>37</xdr:col>
      <xdr:colOff>196938</xdr:colOff>
      <xdr:row>40</xdr:row>
      <xdr:rowOff>144895</xdr:rowOff>
    </xdr:to>
    <xdr:graphicFrame macro="">
      <xdr:nvGraphicFramePr>
        <xdr:cNvPr id="75" name="Chart 74">
          <a:extLst>
            <a:ext uri="{FF2B5EF4-FFF2-40B4-BE49-F238E27FC236}">
              <a16:creationId xmlns:a16="http://schemas.microsoft.com/office/drawing/2014/main" id="{D6B98EC1-9EA7-4503-A9C0-6649A16DD4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38</xdr:col>
      <xdr:colOff>238125</xdr:colOff>
      <xdr:row>21</xdr:row>
      <xdr:rowOff>174625</xdr:rowOff>
    </xdr:from>
    <xdr:to>
      <xdr:col>45</xdr:col>
      <xdr:colOff>635000</xdr:colOff>
      <xdr:row>40</xdr:row>
      <xdr:rowOff>90261</xdr:rowOff>
    </xdr:to>
    <xdr:graphicFrame macro="">
      <xdr:nvGraphicFramePr>
        <xdr:cNvPr id="5" name="Chart 4">
          <a:extLst>
            <a:ext uri="{FF2B5EF4-FFF2-40B4-BE49-F238E27FC236}">
              <a16:creationId xmlns:a16="http://schemas.microsoft.com/office/drawing/2014/main" id="{5DFB2540-3517-9DA1-ADD7-D366EECCEA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43</xdr:col>
      <xdr:colOff>484909</xdr:colOff>
      <xdr:row>68</xdr:row>
      <xdr:rowOff>121227</xdr:rowOff>
    </xdr:from>
    <xdr:to>
      <xdr:col>45</xdr:col>
      <xdr:colOff>406689</xdr:colOff>
      <xdr:row>72</xdr:row>
      <xdr:rowOff>3175</xdr:rowOff>
    </xdr:to>
    <xdr:sp macro="[0]!Focus_AutoBuffer" textlink="">
      <xdr:nvSpPr>
        <xdr:cNvPr id="4" name="Rectangle: Rounded Corners 3">
          <a:extLst>
            <a:ext uri="{FF2B5EF4-FFF2-40B4-BE49-F238E27FC236}">
              <a16:creationId xmlns:a16="http://schemas.microsoft.com/office/drawing/2014/main" id="{25860C93-BA5F-4335-865C-9D60183B979A}"/>
            </a:ext>
          </a:extLst>
        </xdr:cNvPr>
        <xdr:cNvSpPr/>
      </xdr:nvSpPr>
      <xdr:spPr>
        <a:xfrm>
          <a:off x="25527000" y="11897591"/>
          <a:ext cx="1203325" cy="574675"/>
        </a:xfrm>
        <a:prstGeom prst="roundRect">
          <a:avLst/>
        </a:prstGeom>
        <a:solidFill>
          <a:srgbClr val="0099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mj-lt"/>
            </a:rPr>
            <a:t>Update Drawing</a:t>
          </a:r>
        </a:p>
      </xdr:txBody>
    </xdr:sp>
    <xdr:clientData/>
  </xdr:twoCellAnchor>
  <xdr:twoCellAnchor>
    <xdr:from>
      <xdr:col>47</xdr:col>
      <xdr:colOff>12699</xdr:colOff>
      <xdr:row>27</xdr:row>
      <xdr:rowOff>127000</xdr:rowOff>
    </xdr:from>
    <xdr:to>
      <xdr:col>69</xdr:col>
      <xdr:colOff>182191</xdr:colOff>
      <xdr:row>65</xdr:row>
      <xdr:rowOff>50800</xdr:rowOff>
    </xdr:to>
    <xdr:graphicFrame macro="">
      <xdr:nvGraphicFramePr>
        <xdr:cNvPr id="8" name="Chart 7">
          <a:extLst>
            <a:ext uri="{FF2B5EF4-FFF2-40B4-BE49-F238E27FC236}">
              <a16:creationId xmlns:a16="http://schemas.microsoft.com/office/drawing/2014/main" id="{C6F1000E-DF9A-490D-BB41-1D5F84618C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5522</xdr:colOff>
      <xdr:row>3</xdr:row>
      <xdr:rowOff>184149</xdr:rowOff>
    </xdr:to>
    <xdr:sp macro="[0]!Toggle_Group_By_Button" textlink="">
      <xdr:nvSpPr>
        <xdr:cNvPr id="2" name="Rectangle: Rounded Corners 1">
          <a:extLst>
            <a:ext uri="{FF2B5EF4-FFF2-40B4-BE49-F238E27FC236}">
              <a16:creationId xmlns:a16="http://schemas.microsoft.com/office/drawing/2014/main" id="{A0C2E09D-31A4-4445-9806-A72934BAE764}"/>
            </a:ext>
          </a:extLst>
        </xdr:cNvPr>
        <xdr:cNvSpPr/>
      </xdr:nvSpPr>
      <xdr:spPr>
        <a:xfrm>
          <a:off x="609600" y="184150"/>
          <a:ext cx="1224722" cy="552449"/>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altLang="zh-TW" sz="1600" b="1"/>
            <a:t>Input</a:t>
          </a:r>
          <a:endParaRPr lang="en-US" sz="16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125516</xdr:colOff>
      <xdr:row>0</xdr:row>
      <xdr:rowOff>154720</xdr:rowOff>
    </xdr:from>
    <xdr:to>
      <xdr:col>37</xdr:col>
      <xdr:colOff>220889</xdr:colOff>
      <xdr:row>38</xdr:row>
      <xdr:rowOff>95250</xdr:rowOff>
    </xdr:to>
    <xdr:graphicFrame macro="">
      <xdr:nvGraphicFramePr>
        <xdr:cNvPr id="3" name="Chart 2">
          <a:extLst>
            <a:ext uri="{FF2B5EF4-FFF2-40B4-BE49-F238E27FC236}">
              <a16:creationId xmlns:a16="http://schemas.microsoft.com/office/drawing/2014/main" id="{28B90407-F8DC-C712-A290-B2C2D011BC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44665</xdr:colOff>
      <xdr:row>0</xdr:row>
      <xdr:rowOff>0</xdr:rowOff>
    </xdr:from>
    <xdr:to>
      <xdr:col>8</xdr:col>
      <xdr:colOff>201385</xdr:colOff>
      <xdr:row>103</xdr:row>
      <xdr:rowOff>40822</xdr:rowOff>
    </xdr:to>
    <xdr:sp macro="" textlink="">
      <xdr:nvSpPr>
        <xdr:cNvPr id="5" name="Rectangle 4">
          <a:extLst>
            <a:ext uri="{FF2B5EF4-FFF2-40B4-BE49-F238E27FC236}">
              <a16:creationId xmlns:a16="http://schemas.microsoft.com/office/drawing/2014/main" id="{5264E814-5E2F-4DD0-A80D-3A6995B723E6}"/>
            </a:ext>
          </a:extLst>
        </xdr:cNvPr>
        <xdr:cNvSpPr/>
      </xdr:nvSpPr>
      <xdr:spPr>
        <a:xfrm>
          <a:off x="12417640" y="0"/>
          <a:ext cx="2814195" cy="249329122"/>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190500</xdr:colOff>
      <xdr:row>7</xdr:row>
      <xdr:rowOff>158376</xdr:rowOff>
    </xdr:to>
    <xdr:sp macro="" textlink="">
      <xdr:nvSpPr>
        <xdr:cNvPr id="2" name="Rectangle 1">
          <a:extLst>
            <a:ext uri="{FF2B5EF4-FFF2-40B4-BE49-F238E27FC236}">
              <a16:creationId xmlns:a16="http://schemas.microsoft.com/office/drawing/2014/main" id="{4E836C53-12EA-429D-AF24-72909C44AD19}"/>
            </a:ext>
          </a:extLst>
        </xdr:cNvPr>
        <xdr:cNvSpPr/>
      </xdr:nvSpPr>
      <xdr:spPr>
        <a:xfrm>
          <a:off x="0" y="0"/>
          <a:ext cx="10611971" cy="2825376"/>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absoluteAnchor>
    <xdr:pos x="0" y="0"/>
    <xdr:ext cx="12988636" cy="9403773"/>
    <xdr:graphicFrame macro="">
      <xdr:nvGraphicFramePr>
        <xdr:cNvPr id="2" name="Chart 1">
          <a:extLst>
            <a:ext uri="{FF2B5EF4-FFF2-40B4-BE49-F238E27FC236}">
              <a16:creationId xmlns:a16="http://schemas.microsoft.com/office/drawing/2014/main" id="{6C2CC3ED-0F3E-A438-0FE3-6F66F443C9B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62051" cy="6276731"/>
    <xdr:graphicFrame macro="">
      <xdr:nvGraphicFramePr>
        <xdr:cNvPr id="2" name="Chart 1">
          <a:extLst>
            <a:ext uri="{FF2B5EF4-FFF2-40B4-BE49-F238E27FC236}">
              <a16:creationId xmlns:a16="http://schemas.microsoft.com/office/drawing/2014/main" id="{374A3CBD-E2AC-62EC-246B-AAC033392AA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twoCellAnchor>
    <xdr:from>
      <xdr:col>9</xdr:col>
      <xdr:colOff>1621250</xdr:colOff>
      <xdr:row>0</xdr:row>
      <xdr:rowOff>510477</xdr:rowOff>
    </xdr:from>
    <xdr:to>
      <xdr:col>12</xdr:col>
      <xdr:colOff>0</xdr:colOff>
      <xdr:row>7</xdr:row>
      <xdr:rowOff>0</xdr:rowOff>
    </xdr:to>
    <xdr:sp macro="" textlink="">
      <xdr:nvSpPr>
        <xdr:cNvPr id="3" name="Rectangle 2">
          <a:extLst>
            <a:ext uri="{FF2B5EF4-FFF2-40B4-BE49-F238E27FC236}">
              <a16:creationId xmlns:a16="http://schemas.microsoft.com/office/drawing/2014/main" id="{8EE512B3-DE89-B8CD-D3B4-26EE1D9F6EFF}"/>
            </a:ext>
          </a:extLst>
        </xdr:cNvPr>
        <xdr:cNvSpPr/>
      </xdr:nvSpPr>
      <xdr:spPr>
        <a:xfrm>
          <a:off x="12262036" y="3177477"/>
          <a:ext cx="2843493" cy="5517219"/>
        </a:xfrm>
        <a:gradFill flip="none" rotWithShape="1">
          <a:gsLst>
            <a:gs pos="4000">
              <a:srgbClr val="FF0000">
                <a:lumMod val="100000"/>
                <a:alpha val="63000"/>
              </a:srgbClr>
            </a:gs>
            <a:gs pos="15000">
              <a:schemeClr val="bg1">
                <a:alpha val="0"/>
                <a:lumMod val="0"/>
                <a:lumOff val="100000"/>
              </a:schemeClr>
            </a:gs>
          </a:gsLst>
          <a:lin ang="5400000" scaled="0"/>
          <a:tileRect/>
        </a:gradFill>
        <a:ln w="38100" cap="flat">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0</xdr:colOff>
      <xdr:row>9</xdr:row>
      <xdr:rowOff>164913</xdr:rowOff>
    </xdr:from>
    <xdr:to>
      <xdr:col>120</xdr:col>
      <xdr:colOff>17369</xdr:colOff>
      <xdr:row>29</xdr:row>
      <xdr:rowOff>31003</xdr:rowOff>
    </xdr:to>
    <xdr:sp macro="" textlink="">
      <xdr:nvSpPr>
        <xdr:cNvPr id="2" name="Rectangle 1">
          <a:extLst>
            <a:ext uri="{FF2B5EF4-FFF2-40B4-BE49-F238E27FC236}">
              <a16:creationId xmlns:a16="http://schemas.microsoft.com/office/drawing/2014/main" id="{40B14664-1978-48FB-B7C1-52C7DAE80B6B}"/>
            </a:ext>
          </a:extLst>
        </xdr:cNvPr>
        <xdr:cNvSpPr/>
      </xdr:nvSpPr>
      <xdr:spPr>
        <a:xfrm>
          <a:off x="0" y="4927413"/>
          <a:ext cx="53559075" cy="3451972"/>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1621250</xdr:colOff>
      <xdr:row>0</xdr:row>
      <xdr:rowOff>510477</xdr:rowOff>
    </xdr:from>
    <xdr:to>
      <xdr:col>12</xdr:col>
      <xdr:colOff>0</xdr:colOff>
      <xdr:row>7</xdr:row>
      <xdr:rowOff>0</xdr:rowOff>
    </xdr:to>
    <xdr:sp macro="" textlink="">
      <xdr:nvSpPr>
        <xdr:cNvPr id="2" name="Rectangle 2">
          <a:extLst>
            <a:ext uri="{FF2B5EF4-FFF2-40B4-BE49-F238E27FC236}">
              <a16:creationId xmlns:a16="http://schemas.microsoft.com/office/drawing/2014/main" id="{E6C3B6F2-0776-4F07-B1FD-DE5308EDAA34}"/>
            </a:ext>
          </a:extLst>
        </xdr:cNvPr>
        <xdr:cNvSpPr/>
      </xdr:nvSpPr>
      <xdr:spPr>
        <a:xfrm>
          <a:off x="12432125" y="697802"/>
          <a:ext cx="1502950" cy="2986290"/>
        </a:xfrm>
        <a:gradFill flip="none" rotWithShape="1">
          <a:gsLst>
            <a:gs pos="4000">
              <a:srgbClr val="FF0000">
                <a:lumMod val="100000"/>
                <a:alpha val="63000"/>
              </a:srgbClr>
            </a:gs>
            <a:gs pos="15000">
              <a:schemeClr val="bg1">
                <a:alpha val="0"/>
                <a:lumMod val="0"/>
                <a:lumOff val="100000"/>
              </a:schemeClr>
            </a:gs>
          </a:gsLst>
          <a:lin ang="5400000" scaled="0"/>
          <a:tileRect/>
        </a:gradFill>
        <a:ln w="38100" cap="flat">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0</xdr:colOff>
      <xdr:row>9</xdr:row>
      <xdr:rowOff>100852</xdr:rowOff>
    </xdr:from>
    <xdr:to>
      <xdr:col>68</xdr:col>
      <xdr:colOff>19050</xdr:colOff>
      <xdr:row>35</xdr:row>
      <xdr:rowOff>84790</xdr:rowOff>
    </xdr:to>
    <xdr:sp macro="" textlink="">
      <xdr:nvSpPr>
        <xdr:cNvPr id="3" name="Rectangle 2">
          <a:extLst>
            <a:ext uri="{FF2B5EF4-FFF2-40B4-BE49-F238E27FC236}">
              <a16:creationId xmlns:a16="http://schemas.microsoft.com/office/drawing/2014/main" id="{CF1AFEE2-5E7E-4CD3-B351-446DFDFAC66E}"/>
            </a:ext>
          </a:extLst>
        </xdr:cNvPr>
        <xdr:cNvSpPr/>
      </xdr:nvSpPr>
      <xdr:spPr>
        <a:xfrm>
          <a:off x="0" y="5098676"/>
          <a:ext cx="53269403" cy="4645585"/>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1</xdr:rowOff>
    </xdr:from>
    <xdr:to>
      <xdr:col>7</xdr:col>
      <xdr:colOff>324968</xdr:colOff>
      <xdr:row>8</xdr:row>
      <xdr:rowOff>119530</xdr:rowOff>
    </xdr:to>
    <xdr:sp macro="" textlink="">
      <xdr:nvSpPr>
        <xdr:cNvPr id="2" name="Rectangle 1">
          <a:extLst>
            <a:ext uri="{FF2B5EF4-FFF2-40B4-BE49-F238E27FC236}">
              <a16:creationId xmlns:a16="http://schemas.microsoft.com/office/drawing/2014/main" id="{137AE3EB-DADC-4C19-A914-874E661491FC}"/>
            </a:ext>
          </a:extLst>
        </xdr:cNvPr>
        <xdr:cNvSpPr/>
      </xdr:nvSpPr>
      <xdr:spPr>
        <a:xfrm>
          <a:off x="0" y="1"/>
          <a:ext cx="12337674" cy="2973294"/>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0</xdr:colOff>
      <xdr:row>8</xdr:row>
      <xdr:rowOff>0</xdr:rowOff>
    </xdr:from>
    <xdr:to>
      <xdr:col>2</xdr:col>
      <xdr:colOff>18222</xdr:colOff>
      <xdr:row>10</xdr:row>
      <xdr:rowOff>180974</xdr:rowOff>
    </xdr:to>
    <xdr:sp macro="[0]!UpdateKPI_Auto" textlink="">
      <xdr:nvSpPr>
        <xdr:cNvPr id="2" name="Rectangle: Rounded Corners 1">
          <a:extLst>
            <a:ext uri="{FF2B5EF4-FFF2-40B4-BE49-F238E27FC236}">
              <a16:creationId xmlns:a16="http://schemas.microsoft.com/office/drawing/2014/main" id="{3E7A9947-17DA-4801-AB8D-B419BE122049}"/>
            </a:ext>
          </a:extLst>
        </xdr:cNvPr>
        <xdr:cNvSpPr/>
      </xdr:nvSpPr>
      <xdr:spPr>
        <a:xfrm>
          <a:off x="714375" y="3228975"/>
          <a:ext cx="1227897" cy="542924"/>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altLang="zh-TW" sz="1600" b="1"/>
            <a:t>KPI</a:t>
          </a:r>
          <a:r>
            <a:rPr lang="zh-TW" altLang="en-US" sz="1600" b="1"/>
            <a:t> </a:t>
          </a:r>
          <a:r>
            <a:rPr lang="en-US" altLang="zh-TW" sz="1600" b="1"/>
            <a:t>Update</a:t>
          </a:r>
          <a:endParaRPr lang="en-US" sz="1600" b="1"/>
        </a:p>
      </xdr:txBody>
    </xdr:sp>
    <xdr:clientData/>
  </xdr:twoCellAnchor>
  <xdr:twoCellAnchor>
    <xdr:from>
      <xdr:col>0</xdr:col>
      <xdr:colOff>0</xdr:colOff>
      <xdr:row>0</xdr:row>
      <xdr:rowOff>0</xdr:rowOff>
    </xdr:from>
    <xdr:to>
      <xdr:col>32</xdr:col>
      <xdr:colOff>381000</xdr:colOff>
      <xdr:row>8</xdr:row>
      <xdr:rowOff>47625</xdr:rowOff>
    </xdr:to>
    <xdr:sp macro="" textlink="">
      <xdr:nvSpPr>
        <xdr:cNvPr id="4" name="Rectangle 3">
          <a:extLst>
            <a:ext uri="{FF2B5EF4-FFF2-40B4-BE49-F238E27FC236}">
              <a16:creationId xmlns:a16="http://schemas.microsoft.com/office/drawing/2014/main" id="{2E055BB0-C5F6-4D99-BA40-B468552393B3}"/>
            </a:ext>
          </a:extLst>
        </xdr:cNvPr>
        <xdr:cNvSpPr/>
      </xdr:nvSpPr>
      <xdr:spPr>
        <a:xfrm>
          <a:off x="0" y="0"/>
          <a:ext cx="27632025" cy="3095625"/>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0</xdr:colOff>
      <xdr:row>48</xdr:row>
      <xdr:rowOff>0</xdr:rowOff>
    </xdr:from>
    <xdr:to>
      <xdr:col>3</xdr:col>
      <xdr:colOff>304800</xdr:colOff>
      <xdr:row>48</xdr:row>
      <xdr:rowOff>301625</xdr:rowOff>
    </xdr:to>
    <xdr:sp macro="" textlink="">
      <xdr:nvSpPr>
        <xdr:cNvPr id="2" name="AutoShape 1" descr="Untitled">
          <a:extLst>
            <a:ext uri="{FF2B5EF4-FFF2-40B4-BE49-F238E27FC236}">
              <a16:creationId xmlns:a16="http://schemas.microsoft.com/office/drawing/2014/main" id="{B3D5AD6F-D558-4884-BCC5-C2D8D03798F6}"/>
            </a:ext>
          </a:extLst>
        </xdr:cNvPr>
        <xdr:cNvSpPr>
          <a:spLocks noChangeAspect="1" noChangeArrowheads="1"/>
        </xdr:cNvSpPr>
      </xdr:nvSpPr>
      <xdr:spPr bwMode="auto">
        <a:xfrm>
          <a:off x="5086350" y="12973050"/>
          <a:ext cx="304800" cy="3016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xdr:row>
      <xdr:rowOff>0</xdr:rowOff>
    </xdr:from>
    <xdr:to>
      <xdr:col>2</xdr:col>
      <xdr:colOff>304800</xdr:colOff>
      <xdr:row>52</xdr:row>
      <xdr:rowOff>104774</xdr:rowOff>
    </xdr:to>
    <xdr:sp macro="" textlink="">
      <xdr:nvSpPr>
        <xdr:cNvPr id="3" name="AutoShape 2" descr="Untitled">
          <a:extLst>
            <a:ext uri="{FF2B5EF4-FFF2-40B4-BE49-F238E27FC236}">
              <a16:creationId xmlns:a16="http://schemas.microsoft.com/office/drawing/2014/main" id="{5CD7AF85-64D8-44B7-90A9-B0F2660D64D3}"/>
            </a:ext>
          </a:extLst>
        </xdr:cNvPr>
        <xdr:cNvSpPr>
          <a:spLocks noChangeAspect="1" noChangeArrowheads="1"/>
        </xdr:cNvSpPr>
      </xdr:nvSpPr>
      <xdr:spPr bwMode="auto">
        <a:xfrm>
          <a:off x="2057400" y="14544675"/>
          <a:ext cx="304800" cy="307974"/>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5522</xdr:colOff>
      <xdr:row>3</xdr:row>
      <xdr:rowOff>184149</xdr:rowOff>
    </xdr:to>
    <xdr:sp macro="[0]!Toggle_Group_By_Button" textlink="">
      <xdr:nvSpPr>
        <xdr:cNvPr id="2" name="Rectangle: Rounded Corners 1">
          <a:extLst>
            <a:ext uri="{FF2B5EF4-FFF2-40B4-BE49-F238E27FC236}">
              <a16:creationId xmlns:a16="http://schemas.microsoft.com/office/drawing/2014/main" id="{0725DA5F-957E-4256-BF02-322D461C0DE2}"/>
            </a:ext>
          </a:extLst>
        </xdr:cNvPr>
        <xdr:cNvSpPr/>
      </xdr:nvSpPr>
      <xdr:spPr>
        <a:xfrm>
          <a:off x="609600" y="184150"/>
          <a:ext cx="1224722" cy="552449"/>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b="1"/>
            <a:t>Data</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5522</xdr:colOff>
      <xdr:row>3</xdr:row>
      <xdr:rowOff>184149</xdr:rowOff>
    </xdr:to>
    <xdr:sp macro="[0]!Toggle_Group_By_Button" textlink="">
      <xdr:nvSpPr>
        <xdr:cNvPr id="2" name="Rectangle: Rounded Corners 1">
          <a:extLst>
            <a:ext uri="{FF2B5EF4-FFF2-40B4-BE49-F238E27FC236}">
              <a16:creationId xmlns:a16="http://schemas.microsoft.com/office/drawing/2014/main" id="{D0C75C4A-63BC-4432-8769-FCCED015FEC7}"/>
            </a:ext>
          </a:extLst>
        </xdr:cNvPr>
        <xdr:cNvSpPr/>
      </xdr:nvSpPr>
      <xdr:spPr>
        <a:xfrm>
          <a:off x="609600" y="184150"/>
          <a:ext cx="1224722" cy="552449"/>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b="1"/>
            <a:t>ITP</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xdr:col>
      <xdr:colOff>916598</xdr:colOff>
      <xdr:row>0</xdr:row>
      <xdr:rowOff>449141</xdr:rowOff>
    </xdr:from>
    <xdr:to>
      <xdr:col>5</xdr:col>
      <xdr:colOff>40298</xdr:colOff>
      <xdr:row>20</xdr:row>
      <xdr:rowOff>36636</xdr:rowOff>
    </xdr:to>
    <xdr:sp macro="" textlink="">
      <xdr:nvSpPr>
        <xdr:cNvPr id="37" name="Rectangle 1">
          <a:extLst>
            <a:ext uri="{FF2B5EF4-FFF2-40B4-BE49-F238E27FC236}">
              <a16:creationId xmlns:a16="http://schemas.microsoft.com/office/drawing/2014/main" id="{3FD8F6F9-24C4-49B2-85EA-9FDAE7F7C40D}"/>
            </a:ext>
          </a:extLst>
        </xdr:cNvPr>
        <xdr:cNvSpPr/>
      </xdr:nvSpPr>
      <xdr:spPr>
        <a:xfrm>
          <a:off x="6770810" y="449141"/>
          <a:ext cx="1109296" cy="2598860"/>
        </a:xfrm>
        <a:gradFill flip="none" rotWithShape="1">
          <a:gsLst>
            <a:gs pos="4000">
              <a:srgbClr val="FF0000">
                <a:lumMod val="100000"/>
                <a:alpha val="63000"/>
              </a:srgbClr>
            </a:gs>
            <a:gs pos="15000">
              <a:schemeClr val="bg1">
                <a:alpha val="0"/>
                <a:lumMod val="0"/>
                <a:lumOff val="100000"/>
              </a:schemeClr>
            </a:gs>
          </a:gsLst>
          <a:lin ang="5400000" scaled="0"/>
          <a:tileRect/>
        </a:gradFill>
        <a:ln w="38100" cap="flat">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920750</xdr:colOff>
      <xdr:row>0</xdr:row>
      <xdr:rowOff>0</xdr:rowOff>
    </xdr:from>
    <xdr:to>
      <xdr:col>5</xdr:col>
      <xdr:colOff>63500</xdr:colOff>
      <xdr:row>14</xdr:row>
      <xdr:rowOff>171450</xdr:rowOff>
    </xdr:to>
    <xdr:sp macro="" textlink="">
      <xdr:nvSpPr>
        <xdr:cNvPr id="2" name="Rectangle 1">
          <a:extLst>
            <a:ext uri="{FF2B5EF4-FFF2-40B4-BE49-F238E27FC236}">
              <a16:creationId xmlns:a16="http://schemas.microsoft.com/office/drawing/2014/main" id="{FB81AE9B-0949-2B8B-B15E-4F2DD4A5B057}"/>
            </a:ext>
          </a:extLst>
        </xdr:cNvPr>
        <xdr:cNvSpPr/>
      </xdr:nvSpPr>
      <xdr:spPr>
        <a:xfrm>
          <a:off x="7035800" y="0"/>
          <a:ext cx="1231900" cy="3263900"/>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1</xdr:col>
      <xdr:colOff>114300</xdr:colOff>
      <xdr:row>14</xdr:row>
      <xdr:rowOff>171450</xdr:rowOff>
    </xdr:to>
    <xdr:sp macro="" textlink="">
      <xdr:nvSpPr>
        <xdr:cNvPr id="3" name="Rectangle 2">
          <a:extLst>
            <a:ext uri="{FF2B5EF4-FFF2-40B4-BE49-F238E27FC236}">
              <a16:creationId xmlns:a16="http://schemas.microsoft.com/office/drawing/2014/main" id="{CEFD1886-268E-8AAD-492F-5EC7E201065E}"/>
            </a:ext>
          </a:extLst>
        </xdr:cNvPr>
        <xdr:cNvSpPr/>
      </xdr:nvSpPr>
      <xdr:spPr>
        <a:xfrm>
          <a:off x="0" y="0"/>
          <a:ext cx="723900" cy="3263900"/>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1047750</xdr:colOff>
      <xdr:row>1</xdr:row>
      <xdr:rowOff>88900</xdr:rowOff>
    </xdr:from>
    <xdr:to>
      <xdr:col>11</xdr:col>
      <xdr:colOff>44450</xdr:colOff>
      <xdr:row>14</xdr:row>
      <xdr:rowOff>76200</xdr:rowOff>
    </xdr:to>
    <xdr:sp macro="" textlink="">
      <xdr:nvSpPr>
        <xdr:cNvPr id="4" name="Rectangle 3">
          <a:extLst>
            <a:ext uri="{FF2B5EF4-FFF2-40B4-BE49-F238E27FC236}">
              <a16:creationId xmlns:a16="http://schemas.microsoft.com/office/drawing/2014/main" id="{7A32BC34-5030-01D8-6575-7CBFA46E2E9E}"/>
            </a:ext>
          </a:extLst>
        </xdr:cNvPr>
        <xdr:cNvSpPr/>
      </xdr:nvSpPr>
      <xdr:spPr>
        <a:xfrm>
          <a:off x="12846050" y="622300"/>
          <a:ext cx="3746500" cy="2546350"/>
        </a:xfrm>
        <a:prstGeom prst="rect">
          <a:avLst/>
        </a:prstGeom>
        <a:solidFill>
          <a:schemeClr val="bg1">
            <a:lumMod val="75000"/>
            <a:alpha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959224</xdr:colOff>
      <xdr:row>0</xdr:row>
      <xdr:rowOff>416485</xdr:rowOff>
    </xdr:from>
    <xdr:to>
      <xdr:col>5</xdr:col>
      <xdr:colOff>82924</xdr:colOff>
      <xdr:row>11</xdr:row>
      <xdr:rowOff>83110</xdr:rowOff>
    </xdr:to>
    <xdr:sp macro="" textlink="">
      <xdr:nvSpPr>
        <xdr:cNvPr id="4" name="Rectangle 1">
          <a:extLst>
            <a:ext uri="{FF2B5EF4-FFF2-40B4-BE49-F238E27FC236}">
              <a16:creationId xmlns:a16="http://schemas.microsoft.com/office/drawing/2014/main" id="{902E6901-EB93-4BB7-8300-8FEDFD9C1850}"/>
            </a:ext>
          </a:extLst>
        </xdr:cNvPr>
        <xdr:cNvSpPr/>
      </xdr:nvSpPr>
      <xdr:spPr>
        <a:xfrm>
          <a:off x="6293224" y="2702485"/>
          <a:ext cx="1215465" cy="1317625"/>
        </a:xfrm>
        <a:gradFill flip="none" rotWithShape="1">
          <a:gsLst>
            <a:gs pos="4000">
              <a:srgbClr val="FF0000">
                <a:lumMod val="100000"/>
                <a:alpha val="63000"/>
              </a:srgbClr>
            </a:gs>
            <a:gs pos="15000">
              <a:schemeClr val="bg1">
                <a:alpha val="0"/>
                <a:lumMod val="0"/>
                <a:lumOff val="100000"/>
              </a:schemeClr>
            </a:gs>
          </a:gsLst>
          <a:lin ang="5400000" scaled="0"/>
          <a:tileRect/>
        </a:gradFill>
        <a:ln w="38100" cap="flat">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533400</xdr:colOff>
      <xdr:row>0</xdr:row>
      <xdr:rowOff>342900</xdr:rowOff>
    </xdr:from>
    <xdr:to>
      <xdr:col>5</xdr:col>
      <xdr:colOff>28575</xdr:colOff>
      <xdr:row>18</xdr:row>
      <xdr:rowOff>0</xdr:rowOff>
    </xdr:to>
    <xdr:sp macro="" textlink="">
      <xdr:nvSpPr>
        <xdr:cNvPr id="2" name="Rectangle 1">
          <a:extLst>
            <a:ext uri="{FF2B5EF4-FFF2-40B4-BE49-F238E27FC236}">
              <a16:creationId xmlns:a16="http://schemas.microsoft.com/office/drawing/2014/main" id="{E464821D-2355-475C-A71C-8F5F60E91B0D}"/>
            </a:ext>
          </a:extLst>
        </xdr:cNvPr>
        <xdr:cNvSpPr/>
      </xdr:nvSpPr>
      <xdr:spPr>
        <a:xfrm>
          <a:off x="13653052" y="2628900"/>
          <a:ext cx="870088" cy="14764578"/>
        </a:xfrm>
        <a:gradFill flip="none" rotWithShape="1">
          <a:gsLst>
            <a:gs pos="4000">
              <a:srgbClr val="FF0000">
                <a:lumMod val="100000"/>
                <a:alpha val="63000"/>
              </a:srgbClr>
            </a:gs>
            <a:gs pos="15000">
              <a:schemeClr val="bg1">
                <a:alpha val="0"/>
                <a:lumMod val="0"/>
                <a:lumOff val="100000"/>
              </a:schemeClr>
            </a:gs>
          </a:gsLst>
          <a:lin ang="5400000" scaled="0"/>
          <a:tileRect/>
        </a:gradFill>
        <a:ln w="38100" cap="flat">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1695450</xdr:colOff>
      <xdr:row>1</xdr:row>
      <xdr:rowOff>19438</xdr:rowOff>
    </xdr:from>
    <xdr:to>
      <xdr:col>5</xdr:col>
      <xdr:colOff>43527</xdr:colOff>
      <xdr:row>37</xdr:row>
      <xdr:rowOff>0</xdr:rowOff>
    </xdr:to>
    <xdr:sp macro="" textlink="">
      <xdr:nvSpPr>
        <xdr:cNvPr id="2" name="Rectangle 1">
          <a:extLst>
            <a:ext uri="{FF2B5EF4-FFF2-40B4-BE49-F238E27FC236}">
              <a16:creationId xmlns:a16="http://schemas.microsoft.com/office/drawing/2014/main" id="{D6F1B2A1-EF7A-4730-A7E6-84577B6866DF}"/>
            </a:ext>
          </a:extLst>
        </xdr:cNvPr>
        <xdr:cNvSpPr/>
      </xdr:nvSpPr>
      <xdr:spPr>
        <a:xfrm>
          <a:off x="9429750" y="400438"/>
          <a:ext cx="891252" cy="6706377"/>
        </a:xfrm>
        <a:gradFill flip="none" rotWithShape="1">
          <a:gsLst>
            <a:gs pos="4000">
              <a:srgbClr val="FF0000">
                <a:lumMod val="100000"/>
                <a:alpha val="63000"/>
              </a:srgbClr>
            </a:gs>
            <a:gs pos="15000">
              <a:schemeClr val="bg1">
                <a:alpha val="0"/>
                <a:lumMod val="0"/>
                <a:lumOff val="100000"/>
              </a:schemeClr>
            </a:gs>
          </a:gsLst>
          <a:lin ang="5400000" scaled="0"/>
          <a:tileRect/>
        </a:gradFill>
        <a:ln w="38100" cap="flat">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552450</xdr:colOff>
      <xdr:row>0</xdr:row>
      <xdr:rowOff>476250</xdr:rowOff>
    </xdr:from>
    <xdr:to>
      <xdr:col>5</xdr:col>
      <xdr:colOff>66675</xdr:colOff>
      <xdr:row>11</xdr:row>
      <xdr:rowOff>66675</xdr:rowOff>
    </xdr:to>
    <xdr:sp macro="" textlink="">
      <xdr:nvSpPr>
        <xdr:cNvPr id="2" name="Rectangle 1">
          <a:extLst>
            <a:ext uri="{FF2B5EF4-FFF2-40B4-BE49-F238E27FC236}">
              <a16:creationId xmlns:a16="http://schemas.microsoft.com/office/drawing/2014/main" id="{6C21E073-FE49-4350-A772-A49E4486255E}"/>
            </a:ext>
          </a:extLst>
        </xdr:cNvPr>
        <xdr:cNvSpPr/>
      </xdr:nvSpPr>
      <xdr:spPr>
        <a:xfrm>
          <a:off x="6191250" y="476250"/>
          <a:ext cx="1114425" cy="2209800"/>
        </a:xfrm>
        <a:gradFill flip="none" rotWithShape="1">
          <a:gsLst>
            <a:gs pos="4000">
              <a:srgbClr val="FF0000">
                <a:lumMod val="100000"/>
                <a:alpha val="63000"/>
              </a:srgbClr>
            </a:gs>
            <a:gs pos="15000">
              <a:schemeClr val="bg1">
                <a:alpha val="0"/>
                <a:lumMod val="0"/>
                <a:lumOff val="100000"/>
              </a:schemeClr>
            </a:gs>
          </a:gsLst>
          <a:lin ang="5400000" scaled="0"/>
          <a:tileRect/>
        </a:gradFill>
        <a:ln w="38100" cap="flat">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13805</xdr:colOff>
      <xdr:row>4</xdr:row>
      <xdr:rowOff>0</xdr:rowOff>
    </xdr:to>
    <xdr:sp macro="[0]!Toggle_Group_By_Button" textlink="">
      <xdr:nvSpPr>
        <xdr:cNvPr id="2" name="Rectangle: Rounded Corners 1">
          <a:extLst>
            <a:ext uri="{FF2B5EF4-FFF2-40B4-BE49-F238E27FC236}">
              <a16:creationId xmlns:a16="http://schemas.microsoft.com/office/drawing/2014/main" id="{7D533CD4-0EAA-423F-8244-446D5C49173F}"/>
            </a:ext>
          </a:extLst>
        </xdr:cNvPr>
        <xdr:cNvSpPr/>
      </xdr:nvSpPr>
      <xdr:spPr>
        <a:xfrm>
          <a:off x="609600" y="184150"/>
          <a:ext cx="1233005" cy="571224"/>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b="1"/>
            <a:t>PQuery</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1</xdr:row>
      <xdr:rowOff>1</xdr:rowOff>
    </xdr:from>
    <xdr:to>
      <xdr:col>3</xdr:col>
      <xdr:colOff>5522</xdr:colOff>
      <xdr:row>4</xdr:row>
      <xdr:rowOff>0</xdr:rowOff>
    </xdr:to>
    <xdr:sp macro="[0]!Toggle_Group_By_Button" textlink="">
      <xdr:nvSpPr>
        <xdr:cNvPr id="4" name="Rectangle: Rounded Corners 3">
          <a:extLst>
            <a:ext uri="{FF2B5EF4-FFF2-40B4-BE49-F238E27FC236}">
              <a16:creationId xmlns:a16="http://schemas.microsoft.com/office/drawing/2014/main" id="{B22EBB3A-44AD-4A11-8F43-5DA9A31E9098}"/>
            </a:ext>
          </a:extLst>
        </xdr:cNvPr>
        <xdr:cNvSpPr/>
      </xdr:nvSpPr>
      <xdr:spPr>
        <a:xfrm>
          <a:off x="607391" y="182218"/>
          <a:ext cx="1220305" cy="552174"/>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b="1"/>
            <a:t>Audit</a:t>
          </a:r>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173569</xdr:colOff>
          <xdr:row>9</xdr:row>
          <xdr:rowOff>127000</xdr:rowOff>
        </xdr:from>
        <xdr:to>
          <xdr:col>26</xdr:col>
          <xdr:colOff>293163</xdr:colOff>
          <xdr:row>9</xdr:row>
          <xdr:rowOff>1095375</xdr:rowOff>
        </xdr:to>
        <xdr:pic>
          <xdr:nvPicPr>
            <xdr:cNvPr id="3" name="Picture 2">
              <a:extLst>
                <a:ext uri="{FF2B5EF4-FFF2-40B4-BE49-F238E27FC236}">
                  <a16:creationId xmlns:a16="http://schemas.microsoft.com/office/drawing/2014/main" id="{3C093BE0-E69A-41CC-B2DA-1C33F77C64E3}"/>
                </a:ext>
              </a:extLst>
            </xdr:cNvPr>
            <xdr:cNvPicPr>
              <a:picLocks noChangeAspect="1" noChangeArrowheads="1"/>
              <a:extLst>
                <a:ext uri="{84589F7E-364E-4C9E-8A38-B11213B215E9}">
                  <a14:cameraTool cellRange="#REF!" spid="_x0000_s90904"/>
                </a:ext>
              </a:extLst>
            </xdr:cNvPicPr>
          </xdr:nvPicPr>
          <xdr:blipFill>
            <a:blip xmlns:r="http://schemas.openxmlformats.org/officeDocument/2006/relationships" r:embed="rId1"/>
            <a:srcRect/>
            <a:stretch>
              <a:fillRect/>
            </a:stretch>
          </xdr:blipFill>
          <xdr:spPr bwMode="auto">
            <a:xfrm>
              <a:off x="16023169" y="3829050"/>
              <a:ext cx="2402419" cy="965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270928</xdr:colOff>
          <xdr:row>5</xdr:row>
          <xdr:rowOff>228600</xdr:rowOff>
        </xdr:from>
        <xdr:to>
          <xdr:col>41</xdr:col>
          <xdr:colOff>393697</xdr:colOff>
          <xdr:row>8</xdr:row>
          <xdr:rowOff>238125</xdr:rowOff>
        </xdr:to>
        <xdr:pic>
          <xdr:nvPicPr>
            <xdr:cNvPr id="4" name="Picture 3">
              <a:extLst>
                <a:ext uri="{FF2B5EF4-FFF2-40B4-BE49-F238E27FC236}">
                  <a16:creationId xmlns:a16="http://schemas.microsoft.com/office/drawing/2014/main" id="{3288CA89-2483-4FA6-840F-8BC49C6111BE}"/>
                </a:ext>
              </a:extLst>
            </xdr:cNvPr>
            <xdr:cNvPicPr>
              <a:picLocks noChangeAspect="1" noChangeArrowheads="1"/>
              <a:extLst>
                <a:ext uri="{84589F7E-364E-4C9E-8A38-B11213B215E9}">
                  <a14:cameraTool cellRange="#REF!" spid="_x0000_s90905"/>
                </a:ext>
              </a:extLst>
            </xdr:cNvPicPr>
          </xdr:nvPicPr>
          <xdr:blipFill>
            <a:blip xmlns:r="http://schemas.openxmlformats.org/officeDocument/2006/relationships" r:embed="rId1"/>
            <a:srcRect/>
            <a:stretch>
              <a:fillRect/>
            </a:stretch>
          </xdr:blipFill>
          <xdr:spPr bwMode="auto">
            <a:xfrm>
              <a:off x="24693028" y="2660650"/>
              <a:ext cx="2405594" cy="965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516466</xdr:colOff>
          <xdr:row>7</xdr:row>
          <xdr:rowOff>222250</xdr:rowOff>
        </xdr:from>
        <xdr:to>
          <xdr:col>53</xdr:col>
          <xdr:colOff>64560</xdr:colOff>
          <xdr:row>9</xdr:row>
          <xdr:rowOff>552450</xdr:rowOff>
        </xdr:to>
        <xdr:pic>
          <xdr:nvPicPr>
            <xdr:cNvPr id="5" name="Picture 4">
              <a:extLst>
                <a:ext uri="{FF2B5EF4-FFF2-40B4-BE49-F238E27FC236}">
                  <a16:creationId xmlns:a16="http://schemas.microsoft.com/office/drawing/2014/main" id="{D376D101-9C4B-4A84-8D66-377C5E01DC4E}"/>
                </a:ext>
              </a:extLst>
            </xdr:cNvPr>
            <xdr:cNvPicPr>
              <a:picLocks noChangeAspect="1" noChangeArrowheads="1"/>
              <a:extLst>
                <a:ext uri="{84589F7E-364E-4C9E-8A38-B11213B215E9}">
                  <a14:cameraTool cellRange="#REF!" spid="_x0000_s90906"/>
                </a:ext>
              </a:extLst>
            </xdr:cNvPicPr>
          </xdr:nvPicPr>
          <xdr:blipFill>
            <a:blip xmlns:r="http://schemas.openxmlformats.org/officeDocument/2006/relationships" r:embed="rId1"/>
            <a:srcRect/>
            <a:stretch>
              <a:fillRect/>
            </a:stretch>
          </xdr:blipFill>
          <xdr:spPr bwMode="auto">
            <a:xfrm>
              <a:off x="31225066" y="3289300"/>
              <a:ext cx="2402419" cy="965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60</xdr:col>
          <xdr:colOff>243414</xdr:colOff>
          <xdr:row>7</xdr:row>
          <xdr:rowOff>127000</xdr:rowOff>
        </xdr:from>
        <xdr:to>
          <xdr:col>64</xdr:col>
          <xdr:colOff>359833</xdr:colOff>
          <xdr:row>9</xdr:row>
          <xdr:rowOff>457200</xdr:rowOff>
        </xdr:to>
        <xdr:pic>
          <xdr:nvPicPr>
            <xdr:cNvPr id="6" name="Picture 5">
              <a:extLst>
                <a:ext uri="{FF2B5EF4-FFF2-40B4-BE49-F238E27FC236}">
                  <a16:creationId xmlns:a16="http://schemas.microsoft.com/office/drawing/2014/main" id="{30BF4998-F24E-4DF2-90B0-B62770840C27}"/>
                </a:ext>
              </a:extLst>
            </xdr:cNvPr>
            <xdr:cNvPicPr>
              <a:picLocks noChangeAspect="1" noChangeArrowheads="1"/>
              <a:extLst>
                <a:ext uri="{84589F7E-364E-4C9E-8A38-B11213B215E9}">
                  <a14:cameraTool cellRange="#REF!" spid="_x0000_s90907"/>
                </a:ext>
              </a:extLst>
            </xdr:cNvPicPr>
          </xdr:nvPicPr>
          <xdr:blipFill>
            <a:blip xmlns:r="http://schemas.openxmlformats.org/officeDocument/2006/relationships" r:embed="rId1"/>
            <a:srcRect/>
            <a:stretch>
              <a:fillRect/>
            </a:stretch>
          </xdr:blipFill>
          <xdr:spPr bwMode="auto">
            <a:xfrm>
              <a:off x="37810014" y="3194050"/>
              <a:ext cx="2402419" cy="965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72</xdr:col>
          <xdr:colOff>461432</xdr:colOff>
          <xdr:row>5</xdr:row>
          <xdr:rowOff>209550</xdr:rowOff>
        </xdr:from>
        <xdr:to>
          <xdr:col>77</xdr:col>
          <xdr:colOff>15876</xdr:colOff>
          <xdr:row>8</xdr:row>
          <xdr:rowOff>219075</xdr:rowOff>
        </xdr:to>
        <xdr:pic>
          <xdr:nvPicPr>
            <xdr:cNvPr id="7" name="Picture 6">
              <a:extLst>
                <a:ext uri="{FF2B5EF4-FFF2-40B4-BE49-F238E27FC236}">
                  <a16:creationId xmlns:a16="http://schemas.microsoft.com/office/drawing/2014/main" id="{37F01BB6-A3A3-487F-AE92-2AC67592102C}"/>
                </a:ext>
              </a:extLst>
            </xdr:cNvPr>
            <xdr:cNvPicPr>
              <a:picLocks noChangeAspect="1" noChangeArrowheads="1"/>
              <a:extLst>
                <a:ext uri="{84589F7E-364E-4C9E-8A38-B11213B215E9}">
                  <a14:cameraTool cellRange="#REF!" spid="_x0000_s90908"/>
                </a:ext>
              </a:extLst>
            </xdr:cNvPicPr>
          </xdr:nvPicPr>
          <xdr:blipFill>
            <a:blip xmlns:r="http://schemas.openxmlformats.org/officeDocument/2006/relationships" r:embed="rId1"/>
            <a:srcRect/>
            <a:stretch>
              <a:fillRect/>
            </a:stretch>
          </xdr:blipFill>
          <xdr:spPr bwMode="auto">
            <a:xfrm>
              <a:off x="44886032" y="2641600"/>
              <a:ext cx="2411944" cy="9652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756691</xdr:colOff>
      <xdr:row>0</xdr:row>
      <xdr:rowOff>1962978</xdr:rowOff>
    </xdr:to>
    <xdr:sp macro="" textlink="">
      <xdr:nvSpPr>
        <xdr:cNvPr id="2" name="Rectangle 1">
          <a:extLst>
            <a:ext uri="{FF2B5EF4-FFF2-40B4-BE49-F238E27FC236}">
              <a16:creationId xmlns:a16="http://schemas.microsoft.com/office/drawing/2014/main" id="{9ACFC2D9-0FDF-4E39-8E85-F4ADBBBA79E0}"/>
            </a:ext>
          </a:extLst>
        </xdr:cNvPr>
        <xdr:cNvSpPr/>
      </xdr:nvSpPr>
      <xdr:spPr>
        <a:xfrm>
          <a:off x="0" y="0"/>
          <a:ext cx="11088141" cy="0"/>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US" sz="1100">
            <a:solidFill>
              <a:schemeClr val="lt1"/>
            </a:solidFill>
            <a:latin typeface="+mn-lt"/>
            <a:ea typeface="+mn-lt"/>
            <a:cs typeface="+mn-lt"/>
          </a:endParaRPr>
        </a:p>
      </xdr:txBody>
    </xdr:sp>
    <xdr:clientData/>
  </xdr:twoCellAnchor>
  <xdr:twoCellAnchor>
    <xdr:from>
      <xdr:col>0</xdr:col>
      <xdr:colOff>1</xdr:colOff>
      <xdr:row>0</xdr:row>
      <xdr:rowOff>0</xdr:rowOff>
    </xdr:from>
    <xdr:to>
      <xdr:col>1</xdr:col>
      <xdr:colOff>312004</xdr:colOff>
      <xdr:row>0</xdr:row>
      <xdr:rowOff>274320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888D4AE0-7BDB-447A-BBA8-DADFCE1E9B86}"/>
            </a:ext>
          </a:extLst>
        </xdr:cNvPr>
        <xdr:cNvSpPr/>
      </xdr:nvSpPr>
      <xdr:spPr>
        <a:xfrm>
          <a:off x="1" y="0"/>
          <a:ext cx="953353"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3AA99DF-FE4D-4110-902A-85DB5FDEE1E7}" type="TxLink">
            <a:rPr lang="en-US" sz="1200" b="0" i="0" u="sng" strike="noStrike">
              <a:solidFill>
                <a:schemeClr val="bg1"/>
              </a:solidFill>
              <a:latin typeface="Calibri"/>
              <a:cs typeface="Calibri"/>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308177</xdr:colOff>
      <xdr:row>0</xdr:row>
      <xdr:rowOff>0</xdr:rowOff>
    </xdr:from>
    <xdr:to>
      <xdr:col>1</xdr:col>
      <xdr:colOff>1222417</xdr:colOff>
      <xdr:row>0</xdr:row>
      <xdr:rowOff>274320</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499E484B-7474-4EFB-A73E-C03C6B6E2784}"/>
            </a:ext>
          </a:extLst>
        </xdr:cNvPr>
        <xdr:cNvSpPr/>
      </xdr:nvSpPr>
      <xdr:spPr>
        <a:xfrm>
          <a:off x="949527" y="0"/>
          <a:ext cx="914240"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FDC3488-ABD0-4EC7-99C3-86841B89246E}" type="TxLink">
            <a:rPr lang="en-US" sz="1200" b="0" i="0" u="sng" strike="noStrike">
              <a:solidFill>
                <a:schemeClr val="bg1"/>
              </a:solidFill>
              <a:latin typeface="Calibri"/>
              <a:cs typeface="Calibri"/>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1221293</xdr:colOff>
      <xdr:row>0</xdr:row>
      <xdr:rowOff>0</xdr:rowOff>
    </xdr:from>
    <xdr:to>
      <xdr:col>3</xdr:col>
      <xdr:colOff>29985</xdr:colOff>
      <xdr:row>0</xdr:row>
      <xdr:rowOff>274320</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C7C23807-A04D-467D-9FC6-A4B1F7498DE1}"/>
            </a:ext>
          </a:extLst>
        </xdr:cNvPr>
        <xdr:cNvSpPr/>
      </xdr:nvSpPr>
      <xdr:spPr>
        <a:xfrm>
          <a:off x="1859468" y="0"/>
          <a:ext cx="2120217"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D0E54A7-B214-4607-8826-8942D59FE2D4}"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3</xdr:col>
      <xdr:colOff>11148</xdr:colOff>
      <xdr:row>0</xdr:row>
      <xdr:rowOff>0</xdr:rowOff>
    </xdr:from>
    <xdr:to>
      <xdr:col>3</xdr:col>
      <xdr:colOff>929677</xdr:colOff>
      <xdr:row>0</xdr:row>
      <xdr:rowOff>274320</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938CB1E4-4AED-4C02-B259-E6C85129FE14}"/>
            </a:ext>
          </a:extLst>
        </xdr:cNvPr>
        <xdr:cNvSpPr/>
      </xdr:nvSpPr>
      <xdr:spPr>
        <a:xfrm>
          <a:off x="3960848" y="0"/>
          <a:ext cx="918529"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74DC379-5DB9-4A59-9F32-EF7537C03342}" type="TxLink">
            <a:rPr lang="en-US" altLang="zh-TW"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3</xdr:col>
      <xdr:colOff>929021</xdr:colOff>
      <xdr:row>0</xdr:row>
      <xdr:rowOff>0</xdr:rowOff>
    </xdr:from>
    <xdr:to>
      <xdr:col>4</xdr:col>
      <xdr:colOff>788907</xdr:colOff>
      <xdr:row>0</xdr:row>
      <xdr:rowOff>274320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7CE09246-51C5-4C1E-869C-5711C6105002}"/>
            </a:ext>
          </a:extLst>
        </xdr:cNvPr>
        <xdr:cNvSpPr/>
      </xdr:nvSpPr>
      <xdr:spPr>
        <a:xfrm>
          <a:off x="4878721" y="0"/>
          <a:ext cx="961611"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9F9CBE-726B-4820-9127-9BFEB61EB63B}"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785294</xdr:colOff>
      <xdr:row>0</xdr:row>
      <xdr:rowOff>0</xdr:rowOff>
    </xdr:from>
    <xdr:to>
      <xdr:col>4</xdr:col>
      <xdr:colOff>1695065</xdr:colOff>
      <xdr:row>0</xdr:row>
      <xdr:rowOff>274320</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B1B3F6FE-D05E-4C55-A520-69F64A782B13}"/>
            </a:ext>
          </a:extLst>
        </xdr:cNvPr>
        <xdr:cNvSpPr/>
      </xdr:nvSpPr>
      <xdr:spPr>
        <a:xfrm>
          <a:off x="5836719" y="0"/>
          <a:ext cx="906596"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EC4968A-67D4-43C6-A25C-FD0E75E9BD0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1687181</xdr:colOff>
      <xdr:row>0</xdr:row>
      <xdr:rowOff>0</xdr:rowOff>
    </xdr:from>
    <xdr:to>
      <xdr:col>4</xdr:col>
      <xdr:colOff>2598700</xdr:colOff>
      <xdr:row>0</xdr:row>
      <xdr:rowOff>274320</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BCC99D09-50DB-4961-B934-5D66A43FFDDA}"/>
            </a:ext>
          </a:extLst>
        </xdr:cNvPr>
        <xdr:cNvSpPr/>
      </xdr:nvSpPr>
      <xdr:spPr>
        <a:xfrm>
          <a:off x="6732256" y="0"/>
          <a:ext cx="917869"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7F627CC-32D4-4130-8C48-E1A5B0B97854}"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2597775</xdr:colOff>
      <xdr:row>0</xdr:row>
      <xdr:rowOff>0</xdr:rowOff>
    </xdr:from>
    <xdr:to>
      <xdr:col>4</xdr:col>
      <xdr:colOff>3964523</xdr:colOff>
      <xdr:row>0</xdr:row>
      <xdr:rowOff>274320</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A4FA4D95-0A5E-4334-9F09-693CB57FBAB2}"/>
            </a:ext>
          </a:extLst>
        </xdr:cNvPr>
        <xdr:cNvSpPr/>
      </xdr:nvSpPr>
      <xdr:spPr>
        <a:xfrm>
          <a:off x="7649200" y="0"/>
          <a:ext cx="1363573"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843626</xdr:rowOff>
    </xdr:from>
    <xdr:to>
      <xdr:col>1</xdr:col>
      <xdr:colOff>589046</xdr:colOff>
      <xdr:row>0</xdr:row>
      <xdr:rowOff>1117946</xdr:rowOff>
    </xdr:to>
    <xdr:sp macro="" textlink="">
      <xdr:nvSpPr>
        <xdr:cNvPr id="11" name="Rectangle 10">
          <a:hlinkClick xmlns:r="http://schemas.openxmlformats.org/officeDocument/2006/relationships" r:id="rId9"/>
          <a:extLst>
            <a:ext uri="{FF2B5EF4-FFF2-40B4-BE49-F238E27FC236}">
              <a16:creationId xmlns:a16="http://schemas.microsoft.com/office/drawing/2014/main" id="{FFE6E019-5627-408F-9478-4AC28CCDB29A}"/>
            </a:ext>
          </a:extLst>
        </xdr:cNvPr>
        <xdr:cNvSpPr/>
      </xdr:nvSpPr>
      <xdr:spPr>
        <a:xfrm>
          <a:off x="1" y="0"/>
          <a:ext cx="1227220"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2AEF7F1-F48C-4FA1-A707-132A4EE8650E}"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1</xdr:col>
      <xdr:colOff>776688</xdr:colOff>
      <xdr:row>0</xdr:row>
      <xdr:rowOff>1491768</xdr:rowOff>
    </xdr:to>
    <xdr:sp macro="" textlink="">
      <xdr:nvSpPr>
        <xdr:cNvPr id="12" name="Rectangle 11">
          <a:hlinkClick xmlns:r="http://schemas.openxmlformats.org/officeDocument/2006/relationships" r:id="rId10"/>
          <a:extLst>
            <a:ext uri="{FF2B5EF4-FFF2-40B4-BE49-F238E27FC236}">
              <a16:creationId xmlns:a16="http://schemas.microsoft.com/office/drawing/2014/main" id="{453F7A41-D3F4-4975-A8B9-AE5E4D58A689}"/>
            </a:ext>
          </a:extLst>
        </xdr:cNvPr>
        <xdr:cNvSpPr/>
      </xdr:nvSpPr>
      <xdr:spPr>
        <a:xfrm>
          <a:off x="1" y="0"/>
          <a:ext cx="1411687"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D99717-E26D-4349-956E-1203D01BE3F8}"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0</xdr:col>
      <xdr:colOff>1</xdr:colOff>
      <xdr:row>0</xdr:row>
      <xdr:rowOff>1491768</xdr:rowOff>
    </xdr:to>
    <xdr:sp macro="" textlink="#REF!">
      <xdr:nvSpPr>
        <xdr:cNvPr id="13" name="Rectangle 12">
          <a:extLst>
            <a:ext uri="{FF2B5EF4-FFF2-40B4-BE49-F238E27FC236}">
              <a16:creationId xmlns:a16="http://schemas.microsoft.com/office/drawing/2014/main" id="{7036E74F-FCF0-40A1-AB73-1D018B48FC0A}"/>
            </a:ext>
          </a:extLst>
        </xdr:cNvPr>
        <xdr:cNvSpPr/>
      </xdr:nvSpPr>
      <xdr:spPr>
        <a:xfrm>
          <a:off x="1" y="0"/>
          <a:ext cx="0"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B2C5B66-F7E2-4187-B670-BF121381989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774017</xdr:colOff>
      <xdr:row>0</xdr:row>
      <xdr:rowOff>1217448</xdr:rowOff>
    </xdr:from>
    <xdr:to>
      <xdr:col>1</xdr:col>
      <xdr:colOff>1828782</xdr:colOff>
      <xdr:row>0</xdr:row>
      <xdr:rowOff>1491768</xdr:rowOff>
    </xdr:to>
    <xdr:sp macro="" textlink="">
      <xdr:nvSpPr>
        <xdr:cNvPr id="14" name="Rectangle 13">
          <a:hlinkClick xmlns:r="http://schemas.openxmlformats.org/officeDocument/2006/relationships" r:id="rId11"/>
          <a:extLst>
            <a:ext uri="{FF2B5EF4-FFF2-40B4-BE49-F238E27FC236}">
              <a16:creationId xmlns:a16="http://schemas.microsoft.com/office/drawing/2014/main" id="{C2F08039-9B5E-413C-B7F1-B62766A65C22}"/>
            </a:ext>
          </a:extLst>
        </xdr:cNvPr>
        <xdr:cNvSpPr/>
      </xdr:nvSpPr>
      <xdr:spPr>
        <a:xfrm>
          <a:off x="1409017" y="0"/>
          <a:ext cx="1057940"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A79F7F-4ADB-4ABC-9292-0F2B92307410}" type="TxLink">
            <a:rPr lang="en-US" altLang="zh-TW"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1828782</xdr:colOff>
      <xdr:row>0</xdr:row>
      <xdr:rowOff>1217448</xdr:rowOff>
    </xdr:from>
    <xdr:to>
      <xdr:col>4</xdr:col>
      <xdr:colOff>48805</xdr:colOff>
      <xdr:row>0</xdr:row>
      <xdr:rowOff>1491768</xdr:rowOff>
    </xdr:to>
    <xdr:sp macro="" textlink="">
      <xdr:nvSpPr>
        <xdr:cNvPr id="15" name="Rectangle 14">
          <a:hlinkClick xmlns:r="http://schemas.openxmlformats.org/officeDocument/2006/relationships" r:id="rId12"/>
          <a:extLst>
            <a:ext uri="{FF2B5EF4-FFF2-40B4-BE49-F238E27FC236}">
              <a16:creationId xmlns:a16="http://schemas.microsoft.com/office/drawing/2014/main" id="{0CF6BF90-6887-46E7-BD02-3B15936E56CC}"/>
            </a:ext>
          </a:extLst>
        </xdr:cNvPr>
        <xdr:cNvSpPr/>
      </xdr:nvSpPr>
      <xdr:spPr>
        <a:xfrm>
          <a:off x="2466957" y="0"/>
          <a:ext cx="2626923"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DAB4F40-9E56-424D-9D25-023E38A6DFEF}" type="TxLink">
            <a:rPr lang="en-US" altLang="zh-TW"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45286</xdr:colOff>
      <xdr:row>0</xdr:row>
      <xdr:rowOff>1217448</xdr:rowOff>
    </xdr:from>
    <xdr:to>
      <xdr:col>4</xdr:col>
      <xdr:colOff>1407031</xdr:colOff>
      <xdr:row>0</xdr:row>
      <xdr:rowOff>1491768</xdr:rowOff>
    </xdr:to>
    <xdr:sp macro="" textlink="">
      <xdr:nvSpPr>
        <xdr:cNvPr id="16" name="Rectangle 15">
          <a:hlinkClick xmlns:r="http://schemas.openxmlformats.org/officeDocument/2006/relationships" r:id="rId13"/>
          <a:extLst>
            <a:ext uri="{FF2B5EF4-FFF2-40B4-BE49-F238E27FC236}">
              <a16:creationId xmlns:a16="http://schemas.microsoft.com/office/drawing/2014/main" id="{3DAC4E36-C495-4EA8-A4CA-C9099D1BFAFC}"/>
            </a:ext>
          </a:extLst>
        </xdr:cNvPr>
        <xdr:cNvSpPr/>
      </xdr:nvSpPr>
      <xdr:spPr>
        <a:xfrm>
          <a:off x="5096711" y="0"/>
          <a:ext cx="1358570"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A6692E6-56B3-4FA0-B035-A27BEF5E821D}"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3956804</xdr:colOff>
      <xdr:row>0</xdr:row>
      <xdr:rowOff>0</xdr:rowOff>
    </xdr:from>
    <xdr:to>
      <xdr:col>5</xdr:col>
      <xdr:colOff>274390</xdr:colOff>
      <xdr:row>0</xdr:row>
      <xdr:rowOff>274320</xdr:rowOff>
    </xdr:to>
    <xdr:sp macro="" textlink="">
      <xdr:nvSpPr>
        <xdr:cNvPr id="17" name="Rectangle 16">
          <a:hlinkClick xmlns:r="http://schemas.openxmlformats.org/officeDocument/2006/relationships" r:id="rId14"/>
          <a:extLst>
            <a:ext uri="{FF2B5EF4-FFF2-40B4-BE49-F238E27FC236}">
              <a16:creationId xmlns:a16="http://schemas.microsoft.com/office/drawing/2014/main" id="{3406A40B-9697-4E5C-A51C-70FD1788BD47}"/>
            </a:ext>
          </a:extLst>
        </xdr:cNvPr>
        <xdr:cNvSpPr/>
      </xdr:nvSpPr>
      <xdr:spPr>
        <a:xfrm>
          <a:off x="9001879" y="0"/>
          <a:ext cx="1610311"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ED4B2CE-3865-4169-8EDE-4E9A4AD0300C}"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1401269</xdr:colOff>
      <xdr:row>0</xdr:row>
      <xdr:rowOff>1217448</xdr:rowOff>
    </xdr:from>
    <xdr:to>
      <xdr:col>4</xdr:col>
      <xdr:colOff>2315510</xdr:colOff>
      <xdr:row>0</xdr:row>
      <xdr:rowOff>1491768</xdr:rowOff>
    </xdr:to>
    <xdr:sp macro="" textlink="">
      <xdr:nvSpPr>
        <xdr:cNvPr id="18" name="Rectangle 17">
          <a:hlinkClick xmlns:r="http://schemas.openxmlformats.org/officeDocument/2006/relationships" r:id="rId15"/>
          <a:extLst>
            <a:ext uri="{FF2B5EF4-FFF2-40B4-BE49-F238E27FC236}">
              <a16:creationId xmlns:a16="http://schemas.microsoft.com/office/drawing/2014/main" id="{3A5803A9-0C8C-42D2-AF18-163A20121752}"/>
            </a:ext>
          </a:extLst>
        </xdr:cNvPr>
        <xdr:cNvSpPr/>
      </xdr:nvSpPr>
      <xdr:spPr>
        <a:xfrm>
          <a:off x="6446344" y="0"/>
          <a:ext cx="914241"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B7B64F5-264F-4267-A451-4ADD194C012B}"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2308299</xdr:colOff>
      <xdr:row>0</xdr:row>
      <xdr:rowOff>1217448</xdr:rowOff>
    </xdr:from>
    <xdr:to>
      <xdr:col>4</xdr:col>
      <xdr:colOff>3674296</xdr:colOff>
      <xdr:row>0</xdr:row>
      <xdr:rowOff>1491768</xdr:rowOff>
    </xdr:to>
    <xdr:sp macro="" textlink="">
      <xdr:nvSpPr>
        <xdr:cNvPr id="19" name="Rectangle 18">
          <a:hlinkClick xmlns:r="http://schemas.openxmlformats.org/officeDocument/2006/relationships" r:id="rId16"/>
          <a:extLst>
            <a:ext uri="{FF2B5EF4-FFF2-40B4-BE49-F238E27FC236}">
              <a16:creationId xmlns:a16="http://schemas.microsoft.com/office/drawing/2014/main" id="{DC6B6A5B-300A-4B26-870C-49E8956EED7F}"/>
            </a:ext>
          </a:extLst>
        </xdr:cNvPr>
        <xdr:cNvSpPr/>
      </xdr:nvSpPr>
      <xdr:spPr>
        <a:xfrm>
          <a:off x="7359724" y="0"/>
          <a:ext cx="1362822"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4BD5D57-9335-47BB-B5C1-827C5BAA4DE8}"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277488</xdr:rowOff>
    </xdr:from>
    <xdr:to>
      <xdr:col>0</xdr:col>
      <xdr:colOff>491486</xdr:colOff>
      <xdr:row>0</xdr:row>
      <xdr:rowOff>551808</xdr:rowOff>
    </xdr:to>
    <xdr:sp macro="" textlink="">
      <xdr:nvSpPr>
        <xdr:cNvPr id="20" name="Rectangle 19">
          <a:hlinkClick xmlns:r="http://schemas.openxmlformats.org/officeDocument/2006/relationships" r:id="rId17"/>
          <a:extLst>
            <a:ext uri="{FF2B5EF4-FFF2-40B4-BE49-F238E27FC236}">
              <a16:creationId xmlns:a16="http://schemas.microsoft.com/office/drawing/2014/main" id="{FD095B1C-53D6-4C2C-87F5-9FC3306A589A}"/>
            </a:ext>
          </a:extLst>
        </xdr:cNvPr>
        <xdr:cNvSpPr/>
      </xdr:nvSpPr>
      <xdr:spPr>
        <a:xfrm>
          <a:off x="1" y="0"/>
          <a:ext cx="488310"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76DB0D7-CA15-4C84-BEF1-B2FE174253A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475256</xdr:colOff>
      <xdr:row>0</xdr:row>
      <xdr:rowOff>277488</xdr:rowOff>
    </xdr:from>
    <xdr:to>
      <xdr:col>1</xdr:col>
      <xdr:colOff>1246680</xdr:colOff>
      <xdr:row>0</xdr:row>
      <xdr:rowOff>551808</xdr:rowOff>
    </xdr:to>
    <xdr:sp macro="" textlink="">
      <xdr:nvSpPr>
        <xdr:cNvPr id="21" name="Rectangle 20">
          <a:hlinkClick xmlns:r="http://schemas.openxmlformats.org/officeDocument/2006/relationships" r:id="rId18"/>
          <a:extLst>
            <a:ext uri="{FF2B5EF4-FFF2-40B4-BE49-F238E27FC236}">
              <a16:creationId xmlns:a16="http://schemas.microsoft.com/office/drawing/2014/main" id="{F8EA5628-C46B-4AC1-B2F2-E6FAD086731B}"/>
            </a:ext>
          </a:extLst>
        </xdr:cNvPr>
        <xdr:cNvSpPr/>
      </xdr:nvSpPr>
      <xdr:spPr>
        <a:xfrm>
          <a:off x="475256" y="0"/>
          <a:ext cx="1412774"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B67B7DE-3A73-4724-AD40-6EFDCB186502}"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1245773</xdr:colOff>
      <xdr:row>0</xdr:row>
      <xdr:rowOff>277488</xdr:rowOff>
    </xdr:from>
    <xdr:to>
      <xdr:col>3</xdr:col>
      <xdr:colOff>52084</xdr:colOff>
      <xdr:row>0</xdr:row>
      <xdr:rowOff>551808</xdr:rowOff>
    </xdr:to>
    <xdr:sp macro="" textlink="">
      <xdr:nvSpPr>
        <xdr:cNvPr id="22" name="Rectangle 21">
          <a:hlinkClick xmlns:r="http://schemas.openxmlformats.org/officeDocument/2006/relationships" r:id="rId19"/>
          <a:extLst>
            <a:ext uri="{FF2B5EF4-FFF2-40B4-BE49-F238E27FC236}">
              <a16:creationId xmlns:a16="http://schemas.microsoft.com/office/drawing/2014/main" id="{7F66F523-7336-4F60-B501-C671C06B3559}"/>
            </a:ext>
          </a:extLst>
        </xdr:cNvPr>
        <xdr:cNvSpPr/>
      </xdr:nvSpPr>
      <xdr:spPr>
        <a:xfrm>
          <a:off x="1887123" y="0"/>
          <a:ext cx="2114661"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DF90472-98E3-4CD3-93C5-712192C887E4}"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3</xdr:col>
      <xdr:colOff>49190</xdr:colOff>
      <xdr:row>0</xdr:row>
      <xdr:rowOff>277488</xdr:rowOff>
    </xdr:from>
    <xdr:to>
      <xdr:col>4</xdr:col>
      <xdr:colOff>212305</xdr:colOff>
      <xdr:row>0</xdr:row>
      <xdr:rowOff>551808</xdr:rowOff>
    </xdr:to>
    <xdr:sp macro="" textlink="">
      <xdr:nvSpPr>
        <xdr:cNvPr id="23" name="Rectangle 22">
          <a:hlinkClick xmlns:r="http://schemas.openxmlformats.org/officeDocument/2006/relationships" r:id="rId14"/>
          <a:extLst>
            <a:ext uri="{FF2B5EF4-FFF2-40B4-BE49-F238E27FC236}">
              <a16:creationId xmlns:a16="http://schemas.microsoft.com/office/drawing/2014/main" id="{44E15003-E2CD-4DBF-8A94-84DABB074C6D}"/>
            </a:ext>
          </a:extLst>
        </xdr:cNvPr>
        <xdr:cNvSpPr/>
      </xdr:nvSpPr>
      <xdr:spPr>
        <a:xfrm>
          <a:off x="3998890" y="0"/>
          <a:ext cx="1261665"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1C13F6A-2AE7-4D10-B8FE-F91861D7E1CA}"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205501</xdr:colOff>
      <xdr:row>0</xdr:row>
      <xdr:rowOff>277488</xdr:rowOff>
    </xdr:from>
    <xdr:to>
      <xdr:col>4</xdr:col>
      <xdr:colOff>1103412</xdr:colOff>
      <xdr:row>0</xdr:row>
      <xdr:rowOff>551808</xdr:rowOff>
    </xdr:to>
    <xdr:sp macro="" textlink="">
      <xdr:nvSpPr>
        <xdr:cNvPr id="24" name="Rectangle 23">
          <a:hlinkClick xmlns:r="http://schemas.openxmlformats.org/officeDocument/2006/relationships" r:id="rId20"/>
          <a:extLst>
            <a:ext uri="{FF2B5EF4-FFF2-40B4-BE49-F238E27FC236}">
              <a16:creationId xmlns:a16="http://schemas.microsoft.com/office/drawing/2014/main" id="{EA570101-E7DF-4051-81FA-758BD4F4CEBF}"/>
            </a:ext>
          </a:extLst>
        </xdr:cNvPr>
        <xdr:cNvSpPr/>
      </xdr:nvSpPr>
      <xdr:spPr>
        <a:xfrm>
          <a:off x="5250576" y="0"/>
          <a:ext cx="901086"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42A3ED4-1362-4FEE-889B-CEFC97F9EB4C}" type="TxLink">
            <a:rPr lang="en-US" altLang="zh-TW"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1103414</xdr:colOff>
      <xdr:row>0</xdr:row>
      <xdr:rowOff>277488</xdr:rowOff>
    </xdr:from>
    <xdr:to>
      <xdr:col>4</xdr:col>
      <xdr:colOff>2109094</xdr:colOff>
      <xdr:row>0</xdr:row>
      <xdr:rowOff>551808</xdr:rowOff>
    </xdr:to>
    <xdr:sp macro="" textlink="">
      <xdr:nvSpPr>
        <xdr:cNvPr id="25" name="Rectangle 24">
          <a:hlinkClick xmlns:r="http://schemas.openxmlformats.org/officeDocument/2006/relationships" r:id="rId21"/>
          <a:extLst>
            <a:ext uri="{FF2B5EF4-FFF2-40B4-BE49-F238E27FC236}">
              <a16:creationId xmlns:a16="http://schemas.microsoft.com/office/drawing/2014/main" id="{3D63C14F-DDCA-4ADC-8E38-BED93E661F29}"/>
            </a:ext>
          </a:extLst>
        </xdr:cNvPr>
        <xdr:cNvSpPr/>
      </xdr:nvSpPr>
      <xdr:spPr>
        <a:xfrm>
          <a:off x="6151664" y="0"/>
          <a:ext cx="1002505"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A518611-076D-45B5-BAAD-2BD8D5A103C9}"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2110182</xdr:colOff>
      <xdr:row>0</xdr:row>
      <xdr:rowOff>277488</xdr:rowOff>
    </xdr:from>
    <xdr:to>
      <xdr:col>4</xdr:col>
      <xdr:colOff>3027303</xdr:colOff>
      <xdr:row>0</xdr:row>
      <xdr:rowOff>551808</xdr:rowOff>
    </xdr:to>
    <xdr:sp macro="" textlink="">
      <xdr:nvSpPr>
        <xdr:cNvPr id="26" name="Rectangle 25">
          <a:hlinkClick xmlns:r="http://schemas.openxmlformats.org/officeDocument/2006/relationships" r:id="rId22"/>
          <a:extLst>
            <a:ext uri="{FF2B5EF4-FFF2-40B4-BE49-F238E27FC236}">
              <a16:creationId xmlns:a16="http://schemas.microsoft.com/office/drawing/2014/main" id="{96EAA6BC-7984-45A2-8A2E-31240983D39A}"/>
            </a:ext>
          </a:extLst>
        </xdr:cNvPr>
        <xdr:cNvSpPr/>
      </xdr:nvSpPr>
      <xdr:spPr>
        <a:xfrm>
          <a:off x="7155257" y="0"/>
          <a:ext cx="920296"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B07602-FD62-4EAF-B169-6BFDF1E5093F}"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3024983</xdr:colOff>
      <xdr:row>0</xdr:row>
      <xdr:rowOff>277488</xdr:rowOff>
    </xdr:from>
    <xdr:to>
      <xdr:col>4</xdr:col>
      <xdr:colOff>4202497</xdr:colOff>
      <xdr:row>0</xdr:row>
      <xdr:rowOff>551808</xdr:rowOff>
    </xdr:to>
    <xdr:sp macro="" textlink="">
      <xdr:nvSpPr>
        <xdr:cNvPr id="27" name="Rectangle 26">
          <a:hlinkClick xmlns:r="http://schemas.openxmlformats.org/officeDocument/2006/relationships" r:id="rId23"/>
          <a:extLst>
            <a:ext uri="{FF2B5EF4-FFF2-40B4-BE49-F238E27FC236}">
              <a16:creationId xmlns:a16="http://schemas.microsoft.com/office/drawing/2014/main" id="{F44438A7-9C28-4B0A-93F1-4388AD3736FC}"/>
            </a:ext>
          </a:extLst>
        </xdr:cNvPr>
        <xdr:cNvSpPr/>
      </xdr:nvSpPr>
      <xdr:spPr>
        <a:xfrm>
          <a:off x="8070058" y="0"/>
          <a:ext cx="1177514"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E02AD9C-7FF4-4980-9A1F-06071A75B120}" type="TxLink">
            <a:rPr lang="en-US" sz="1200" b="0" i="0" u="none" strike="noStrike">
              <a:solidFill>
                <a:schemeClr val="bg1"/>
              </a:solidFill>
              <a:latin typeface="Calibri" panose="020F0502020204030204" pitchFamily="34" charset="0"/>
              <a:ea typeface="Calibri"/>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0</xdr:colOff>
      <xdr:row>0</xdr:row>
      <xdr:rowOff>1492278</xdr:rowOff>
    </xdr:from>
    <xdr:to>
      <xdr:col>1</xdr:col>
      <xdr:colOff>1233387</xdr:colOff>
      <xdr:row>0</xdr:row>
      <xdr:rowOff>1766598</xdr:rowOff>
    </xdr:to>
    <xdr:sp macro="" textlink="">
      <xdr:nvSpPr>
        <xdr:cNvPr id="28" name="Rectangle 27">
          <a:hlinkClick xmlns:r="http://schemas.openxmlformats.org/officeDocument/2006/relationships" r:id="rId24"/>
          <a:extLst>
            <a:ext uri="{FF2B5EF4-FFF2-40B4-BE49-F238E27FC236}">
              <a16:creationId xmlns:a16="http://schemas.microsoft.com/office/drawing/2014/main" id="{9CE9874E-C384-4639-8D75-35684BC72D09}"/>
            </a:ext>
          </a:extLst>
        </xdr:cNvPr>
        <xdr:cNvSpPr/>
      </xdr:nvSpPr>
      <xdr:spPr>
        <a:xfrm>
          <a:off x="0" y="0"/>
          <a:ext cx="1868387"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446E702-EE70-4546-8C7E-382A6D1B064A}"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1150457</xdr:colOff>
      <xdr:row>0</xdr:row>
      <xdr:rowOff>1492278</xdr:rowOff>
    </xdr:from>
    <xdr:to>
      <xdr:col>4</xdr:col>
      <xdr:colOff>15663</xdr:colOff>
      <xdr:row>0</xdr:row>
      <xdr:rowOff>1766598</xdr:rowOff>
    </xdr:to>
    <xdr:sp macro="" textlink="">
      <xdr:nvSpPr>
        <xdr:cNvPr id="29" name="Rectangle 28">
          <a:hlinkClick xmlns:r="http://schemas.openxmlformats.org/officeDocument/2006/relationships" r:id="rId25"/>
          <a:extLst>
            <a:ext uri="{FF2B5EF4-FFF2-40B4-BE49-F238E27FC236}">
              <a16:creationId xmlns:a16="http://schemas.microsoft.com/office/drawing/2014/main" id="{0A4AA1D8-0C87-4423-BDF2-2D5A2B3E0463}"/>
            </a:ext>
          </a:extLst>
        </xdr:cNvPr>
        <xdr:cNvSpPr/>
      </xdr:nvSpPr>
      <xdr:spPr>
        <a:xfrm>
          <a:off x="1791807" y="0"/>
          <a:ext cx="3268931"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EFA0B59-9336-4CB7-B37C-024F5B6F5E6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11591</xdr:colOff>
      <xdr:row>0</xdr:row>
      <xdr:rowOff>1492278</xdr:rowOff>
    </xdr:from>
    <xdr:to>
      <xdr:col>4</xdr:col>
      <xdr:colOff>1735183</xdr:colOff>
      <xdr:row>0</xdr:row>
      <xdr:rowOff>1766598</xdr:rowOff>
    </xdr:to>
    <xdr:sp macro="" textlink="">
      <xdr:nvSpPr>
        <xdr:cNvPr id="30" name="Rectangle 29">
          <a:hlinkClick xmlns:r="http://schemas.openxmlformats.org/officeDocument/2006/relationships" r:id="rId26"/>
          <a:extLst>
            <a:ext uri="{FF2B5EF4-FFF2-40B4-BE49-F238E27FC236}">
              <a16:creationId xmlns:a16="http://schemas.microsoft.com/office/drawing/2014/main" id="{A1DA887D-B63F-4FBD-9AEE-47E9E50595CD}"/>
            </a:ext>
          </a:extLst>
        </xdr:cNvPr>
        <xdr:cNvSpPr/>
      </xdr:nvSpPr>
      <xdr:spPr>
        <a:xfrm>
          <a:off x="5056666" y="0"/>
          <a:ext cx="1726767"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A4FDC92-BC37-46C0-8867-999F815AE370}"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1719812</xdr:colOff>
      <xdr:row>0</xdr:row>
      <xdr:rowOff>1492278</xdr:rowOff>
    </xdr:from>
    <xdr:to>
      <xdr:col>4</xdr:col>
      <xdr:colOff>3367453</xdr:colOff>
      <xdr:row>0</xdr:row>
      <xdr:rowOff>1766598</xdr:rowOff>
    </xdr:to>
    <xdr:sp macro="" textlink="">
      <xdr:nvSpPr>
        <xdr:cNvPr id="31" name="Rectangle 30">
          <a:hlinkClick xmlns:r="http://schemas.openxmlformats.org/officeDocument/2006/relationships" r:id="rId27"/>
          <a:extLst>
            <a:ext uri="{FF2B5EF4-FFF2-40B4-BE49-F238E27FC236}">
              <a16:creationId xmlns:a16="http://schemas.microsoft.com/office/drawing/2014/main" id="{CCA04F28-CAD0-470C-93B0-9C13182665D0}"/>
            </a:ext>
          </a:extLst>
        </xdr:cNvPr>
        <xdr:cNvSpPr/>
      </xdr:nvSpPr>
      <xdr:spPr>
        <a:xfrm>
          <a:off x="6771237" y="0"/>
          <a:ext cx="1641291"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3360334</xdr:colOff>
      <xdr:row>0</xdr:row>
      <xdr:rowOff>1492278</xdr:rowOff>
    </xdr:from>
    <xdr:to>
      <xdr:col>4</xdr:col>
      <xdr:colOff>4914314</xdr:colOff>
      <xdr:row>0</xdr:row>
      <xdr:rowOff>1766598</xdr:rowOff>
    </xdr:to>
    <xdr:sp macro="" textlink="">
      <xdr:nvSpPr>
        <xdr:cNvPr id="32" name="Rectangle 31">
          <a:hlinkClick xmlns:r="http://schemas.openxmlformats.org/officeDocument/2006/relationships" r:id="rId28"/>
          <a:extLst>
            <a:ext uri="{FF2B5EF4-FFF2-40B4-BE49-F238E27FC236}">
              <a16:creationId xmlns:a16="http://schemas.microsoft.com/office/drawing/2014/main" id="{E1E93AFE-4BB8-4CCD-B6A1-0109FE124AF0}"/>
            </a:ext>
          </a:extLst>
        </xdr:cNvPr>
        <xdr:cNvSpPr/>
      </xdr:nvSpPr>
      <xdr:spPr>
        <a:xfrm>
          <a:off x="8411759" y="0"/>
          <a:ext cx="1550805"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E6494932-2600-44D8-BC73-4BB21D4D3E92}"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4</xdr:col>
      <xdr:colOff>3677017</xdr:colOff>
      <xdr:row>0</xdr:row>
      <xdr:rowOff>1217448</xdr:rowOff>
    </xdr:from>
    <xdr:to>
      <xdr:col>5</xdr:col>
      <xdr:colOff>646930</xdr:colOff>
      <xdr:row>0</xdr:row>
      <xdr:rowOff>1491768</xdr:rowOff>
    </xdr:to>
    <xdr:sp macro="" textlink="">
      <xdr:nvSpPr>
        <xdr:cNvPr id="33" name="Rectangle 32">
          <a:hlinkClick xmlns:r="http://schemas.openxmlformats.org/officeDocument/2006/relationships" r:id="rId29"/>
          <a:extLst>
            <a:ext uri="{FF2B5EF4-FFF2-40B4-BE49-F238E27FC236}">
              <a16:creationId xmlns:a16="http://schemas.microsoft.com/office/drawing/2014/main" id="{5E7130EC-0DD5-4321-8F90-67ACA420D3CA}"/>
            </a:ext>
          </a:extLst>
        </xdr:cNvPr>
        <xdr:cNvSpPr/>
      </xdr:nvSpPr>
      <xdr:spPr>
        <a:xfrm>
          <a:off x="8725267" y="0"/>
          <a:ext cx="2256288" cy="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E8B9871-F308-4CC9-B597-6A76D72B2574}"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oneCell">
    <xdr:from>
      <xdr:col>12</xdr:col>
      <xdr:colOff>133350</xdr:colOff>
      <xdr:row>8</xdr:row>
      <xdr:rowOff>228600</xdr:rowOff>
    </xdr:from>
    <xdr:to>
      <xdr:col>16</xdr:col>
      <xdr:colOff>482600</xdr:colOff>
      <xdr:row>8</xdr:row>
      <xdr:rowOff>1968500</xdr:rowOff>
    </xdr:to>
    <xdr:pic>
      <xdr:nvPicPr>
        <xdr:cNvPr id="2" name="Picture 1">
          <a:extLst>
            <a:ext uri="{FF2B5EF4-FFF2-40B4-BE49-F238E27FC236}">
              <a16:creationId xmlns:a16="http://schemas.microsoft.com/office/drawing/2014/main" id="{F5DAF38C-37D7-4108-8E49-77C1D8329C7B}"/>
            </a:ext>
          </a:extLst>
        </xdr:cNvPr>
        <xdr:cNvPicPr>
          <a:picLocks noChangeAspect="1"/>
        </xdr:cNvPicPr>
      </xdr:nvPicPr>
      <xdr:blipFill>
        <a:blip xmlns:r="http://schemas.openxmlformats.org/officeDocument/2006/relationships" r:embed="rId1"/>
        <a:stretch>
          <a:fillRect/>
        </a:stretch>
      </xdr:blipFill>
      <xdr:spPr>
        <a:xfrm>
          <a:off x="20697825" y="5429250"/>
          <a:ext cx="5378450" cy="1739900"/>
        </a:xfrm>
        <a:prstGeom prst="rect">
          <a:avLst/>
        </a:prstGeom>
      </xdr:spPr>
    </xdr:pic>
    <xdr:clientData/>
  </xdr:twoCellAnchor>
  <xdr:twoCellAnchor editAs="oneCell">
    <xdr:from>
      <xdr:col>12</xdr:col>
      <xdr:colOff>133350</xdr:colOff>
      <xdr:row>7</xdr:row>
      <xdr:rowOff>219075</xdr:rowOff>
    </xdr:from>
    <xdr:to>
      <xdr:col>17</xdr:col>
      <xdr:colOff>63501</xdr:colOff>
      <xdr:row>7</xdr:row>
      <xdr:rowOff>2235200</xdr:rowOff>
    </xdr:to>
    <xdr:pic>
      <xdr:nvPicPr>
        <xdr:cNvPr id="3" name="Picture 2">
          <a:extLst>
            <a:ext uri="{FF2B5EF4-FFF2-40B4-BE49-F238E27FC236}">
              <a16:creationId xmlns:a16="http://schemas.microsoft.com/office/drawing/2014/main" id="{756814AD-C8E7-417F-A917-41FDA02296BD}"/>
            </a:ext>
            <a:ext uri="{147F2762-F138-4A5C-976F-8EAC2B608ADB}">
              <a16:predDERef xmlns:a16="http://schemas.microsoft.com/office/drawing/2014/main" pred="{7B73724C-E524-8D63-67EF-9A8C668EEF28}"/>
            </a:ext>
          </a:extLst>
        </xdr:cNvPr>
        <xdr:cNvPicPr>
          <a:picLocks noChangeAspect="1"/>
        </xdr:cNvPicPr>
      </xdr:nvPicPr>
      <xdr:blipFill>
        <a:blip xmlns:r="http://schemas.openxmlformats.org/officeDocument/2006/relationships" r:embed="rId2"/>
        <a:stretch>
          <a:fillRect/>
        </a:stretch>
      </xdr:blipFill>
      <xdr:spPr>
        <a:xfrm>
          <a:off x="20697825" y="3101975"/>
          <a:ext cx="5568950" cy="20193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1105</xdr:colOff>
      <xdr:row>3</xdr:row>
      <xdr:rowOff>183874</xdr:rowOff>
    </xdr:to>
    <xdr:sp macro="[0]!Toggle_Group_By_Button" textlink="">
      <xdr:nvSpPr>
        <xdr:cNvPr id="2" name="Rectangle: Rounded Corners 1">
          <a:extLst>
            <a:ext uri="{FF2B5EF4-FFF2-40B4-BE49-F238E27FC236}">
              <a16:creationId xmlns:a16="http://schemas.microsoft.com/office/drawing/2014/main" id="{F1B8C1C0-5272-4360-B243-E883CAA0E022}"/>
            </a:ext>
          </a:extLst>
        </xdr:cNvPr>
        <xdr:cNvSpPr/>
      </xdr:nvSpPr>
      <xdr:spPr>
        <a:xfrm>
          <a:off x="609600" y="184150"/>
          <a:ext cx="1220305" cy="552174"/>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altLang="zh-TW" sz="1600" b="1"/>
            <a:t>As-Built</a:t>
          </a:r>
          <a:endParaRPr lang="en-US" sz="1600" b="1"/>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1105</xdr:colOff>
      <xdr:row>3</xdr:row>
      <xdr:rowOff>183874</xdr:rowOff>
    </xdr:to>
    <xdr:sp macro="[0]!Toggle_Group_By_Button" textlink="">
      <xdr:nvSpPr>
        <xdr:cNvPr id="3" name="Rectangle: Rounded Corners 2">
          <a:extLst>
            <a:ext uri="{FF2B5EF4-FFF2-40B4-BE49-F238E27FC236}">
              <a16:creationId xmlns:a16="http://schemas.microsoft.com/office/drawing/2014/main" id="{DC4C699B-D548-417F-8047-83DAE5A06F21}"/>
            </a:ext>
          </a:extLst>
        </xdr:cNvPr>
        <xdr:cNvSpPr/>
      </xdr:nvSpPr>
      <xdr:spPr>
        <a:xfrm>
          <a:off x="609600" y="184150"/>
          <a:ext cx="1220305" cy="552174"/>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b="1"/>
            <a:t>Tools</a:t>
          </a:r>
        </a:p>
      </xdr:txBody>
    </xdr:sp>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161925</xdr:colOff>
      <xdr:row>9</xdr:row>
      <xdr:rowOff>19050</xdr:rowOff>
    </xdr:from>
    <xdr:to>
      <xdr:col>3</xdr:col>
      <xdr:colOff>161925</xdr:colOff>
      <xdr:row>22</xdr:row>
      <xdr:rowOff>85725</xdr:rowOff>
    </xdr:to>
    <mc:AlternateContent xmlns:mc="http://schemas.openxmlformats.org/markup-compatibility/2006" xmlns:a14="http://schemas.microsoft.com/office/drawing/2010/main">
      <mc:Choice Requires="a14">
        <xdr:graphicFrame macro="">
          <xdr:nvGraphicFramePr>
            <xdr:cNvPr id="2" name="Contractor 1">
              <a:extLst>
                <a:ext uri="{FF2B5EF4-FFF2-40B4-BE49-F238E27FC236}">
                  <a16:creationId xmlns:a16="http://schemas.microsoft.com/office/drawing/2014/main" id="{1A244039-4C26-7A5C-F74A-3833A5866D32}"/>
                </a:ext>
              </a:extLst>
            </xdr:cNvPr>
            <xdr:cNvGraphicFramePr/>
          </xdr:nvGraphicFramePr>
          <xdr:xfrm>
            <a:off x="0" y="0"/>
            <a:ext cx="0" cy="0"/>
          </xdr:xfrm>
          <a:graphic>
            <a:graphicData uri="http://schemas.microsoft.com/office/drawing/2010/slicer">
              <sle:slicer xmlns:sle="http://schemas.microsoft.com/office/drawing/2010/slicer" name="Contractor 1"/>
            </a:graphicData>
          </a:graphic>
        </xdr:graphicFrame>
      </mc:Choice>
      <mc:Fallback xmlns="">
        <xdr:sp macro="" textlink="">
          <xdr:nvSpPr>
            <xdr:cNvPr id="0" name=""/>
            <xdr:cNvSpPr>
              <a:spLocks noTextEdit="1"/>
            </xdr:cNvSpPr>
          </xdr:nvSpPr>
          <xdr:spPr>
            <a:xfrm>
              <a:off x="161925" y="17811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0</xdr:colOff>
      <xdr:row>45</xdr:row>
      <xdr:rowOff>0</xdr:rowOff>
    </xdr:from>
    <xdr:to>
      <xdr:col>16</xdr:col>
      <xdr:colOff>396875</xdr:colOff>
      <xdr:row>67</xdr:row>
      <xdr:rowOff>48455</xdr:rowOff>
    </xdr:to>
    <xdr:graphicFrame macro="">
      <xdr:nvGraphicFramePr>
        <xdr:cNvPr id="3" name="Chart 2">
          <a:extLst>
            <a:ext uri="{FF2B5EF4-FFF2-40B4-BE49-F238E27FC236}">
              <a16:creationId xmlns:a16="http://schemas.microsoft.com/office/drawing/2014/main" id="{9F7C2DCE-1428-4F0B-BCCF-25E618A770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49</xdr:col>
      <xdr:colOff>28575</xdr:colOff>
      <xdr:row>33</xdr:row>
      <xdr:rowOff>57150</xdr:rowOff>
    </xdr:from>
    <xdr:to>
      <xdr:col>59</xdr:col>
      <xdr:colOff>57150</xdr:colOff>
      <xdr:row>56</xdr:row>
      <xdr:rowOff>128588</xdr:rowOff>
    </xdr:to>
    <xdr:graphicFrame macro="">
      <xdr:nvGraphicFramePr>
        <xdr:cNvPr id="9" name="KPI_Chart">
          <a:extLst>
            <a:ext uri="{FF2B5EF4-FFF2-40B4-BE49-F238E27FC236}">
              <a16:creationId xmlns:a16="http://schemas.microsoft.com/office/drawing/2014/main" id="{1A008EDB-E593-4FC2-8606-EEA56E0697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50</xdr:col>
      <xdr:colOff>504825</xdr:colOff>
      <xdr:row>59</xdr:row>
      <xdr:rowOff>142875</xdr:rowOff>
    </xdr:from>
    <xdr:to>
      <xdr:col>52</xdr:col>
      <xdr:colOff>485775</xdr:colOff>
      <xdr:row>62</xdr:row>
      <xdr:rowOff>171450</xdr:rowOff>
    </xdr:to>
    <xdr:sp macro="[0]!Focus_AutoBuffer" textlink="">
      <xdr:nvSpPr>
        <xdr:cNvPr id="10" name="Rectangle: Rounded Corners 9">
          <a:extLst>
            <a:ext uri="{FF2B5EF4-FFF2-40B4-BE49-F238E27FC236}">
              <a16:creationId xmlns:a16="http://schemas.microsoft.com/office/drawing/2014/main" id="{284D43EB-2FCF-4B57-9EA9-3F01F46702CB}"/>
            </a:ext>
          </a:extLst>
        </xdr:cNvPr>
        <xdr:cNvSpPr/>
      </xdr:nvSpPr>
      <xdr:spPr>
        <a:xfrm>
          <a:off x="46577250" y="9229725"/>
          <a:ext cx="1200150" cy="600075"/>
        </a:xfrm>
        <a:prstGeom prst="roundRect">
          <a:avLst/>
        </a:prstGeom>
        <a:solidFill>
          <a:srgbClr val="0099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mj-lt"/>
            </a:rPr>
            <a:t>Update Drawing</a:t>
          </a:r>
        </a:p>
      </xdr:txBody>
    </xdr:sp>
    <xdr:clientData/>
  </xdr:twoCellAnchor>
  <xdr:twoCellAnchor>
    <xdr:from>
      <xdr:col>21</xdr:col>
      <xdr:colOff>0</xdr:colOff>
      <xdr:row>45</xdr:row>
      <xdr:rowOff>0</xdr:rowOff>
    </xdr:from>
    <xdr:to>
      <xdr:col>25</xdr:col>
      <xdr:colOff>533400</xdr:colOff>
      <xdr:row>62</xdr:row>
      <xdr:rowOff>33338</xdr:rowOff>
    </xdr:to>
    <xdr:graphicFrame macro="">
      <xdr:nvGraphicFramePr>
        <xdr:cNvPr id="11" name="Chart 10">
          <a:extLst>
            <a:ext uri="{FF2B5EF4-FFF2-40B4-BE49-F238E27FC236}">
              <a16:creationId xmlns:a16="http://schemas.microsoft.com/office/drawing/2014/main" id="{8D22CF65-C3CD-4374-B53E-B692B063B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69</xdr:row>
      <xdr:rowOff>0</xdr:rowOff>
    </xdr:from>
    <xdr:to>
      <xdr:col>16</xdr:col>
      <xdr:colOff>447261</xdr:colOff>
      <xdr:row>86</xdr:row>
      <xdr:rowOff>40822</xdr:rowOff>
    </xdr:to>
    <xdr:graphicFrame macro="">
      <xdr:nvGraphicFramePr>
        <xdr:cNvPr id="13" name="Chart 12">
          <a:extLst>
            <a:ext uri="{FF2B5EF4-FFF2-40B4-BE49-F238E27FC236}">
              <a16:creationId xmlns:a16="http://schemas.microsoft.com/office/drawing/2014/main" id="{24E5D1F9-8F15-4616-8D3C-69D33A7527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0</xdr:colOff>
      <xdr:row>69</xdr:row>
      <xdr:rowOff>0</xdr:rowOff>
    </xdr:from>
    <xdr:to>
      <xdr:col>25</xdr:col>
      <xdr:colOff>639536</xdr:colOff>
      <xdr:row>87</xdr:row>
      <xdr:rowOff>106136</xdr:rowOff>
    </xdr:to>
    <xdr:graphicFrame macro="">
      <xdr:nvGraphicFramePr>
        <xdr:cNvPr id="16" name="Chart 15">
          <a:extLst>
            <a:ext uri="{FF2B5EF4-FFF2-40B4-BE49-F238E27FC236}">
              <a16:creationId xmlns:a16="http://schemas.microsoft.com/office/drawing/2014/main" id="{B973AA43-36CB-4175-B1D8-DA3CFE62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0</xdr:colOff>
      <xdr:row>44</xdr:row>
      <xdr:rowOff>190499</xdr:rowOff>
    </xdr:from>
    <xdr:to>
      <xdr:col>37</xdr:col>
      <xdr:colOff>54428</xdr:colOff>
      <xdr:row>61</xdr:row>
      <xdr:rowOff>149678</xdr:rowOff>
    </xdr:to>
    <xdr:graphicFrame macro="">
      <xdr:nvGraphicFramePr>
        <xdr:cNvPr id="18" name="Chart 17">
          <a:extLst>
            <a:ext uri="{FF2B5EF4-FFF2-40B4-BE49-F238E27FC236}">
              <a16:creationId xmlns:a16="http://schemas.microsoft.com/office/drawing/2014/main" id="{FAD08EF8-C9E2-4F65-BB6D-F60F0647FC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xdr:col>
      <xdr:colOff>0</xdr:colOff>
      <xdr:row>1</xdr:row>
      <xdr:rowOff>0</xdr:rowOff>
    </xdr:from>
    <xdr:to>
      <xdr:col>3</xdr:col>
      <xdr:colOff>13805</xdr:colOff>
      <xdr:row>4</xdr:row>
      <xdr:rowOff>18774</xdr:rowOff>
    </xdr:to>
    <xdr:sp macro="[0]!Toggle_Group_By_Button" textlink="">
      <xdr:nvSpPr>
        <xdr:cNvPr id="2" name="Rectangle: Rounded Corners 1">
          <a:extLst>
            <a:ext uri="{FF2B5EF4-FFF2-40B4-BE49-F238E27FC236}">
              <a16:creationId xmlns:a16="http://schemas.microsoft.com/office/drawing/2014/main" id="{F0274A0A-867C-4EF7-9D49-154FCC77CEDA}"/>
            </a:ext>
          </a:extLst>
        </xdr:cNvPr>
        <xdr:cNvSpPr/>
      </xdr:nvSpPr>
      <xdr:spPr>
        <a:xfrm>
          <a:off x="603250" y="174625"/>
          <a:ext cx="1220305" cy="542649"/>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b="1"/>
            <a:t>Info</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298173</xdr:colOff>
      <xdr:row>1</xdr:row>
      <xdr:rowOff>3174</xdr:rowOff>
    </xdr:from>
    <xdr:to>
      <xdr:col>3</xdr:col>
      <xdr:colOff>41743</xdr:colOff>
      <xdr:row>2</xdr:row>
      <xdr:rowOff>275313</xdr:rowOff>
    </xdr:to>
    <xdr:sp macro="[0]!Toggle_Group_By_Button" textlink="">
      <xdr:nvSpPr>
        <xdr:cNvPr id="3" name="Rectangle: Rounded Corners 2">
          <a:extLst>
            <a:ext uri="{FF2B5EF4-FFF2-40B4-BE49-F238E27FC236}">
              <a16:creationId xmlns:a16="http://schemas.microsoft.com/office/drawing/2014/main" id="{2A71F4D9-CD0B-42C8-A825-A1E38BCC5F94}"/>
            </a:ext>
          </a:extLst>
        </xdr:cNvPr>
        <xdr:cNvSpPr/>
      </xdr:nvSpPr>
      <xdr:spPr>
        <a:xfrm>
          <a:off x="298173" y="276500"/>
          <a:ext cx="1234440" cy="545465"/>
        </a:xfrm>
        <a:prstGeom prst="roundRect">
          <a:avLst/>
        </a:pr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b="1"/>
            <a:t>Checklist</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113589</xdr:colOff>
      <xdr:row>0</xdr:row>
      <xdr:rowOff>1962978</xdr:rowOff>
    </xdr:to>
    <xdr:sp macro="" textlink="">
      <xdr:nvSpPr>
        <xdr:cNvPr id="65" name="Rectangle 64">
          <a:extLst>
            <a:ext uri="{FF2B5EF4-FFF2-40B4-BE49-F238E27FC236}">
              <a16:creationId xmlns:a16="http://schemas.microsoft.com/office/drawing/2014/main" id="{7D942BE3-39F7-45FD-B30D-1A4F2EC5A41D}"/>
            </a:ext>
          </a:extLst>
        </xdr:cNvPr>
        <xdr:cNvSpPr/>
      </xdr:nvSpPr>
      <xdr:spPr>
        <a:xfrm>
          <a:off x="0" y="0"/>
          <a:ext cx="9605459" cy="1962978"/>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561975</xdr:colOff>
      <xdr:row>1</xdr:row>
      <xdr:rowOff>301625</xdr:rowOff>
    </xdr:from>
    <xdr:to>
      <xdr:col>5</xdr:col>
      <xdr:colOff>53975</xdr:colOff>
      <xdr:row>2</xdr:row>
      <xdr:rowOff>168275</xdr:rowOff>
    </xdr:to>
    <xdr:sp macro="" textlink="">
      <xdr:nvSpPr>
        <xdr:cNvPr id="2" name="Rectangle 1">
          <a:extLst>
            <a:ext uri="{FF2B5EF4-FFF2-40B4-BE49-F238E27FC236}">
              <a16:creationId xmlns:a16="http://schemas.microsoft.com/office/drawing/2014/main" id="{D5BE2124-296C-47F9-8414-1ECE01AA8ED3}"/>
            </a:ext>
          </a:extLst>
        </xdr:cNvPr>
        <xdr:cNvSpPr/>
      </xdr:nvSpPr>
      <xdr:spPr>
        <a:xfrm>
          <a:off x="9067800" y="2587625"/>
          <a:ext cx="939800" cy="238125"/>
        </a:xfrm>
        <a:prstGeom prst="rect">
          <a:avLst/>
        </a:prstGeom>
        <a:solidFill>
          <a:srgbClr val="FFFFFF">
            <a:alpha val="0"/>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xdr:colOff>
      <xdr:row>0</xdr:row>
      <xdr:rowOff>0</xdr:rowOff>
    </xdr:from>
    <xdr:to>
      <xdr:col>1</xdr:col>
      <xdr:colOff>482226</xdr:colOff>
      <xdr:row>0</xdr:row>
      <xdr:rowOff>274320</xdr:rowOff>
    </xdr:to>
    <xdr:sp macro="" textlink="#REF!">
      <xdr:nvSpPr>
        <xdr:cNvPr id="34" name="Rectangle 33">
          <a:hlinkClick xmlns:r="http://schemas.openxmlformats.org/officeDocument/2006/relationships" r:id="rId1"/>
          <a:extLst>
            <a:ext uri="{FF2B5EF4-FFF2-40B4-BE49-F238E27FC236}">
              <a16:creationId xmlns:a16="http://schemas.microsoft.com/office/drawing/2014/main" id="{CF9346B1-70CE-4B5B-9817-8DE1B1ED46D7}"/>
            </a:ext>
          </a:extLst>
        </xdr:cNvPr>
        <xdr:cNvSpPr/>
      </xdr:nvSpPr>
      <xdr:spPr>
        <a:xfrm>
          <a:off x="1" y="0"/>
          <a:ext cx="92120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C9062ABE-A9A9-440B-96E9-D4B8B942419B}" type="TxLink">
            <a:rPr lang="en-US" sz="1200" b="0" i="0" u="sng" strike="noStrike">
              <a:solidFill>
                <a:schemeClr val="bg1"/>
              </a:solidFill>
              <a:latin typeface="Calibri"/>
              <a:cs typeface="Calibri"/>
            </a:rPr>
            <a:pPr algn="ctr"/>
            <a:t>Menu</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478399</xdr:colOff>
      <xdr:row>0</xdr:row>
      <xdr:rowOff>0</xdr:rowOff>
    </xdr:from>
    <xdr:to>
      <xdr:col>1</xdr:col>
      <xdr:colOff>1392799</xdr:colOff>
      <xdr:row>0</xdr:row>
      <xdr:rowOff>274320</xdr:rowOff>
    </xdr:to>
    <xdr:sp macro="" textlink="#REF!">
      <xdr:nvSpPr>
        <xdr:cNvPr id="35" name="Rectangle 34">
          <a:hlinkClick xmlns:r="http://schemas.openxmlformats.org/officeDocument/2006/relationships" r:id="rId2"/>
          <a:extLst>
            <a:ext uri="{FF2B5EF4-FFF2-40B4-BE49-F238E27FC236}">
              <a16:creationId xmlns:a16="http://schemas.microsoft.com/office/drawing/2014/main" id="{67A4860F-3AF8-43AA-8CD8-ED756F14D89B}"/>
            </a:ext>
          </a:extLst>
        </xdr:cNvPr>
        <xdr:cNvSpPr/>
      </xdr:nvSpPr>
      <xdr:spPr>
        <a:xfrm>
          <a:off x="917377" y="0"/>
          <a:ext cx="9144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BD965EE-1B6E-4FF2-A3DC-05190CA5BAA5}" type="TxLink">
            <a:rPr lang="en-US" sz="1200" b="0" i="0" u="sng" strike="noStrike">
              <a:solidFill>
                <a:schemeClr val="bg1"/>
              </a:solidFill>
              <a:latin typeface="Calibri"/>
              <a:cs typeface="Calibri"/>
            </a:rPr>
            <a:pPr algn="ctr"/>
            <a:t>Dashboard</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1391675</xdr:colOff>
      <xdr:row>0</xdr:row>
      <xdr:rowOff>0</xdr:rowOff>
    </xdr:from>
    <xdr:to>
      <xdr:col>2</xdr:col>
      <xdr:colOff>14514</xdr:colOff>
      <xdr:row>0</xdr:row>
      <xdr:rowOff>274320</xdr:rowOff>
    </xdr:to>
    <xdr:sp macro="" textlink="#REF!">
      <xdr:nvSpPr>
        <xdr:cNvPr id="36" name="Rectangle 35">
          <a:hlinkClick xmlns:r="http://schemas.openxmlformats.org/officeDocument/2006/relationships" r:id="rId3"/>
          <a:extLst>
            <a:ext uri="{FF2B5EF4-FFF2-40B4-BE49-F238E27FC236}">
              <a16:creationId xmlns:a16="http://schemas.microsoft.com/office/drawing/2014/main" id="{808721DF-82D1-474E-9AF7-05E0A709C9BE}"/>
            </a:ext>
          </a:extLst>
        </xdr:cNvPr>
        <xdr:cNvSpPr/>
      </xdr:nvSpPr>
      <xdr:spPr>
        <a:xfrm>
          <a:off x="1830653"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D0E54A7-B214-4607-8826-8942D59FE2D4}" type="TxLink">
            <a:rPr lang="en-US" sz="1200" b="0" i="0" u="none" strike="noStrike">
              <a:solidFill>
                <a:schemeClr val="bg1"/>
              </a:solidFill>
              <a:latin typeface="Calibri" panose="020F0502020204030204" pitchFamily="34" charset="0"/>
              <a:cs typeface="Calibri" panose="020F0502020204030204" pitchFamily="34" charset="0"/>
            </a:rPr>
            <a:pPr algn="ctr"/>
            <a:t>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2289960</xdr:colOff>
      <xdr:row>0</xdr:row>
      <xdr:rowOff>0</xdr:rowOff>
    </xdr:from>
    <xdr:to>
      <xdr:col>2</xdr:col>
      <xdr:colOff>914206</xdr:colOff>
      <xdr:row>0</xdr:row>
      <xdr:rowOff>274320</xdr:rowOff>
    </xdr:to>
    <xdr:sp macro="" textlink="#REF!">
      <xdr:nvSpPr>
        <xdr:cNvPr id="37" name="Rectangle 36">
          <a:hlinkClick xmlns:r="http://schemas.openxmlformats.org/officeDocument/2006/relationships" r:id="rId4"/>
          <a:extLst>
            <a:ext uri="{FF2B5EF4-FFF2-40B4-BE49-F238E27FC236}">
              <a16:creationId xmlns:a16="http://schemas.microsoft.com/office/drawing/2014/main" id="{5FE2CEC4-AD66-432E-9189-47574606C0E3}"/>
            </a:ext>
          </a:extLst>
        </xdr:cNvPr>
        <xdr:cNvSpPr/>
      </xdr:nvSpPr>
      <xdr:spPr>
        <a:xfrm>
          <a:off x="2728938" y="0"/>
          <a:ext cx="91852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74DC379-5DB9-4A59-9F32-EF7537C03342}" type="TxLink">
            <a:rPr lang="en-US" altLang="zh-TW" sz="1200" b="0" i="0" u="none" strike="noStrike">
              <a:solidFill>
                <a:schemeClr val="bg1"/>
              </a:solidFill>
              <a:latin typeface="Calibri" panose="020F0502020204030204" pitchFamily="34" charset="0"/>
              <a:cs typeface="Calibri" panose="020F0502020204030204" pitchFamily="34" charset="0"/>
            </a:rPr>
            <a:pPr algn="ctr"/>
            <a:t>KCT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913550</xdr:colOff>
      <xdr:row>0</xdr:row>
      <xdr:rowOff>0</xdr:rowOff>
    </xdr:from>
    <xdr:to>
      <xdr:col>2</xdr:col>
      <xdr:colOff>1826788</xdr:colOff>
      <xdr:row>0</xdr:row>
      <xdr:rowOff>274320</xdr:rowOff>
    </xdr:to>
    <xdr:sp macro="" textlink="#REF!">
      <xdr:nvSpPr>
        <xdr:cNvPr id="38" name="Rectangle 37">
          <a:hlinkClick xmlns:r="http://schemas.openxmlformats.org/officeDocument/2006/relationships" r:id="rId3"/>
          <a:extLst>
            <a:ext uri="{FF2B5EF4-FFF2-40B4-BE49-F238E27FC236}">
              <a16:creationId xmlns:a16="http://schemas.microsoft.com/office/drawing/2014/main" id="{980D1966-7F37-4934-BB68-870083C0F340}"/>
            </a:ext>
          </a:extLst>
        </xdr:cNvPr>
        <xdr:cNvSpPr/>
      </xdr:nvSpPr>
      <xdr:spPr>
        <a:xfrm>
          <a:off x="3646811" y="0"/>
          <a:ext cx="91323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9F9CBE-726B-4820-9127-9BFEB61EB63B}" type="TxLink">
            <a:rPr lang="en-US" sz="1200" b="0" i="0" u="none" strike="noStrike">
              <a:solidFill>
                <a:schemeClr val="bg1"/>
              </a:solidFill>
              <a:latin typeface="Calibri" panose="020F0502020204030204" pitchFamily="34" charset="0"/>
              <a:cs typeface="Calibri" panose="020F0502020204030204" pitchFamily="34" charset="0"/>
            </a:rPr>
            <a:pPr algn="ctr"/>
            <a:t>KCT_Curve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1823175</xdr:colOff>
      <xdr:row>0</xdr:row>
      <xdr:rowOff>0</xdr:rowOff>
    </xdr:from>
    <xdr:to>
      <xdr:col>2</xdr:col>
      <xdr:colOff>2738549</xdr:colOff>
      <xdr:row>0</xdr:row>
      <xdr:rowOff>274320</xdr:rowOff>
    </xdr:to>
    <xdr:sp macro="" textlink="#REF!">
      <xdr:nvSpPr>
        <xdr:cNvPr id="39" name="Rectangle 38">
          <a:hlinkClick xmlns:r="http://schemas.openxmlformats.org/officeDocument/2006/relationships" r:id="rId5"/>
          <a:extLst>
            <a:ext uri="{FF2B5EF4-FFF2-40B4-BE49-F238E27FC236}">
              <a16:creationId xmlns:a16="http://schemas.microsoft.com/office/drawing/2014/main" id="{ED544852-BD58-484D-A133-DB0DE9BB8CA5}"/>
            </a:ext>
          </a:extLst>
        </xdr:cNvPr>
        <xdr:cNvSpPr/>
      </xdr:nvSpPr>
      <xdr:spPr>
        <a:xfrm>
          <a:off x="4556436" y="0"/>
          <a:ext cx="91537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EC4968A-67D4-43C6-A25C-FD0E75E9BD05}" type="TxLink">
            <a:rPr lang="en-US" sz="1200" b="0" i="0" u="none" strike="noStrike">
              <a:solidFill>
                <a:schemeClr val="bg1"/>
              </a:solidFill>
              <a:latin typeface="Calibri" panose="020F0502020204030204" pitchFamily="34" charset="0"/>
              <a:cs typeface="Calibri" panose="020F0502020204030204" pitchFamily="34" charset="0"/>
            </a:rPr>
            <a:pPr algn="ctr"/>
            <a:t>KCT_Pivot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2730665</xdr:colOff>
      <xdr:row>0</xdr:row>
      <xdr:rowOff>0</xdr:rowOff>
    </xdr:from>
    <xdr:to>
      <xdr:col>2</xdr:col>
      <xdr:colOff>3647787</xdr:colOff>
      <xdr:row>0</xdr:row>
      <xdr:rowOff>274320</xdr:rowOff>
    </xdr:to>
    <xdr:sp macro="" textlink="#REF!">
      <xdr:nvSpPr>
        <xdr:cNvPr id="40" name="Rectangle 39">
          <a:hlinkClick xmlns:r="http://schemas.openxmlformats.org/officeDocument/2006/relationships" r:id="rId6"/>
          <a:extLst>
            <a:ext uri="{FF2B5EF4-FFF2-40B4-BE49-F238E27FC236}">
              <a16:creationId xmlns:a16="http://schemas.microsoft.com/office/drawing/2014/main" id="{B29E153C-AE6C-45EE-A221-AB7CDD3F5C1C}"/>
            </a:ext>
          </a:extLst>
        </xdr:cNvPr>
        <xdr:cNvSpPr/>
      </xdr:nvSpPr>
      <xdr:spPr>
        <a:xfrm>
          <a:off x="5463926"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7F627CC-32D4-4130-8C48-E1A5B0B97854}" type="TxLink">
            <a:rPr lang="en-US" sz="1200" b="0" i="0" u="none" strike="noStrike">
              <a:solidFill>
                <a:schemeClr val="bg1"/>
              </a:solidFill>
              <a:latin typeface="Calibri" panose="020F0502020204030204" pitchFamily="34" charset="0"/>
              <a:cs typeface="Calibri" panose="020F0502020204030204" pitchFamily="34" charset="0"/>
            </a:rPr>
            <a:pPr algn="ctr"/>
            <a:t>Key_Quality_Docs</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3646862</xdr:colOff>
      <xdr:row>0</xdr:row>
      <xdr:rowOff>0</xdr:rowOff>
    </xdr:from>
    <xdr:to>
      <xdr:col>2</xdr:col>
      <xdr:colOff>5019213</xdr:colOff>
      <xdr:row>0</xdr:row>
      <xdr:rowOff>274320</xdr:rowOff>
    </xdr:to>
    <xdr:sp macro="" textlink="#REF!">
      <xdr:nvSpPr>
        <xdr:cNvPr id="41" name="Rectangle 40">
          <a:hlinkClick xmlns:r="http://schemas.openxmlformats.org/officeDocument/2006/relationships" r:id="rId7"/>
          <a:extLst>
            <a:ext uri="{FF2B5EF4-FFF2-40B4-BE49-F238E27FC236}">
              <a16:creationId xmlns:a16="http://schemas.microsoft.com/office/drawing/2014/main" id="{C9E74EC6-7E67-4126-8CA5-6FDF30A8B463}"/>
            </a:ext>
          </a:extLst>
        </xdr:cNvPr>
        <xdr:cNvSpPr/>
      </xdr:nvSpPr>
      <xdr:spPr>
        <a:xfrm>
          <a:off x="6380123" y="0"/>
          <a:ext cx="137235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Q_commu._Matrix</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843626</xdr:rowOff>
    </xdr:from>
    <xdr:to>
      <xdr:col>1</xdr:col>
      <xdr:colOff>759268</xdr:colOff>
      <xdr:row>0</xdr:row>
      <xdr:rowOff>1117946</xdr:rowOff>
    </xdr:to>
    <xdr:sp macro="" textlink="#REF!">
      <xdr:nvSpPr>
        <xdr:cNvPr id="42" name="Rectangle 41">
          <a:hlinkClick xmlns:r="http://schemas.openxmlformats.org/officeDocument/2006/relationships" r:id="rId8"/>
          <a:extLst>
            <a:ext uri="{FF2B5EF4-FFF2-40B4-BE49-F238E27FC236}">
              <a16:creationId xmlns:a16="http://schemas.microsoft.com/office/drawing/2014/main" id="{FFBDC3B4-A399-48B9-A880-6C64DD5A76ED}"/>
            </a:ext>
          </a:extLst>
        </xdr:cNvPr>
        <xdr:cNvSpPr/>
      </xdr:nvSpPr>
      <xdr:spPr>
        <a:xfrm>
          <a:off x="1" y="843626"/>
          <a:ext cx="119824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2AEF7F1-F48C-4FA1-A707-132A4EE8650E}" type="TxLink">
            <a:rPr lang="en-US" sz="1200" b="0" i="0" u="none" strike="noStrike">
              <a:solidFill>
                <a:schemeClr val="bg1"/>
              </a:solidFill>
              <a:latin typeface="Calibri" panose="020F0502020204030204" pitchFamily="34" charset="0"/>
              <a:cs typeface="Calibri" panose="020F0502020204030204" pitchFamily="34" charset="0"/>
            </a:rPr>
            <a:pPr algn="ctr"/>
            <a:t>ITP_Summary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1</xdr:col>
      <xdr:colOff>941467</xdr:colOff>
      <xdr:row>0</xdr:row>
      <xdr:rowOff>1491768</xdr:rowOff>
    </xdr:to>
    <xdr:sp macro="" textlink="#REF!">
      <xdr:nvSpPr>
        <xdr:cNvPr id="43" name="Rectangle 42">
          <a:hlinkClick xmlns:r="http://schemas.openxmlformats.org/officeDocument/2006/relationships" r:id="rId9"/>
          <a:extLst>
            <a:ext uri="{FF2B5EF4-FFF2-40B4-BE49-F238E27FC236}">
              <a16:creationId xmlns:a16="http://schemas.microsoft.com/office/drawing/2014/main" id="{4FCE7E28-209A-4945-AD64-9FC4218F60AE}"/>
            </a:ext>
          </a:extLst>
        </xdr:cNvPr>
        <xdr:cNvSpPr/>
      </xdr:nvSpPr>
      <xdr:spPr>
        <a:xfrm>
          <a:off x="1" y="1217448"/>
          <a:ext cx="13804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D99717-E26D-4349-956E-1203D01BE3F8}" type="TxLink">
            <a:rPr lang="en-US" sz="1200" b="0" i="0" u="none" strike="noStrike">
              <a:solidFill>
                <a:schemeClr val="bg1"/>
              </a:solidFill>
              <a:latin typeface="Calibri" panose="020F0502020204030204" pitchFamily="34" charset="0"/>
              <a:cs typeface="Calibri" panose="020F0502020204030204" pitchFamily="34" charset="0"/>
            </a:rPr>
            <a:pPr algn="ctr"/>
            <a:t>ITP_IAC_Hellenic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0</xdr:col>
      <xdr:colOff>1</xdr:colOff>
      <xdr:row>0</xdr:row>
      <xdr:rowOff>1491768</xdr:rowOff>
    </xdr:to>
    <xdr:sp macro="" textlink="$B$20">
      <xdr:nvSpPr>
        <xdr:cNvPr id="44" name="Rectangle 43">
          <a:extLst>
            <a:ext uri="{FF2B5EF4-FFF2-40B4-BE49-F238E27FC236}">
              <a16:creationId xmlns:a16="http://schemas.microsoft.com/office/drawing/2014/main" id="{E69F5476-3BD9-4BF2-839F-8963E85F5BEF}"/>
            </a:ext>
          </a:extLst>
        </xdr:cNvPr>
        <xdr:cNvSpPr/>
      </xdr:nvSpPr>
      <xdr:spPr>
        <a:xfrm>
          <a:off x="1" y="1217448"/>
          <a:ext cx="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B2C5B66-F7E2-4187-B670-BF121381989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938796</xdr:colOff>
      <xdr:row>0</xdr:row>
      <xdr:rowOff>1217448</xdr:rowOff>
    </xdr:from>
    <xdr:to>
      <xdr:col>1</xdr:col>
      <xdr:colOff>1999164</xdr:colOff>
      <xdr:row>0</xdr:row>
      <xdr:rowOff>1491768</xdr:rowOff>
    </xdr:to>
    <xdr:sp macro="" textlink="#REF!">
      <xdr:nvSpPr>
        <xdr:cNvPr id="45" name="Rectangle 44">
          <a:hlinkClick xmlns:r="http://schemas.openxmlformats.org/officeDocument/2006/relationships" r:id="rId10"/>
          <a:extLst>
            <a:ext uri="{FF2B5EF4-FFF2-40B4-BE49-F238E27FC236}">
              <a16:creationId xmlns:a16="http://schemas.microsoft.com/office/drawing/2014/main" id="{CF308011-89EE-4CD4-BE4F-92F6E784EB66}"/>
            </a:ext>
          </a:extLst>
        </xdr:cNvPr>
        <xdr:cNvSpPr/>
      </xdr:nvSpPr>
      <xdr:spPr>
        <a:xfrm>
          <a:off x="1377774" y="1217448"/>
          <a:ext cx="106036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A79F7F-4ADB-4ABC-9292-0F2B92307410}" type="TxLink">
            <a:rPr lang="en-US" altLang="zh-TW" sz="1200" b="0" i="0" u="none" strike="noStrike">
              <a:solidFill>
                <a:schemeClr val="bg1"/>
              </a:solidFill>
              <a:latin typeface="Calibri" panose="020F0502020204030204" pitchFamily="34" charset="0"/>
              <a:cs typeface="Calibri" panose="020F0502020204030204" pitchFamily="34" charset="0"/>
            </a:rPr>
            <a:pPr algn="ctr"/>
            <a:t>ITP_EXC_LSC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1999164</xdr:colOff>
      <xdr:row>0</xdr:row>
      <xdr:rowOff>1217448</xdr:rowOff>
    </xdr:from>
    <xdr:to>
      <xdr:col>2</xdr:col>
      <xdr:colOff>1086686</xdr:colOff>
      <xdr:row>0</xdr:row>
      <xdr:rowOff>1491768</xdr:rowOff>
    </xdr:to>
    <xdr:sp macro="" textlink="#REF!">
      <xdr:nvSpPr>
        <xdr:cNvPr id="46" name="Rectangle 45">
          <a:hlinkClick xmlns:r="http://schemas.openxmlformats.org/officeDocument/2006/relationships" r:id="rId11"/>
          <a:extLst>
            <a:ext uri="{FF2B5EF4-FFF2-40B4-BE49-F238E27FC236}">
              <a16:creationId xmlns:a16="http://schemas.microsoft.com/office/drawing/2014/main" id="{7D84E8CE-30DA-48E7-B811-864E73795490}"/>
            </a:ext>
          </a:extLst>
        </xdr:cNvPr>
        <xdr:cNvSpPr/>
      </xdr:nvSpPr>
      <xdr:spPr>
        <a:xfrm>
          <a:off x="2438142" y="1217448"/>
          <a:ext cx="138180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DAB4F40-9E56-424D-9D25-023E38A6DFEF}" type="TxLink">
            <a:rPr lang="en-US" altLang="zh-TW" sz="1200" b="0" i="0" u="none" strike="noStrike">
              <a:solidFill>
                <a:schemeClr val="bg1"/>
              </a:solidFill>
              <a:latin typeface="Calibri" panose="020F0502020204030204" pitchFamily="34" charset="0"/>
              <a:cs typeface="Calibri" panose="020F0502020204030204" pitchFamily="34" charset="0"/>
            </a:rPr>
            <a:pPr algn="ctr"/>
            <a:t>ITP_Cable_TNI_S7</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1083167</xdr:colOff>
      <xdr:row>0</xdr:row>
      <xdr:rowOff>1217448</xdr:rowOff>
    </xdr:from>
    <xdr:to>
      <xdr:col>2</xdr:col>
      <xdr:colOff>2450515</xdr:colOff>
      <xdr:row>0</xdr:row>
      <xdr:rowOff>1491768</xdr:rowOff>
    </xdr:to>
    <xdr:sp macro="" textlink="#REF!">
      <xdr:nvSpPr>
        <xdr:cNvPr id="47" name="Rectangle 46">
          <a:hlinkClick xmlns:r="http://schemas.openxmlformats.org/officeDocument/2006/relationships" r:id="rId12"/>
          <a:extLst>
            <a:ext uri="{FF2B5EF4-FFF2-40B4-BE49-F238E27FC236}">
              <a16:creationId xmlns:a16="http://schemas.microsoft.com/office/drawing/2014/main" id="{74BB1E7B-EB59-4A2B-86AF-337A42D7CF3B}"/>
            </a:ext>
          </a:extLst>
        </xdr:cNvPr>
        <xdr:cNvSpPr/>
      </xdr:nvSpPr>
      <xdr:spPr>
        <a:xfrm>
          <a:off x="3816428" y="1217448"/>
          <a:ext cx="136734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A6692E6-56B3-4FA0-B035-A27BEF5E821D}" type="TxLink">
            <a:rPr lang="en-US" sz="1200" b="0" i="0" u="none" strike="noStrike">
              <a:solidFill>
                <a:schemeClr val="bg1"/>
              </a:solidFill>
              <a:latin typeface="Calibri" panose="020F0502020204030204" pitchFamily="34" charset="0"/>
              <a:cs typeface="Calibri" panose="020F0502020204030204" pitchFamily="34" charset="0"/>
            </a:rPr>
            <a:pPr algn="ctr"/>
            <a:t>ITP_ONS_TECO</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5011494</xdr:colOff>
      <xdr:row>0</xdr:row>
      <xdr:rowOff>0</xdr:rowOff>
    </xdr:from>
    <xdr:to>
      <xdr:col>4</xdr:col>
      <xdr:colOff>416775</xdr:colOff>
      <xdr:row>0</xdr:row>
      <xdr:rowOff>274320</xdr:rowOff>
    </xdr:to>
    <xdr:sp macro="" textlink="#REF!">
      <xdr:nvSpPr>
        <xdr:cNvPr id="48" name="Rectangle 47">
          <a:hlinkClick xmlns:r="http://schemas.openxmlformats.org/officeDocument/2006/relationships" r:id="rId13"/>
          <a:extLst>
            <a:ext uri="{FF2B5EF4-FFF2-40B4-BE49-F238E27FC236}">
              <a16:creationId xmlns:a16="http://schemas.microsoft.com/office/drawing/2014/main" id="{056CDAA2-C4A6-40A4-B329-27941F1FD9E9}"/>
            </a:ext>
          </a:extLst>
        </xdr:cNvPr>
        <xdr:cNvSpPr/>
      </xdr:nvSpPr>
      <xdr:spPr>
        <a:xfrm>
          <a:off x="7744755" y="0"/>
          <a:ext cx="137704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ED4B2CE-3865-4169-8EDE-4E9A4AD0300C}" type="TxLink">
            <a:rPr lang="en-US" sz="1200" b="0" i="0" u="none" strike="noStrike">
              <a:solidFill>
                <a:schemeClr val="bg1"/>
              </a:solidFill>
              <a:latin typeface="Calibri" panose="020F0502020204030204" pitchFamily="34" charset="0"/>
              <a:cs typeface="Calibri" panose="020F0502020204030204" pitchFamily="34" charset="0"/>
            </a:rPr>
            <a:pPr algn="ctr"/>
            <a:t>OBS_Summary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2444753</xdr:colOff>
      <xdr:row>0</xdr:row>
      <xdr:rowOff>1217448</xdr:rowOff>
    </xdr:from>
    <xdr:to>
      <xdr:col>2</xdr:col>
      <xdr:colOff>3364597</xdr:colOff>
      <xdr:row>0</xdr:row>
      <xdr:rowOff>1491768</xdr:rowOff>
    </xdr:to>
    <xdr:sp macro="" textlink="#REF!">
      <xdr:nvSpPr>
        <xdr:cNvPr id="49" name="Rectangle 48">
          <a:hlinkClick xmlns:r="http://schemas.openxmlformats.org/officeDocument/2006/relationships" r:id="rId14"/>
          <a:extLst>
            <a:ext uri="{FF2B5EF4-FFF2-40B4-BE49-F238E27FC236}">
              <a16:creationId xmlns:a16="http://schemas.microsoft.com/office/drawing/2014/main" id="{40BC8EBB-65AB-49E4-9340-26F6C2D6AA69}"/>
            </a:ext>
          </a:extLst>
        </xdr:cNvPr>
        <xdr:cNvSpPr/>
      </xdr:nvSpPr>
      <xdr:spPr>
        <a:xfrm>
          <a:off x="5178014" y="1217448"/>
          <a:ext cx="9198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B7B64F5-264F-4267-A451-4ADD194C012B}" type="TxLink">
            <a:rPr lang="en-US" sz="1200" b="0" i="0" u="none" strike="noStrike">
              <a:solidFill>
                <a:schemeClr val="bg1"/>
              </a:solidFill>
              <a:latin typeface="Calibri" panose="020F0502020204030204" pitchFamily="34" charset="0"/>
              <a:cs typeface="Calibri" panose="020F0502020204030204" pitchFamily="34" charset="0"/>
            </a:rPr>
            <a:pPr algn="ctr"/>
            <a:t>ITP_CDWE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3357386</xdr:colOff>
      <xdr:row>0</xdr:row>
      <xdr:rowOff>1217448</xdr:rowOff>
    </xdr:from>
    <xdr:to>
      <xdr:col>2</xdr:col>
      <xdr:colOff>4728986</xdr:colOff>
      <xdr:row>0</xdr:row>
      <xdr:rowOff>1491768</xdr:rowOff>
    </xdr:to>
    <xdr:sp macro="" textlink="#REF!">
      <xdr:nvSpPr>
        <xdr:cNvPr id="50" name="Rectangle 49">
          <a:hlinkClick xmlns:r="http://schemas.openxmlformats.org/officeDocument/2006/relationships" r:id="rId15"/>
          <a:extLst>
            <a:ext uri="{FF2B5EF4-FFF2-40B4-BE49-F238E27FC236}">
              <a16:creationId xmlns:a16="http://schemas.microsoft.com/office/drawing/2014/main" id="{5E0D6EC2-1A96-4D13-AF69-2B7C0164118B}"/>
            </a:ext>
          </a:extLst>
        </xdr:cNvPr>
        <xdr:cNvSpPr/>
      </xdr:nvSpPr>
      <xdr:spPr>
        <a:xfrm>
          <a:off x="6090647" y="1217448"/>
          <a:ext cx="13716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4BD5D57-9335-47BB-B5C1-827C5BAA4DE8}" type="TxLink">
            <a:rPr lang="en-US" sz="1200" b="0" i="0" u="none" strike="noStrike">
              <a:solidFill>
                <a:schemeClr val="bg1"/>
              </a:solidFill>
              <a:latin typeface="Calibri" panose="020F0502020204030204" pitchFamily="34" charset="0"/>
              <a:cs typeface="Calibri" panose="020F0502020204030204" pitchFamily="34" charset="0"/>
            </a:rPr>
            <a:pPr algn="ctr"/>
            <a:t>ITP_OSS_SMPTSC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277488</xdr:rowOff>
    </xdr:from>
    <xdr:to>
      <xdr:col>1</xdr:col>
      <xdr:colOff>52508</xdr:colOff>
      <xdr:row>0</xdr:row>
      <xdr:rowOff>551808</xdr:rowOff>
    </xdr:to>
    <xdr:sp macro="" textlink="#REF!">
      <xdr:nvSpPr>
        <xdr:cNvPr id="51" name="Rectangle 50">
          <a:hlinkClick xmlns:r="http://schemas.openxmlformats.org/officeDocument/2006/relationships" r:id="rId16"/>
          <a:extLst>
            <a:ext uri="{FF2B5EF4-FFF2-40B4-BE49-F238E27FC236}">
              <a16:creationId xmlns:a16="http://schemas.microsoft.com/office/drawing/2014/main" id="{8A5DE915-292B-4981-890E-3629B1A287AD}"/>
            </a:ext>
          </a:extLst>
        </xdr:cNvPr>
        <xdr:cNvSpPr/>
      </xdr:nvSpPr>
      <xdr:spPr>
        <a:xfrm>
          <a:off x="1" y="277488"/>
          <a:ext cx="49148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76DB0D7-CA15-4C84-BEF1-B2FE174253A5}" type="TxLink">
            <a:rPr lang="en-US" sz="1200" b="0" i="0" u="none" strike="noStrike">
              <a:solidFill>
                <a:schemeClr val="bg1"/>
              </a:solidFill>
              <a:latin typeface="Calibri" panose="020F0502020204030204" pitchFamily="34" charset="0"/>
              <a:cs typeface="Calibri" panose="020F0502020204030204" pitchFamily="34" charset="0"/>
            </a:rPr>
            <a:pPr algn="ctr"/>
            <a:t>PQP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36278</xdr:colOff>
      <xdr:row>0</xdr:row>
      <xdr:rowOff>277488</xdr:rowOff>
    </xdr:from>
    <xdr:to>
      <xdr:col>1</xdr:col>
      <xdr:colOff>1417062</xdr:colOff>
      <xdr:row>0</xdr:row>
      <xdr:rowOff>551808</xdr:rowOff>
    </xdr:to>
    <xdr:sp macro="" textlink="#REF!">
      <xdr:nvSpPr>
        <xdr:cNvPr id="52" name="Rectangle 51">
          <a:hlinkClick xmlns:r="http://schemas.openxmlformats.org/officeDocument/2006/relationships" r:id="rId17"/>
          <a:extLst>
            <a:ext uri="{FF2B5EF4-FFF2-40B4-BE49-F238E27FC236}">
              <a16:creationId xmlns:a16="http://schemas.microsoft.com/office/drawing/2014/main" id="{6402C8D7-D538-45CE-8FF5-AB37FE7825A4}"/>
            </a:ext>
          </a:extLst>
        </xdr:cNvPr>
        <xdr:cNvSpPr/>
      </xdr:nvSpPr>
      <xdr:spPr>
        <a:xfrm>
          <a:off x="475256" y="277488"/>
          <a:ext cx="138078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B67B7DE-3A73-4724-AD40-6EFDCB186502}" type="TxLink">
            <a:rPr lang="en-US" sz="1200" b="0" i="0" u="none" strike="noStrike">
              <a:solidFill>
                <a:schemeClr val="bg1"/>
              </a:solidFill>
              <a:latin typeface="Calibri" panose="020F0502020204030204" pitchFamily="34" charset="0"/>
              <a:cs typeface="Calibri" panose="020F0502020204030204" pitchFamily="34" charset="0"/>
            </a:rPr>
            <a:pPr algn="ctr"/>
            <a:t>NCR_Summary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1416155</xdr:colOff>
      <xdr:row>0</xdr:row>
      <xdr:rowOff>277488</xdr:rowOff>
    </xdr:from>
    <xdr:to>
      <xdr:col>2</xdr:col>
      <xdr:colOff>36613</xdr:colOff>
      <xdr:row>0</xdr:row>
      <xdr:rowOff>551808</xdr:rowOff>
    </xdr:to>
    <xdr:sp macro="" textlink="#REF!">
      <xdr:nvSpPr>
        <xdr:cNvPr id="53" name="Rectangle 52">
          <a:hlinkClick xmlns:r="http://schemas.openxmlformats.org/officeDocument/2006/relationships" r:id="rId18"/>
          <a:extLst>
            <a:ext uri="{FF2B5EF4-FFF2-40B4-BE49-F238E27FC236}">
              <a16:creationId xmlns:a16="http://schemas.microsoft.com/office/drawing/2014/main" id="{9DA62B23-A979-4797-B8BE-B4F6A50D3C73}"/>
            </a:ext>
          </a:extLst>
        </xdr:cNvPr>
        <xdr:cNvSpPr/>
      </xdr:nvSpPr>
      <xdr:spPr>
        <a:xfrm>
          <a:off x="1855133" y="277488"/>
          <a:ext cx="91474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DF90472-98E3-4CD3-93C5-712192C887E4}" type="TxLink">
            <a:rPr lang="en-US" sz="1200" b="0" i="0" u="none" strike="noStrike">
              <a:solidFill>
                <a:schemeClr val="bg1"/>
              </a:solidFill>
              <a:latin typeface="Calibri" panose="020F0502020204030204" pitchFamily="34" charset="0"/>
              <a:cs typeface="Calibri" panose="020F0502020204030204" pitchFamily="34" charset="0"/>
            </a:rPr>
            <a:pPr algn="ctr"/>
            <a:t>NCR_Pivot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33719</xdr:colOff>
      <xdr:row>0</xdr:row>
      <xdr:rowOff>277488</xdr:rowOff>
    </xdr:from>
    <xdr:to>
      <xdr:col>2</xdr:col>
      <xdr:colOff>1250186</xdr:colOff>
      <xdr:row>0</xdr:row>
      <xdr:rowOff>551808</xdr:rowOff>
    </xdr:to>
    <xdr:sp macro="" textlink="#REF!">
      <xdr:nvSpPr>
        <xdr:cNvPr id="54" name="Rectangle 53">
          <a:hlinkClick xmlns:r="http://schemas.openxmlformats.org/officeDocument/2006/relationships" r:id="rId13"/>
          <a:extLst>
            <a:ext uri="{FF2B5EF4-FFF2-40B4-BE49-F238E27FC236}">
              <a16:creationId xmlns:a16="http://schemas.microsoft.com/office/drawing/2014/main" id="{31DF891D-EA10-42C1-B3E3-03D9AB9206D2}"/>
            </a:ext>
          </a:extLst>
        </xdr:cNvPr>
        <xdr:cNvSpPr/>
      </xdr:nvSpPr>
      <xdr:spPr>
        <a:xfrm>
          <a:off x="2766980" y="277488"/>
          <a:ext cx="121646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1C13F6A-2AE7-4D10-B8FE-F91861D7E1CA}" type="TxLink">
            <a:rPr lang="en-US" sz="1200" b="0" i="0" u="none" strike="noStrike">
              <a:solidFill>
                <a:schemeClr val="bg1"/>
              </a:solidFill>
              <a:latin typeface="Calibri" panose="020F0502020204030204" pitchFamily="34" charset="0"/>
              <a:cs typeface="Calibri" panose="020F0502020204030204" pitchFamily="34" charset="0"/>
            </a:rPr>
            <a:pPr algn="ctr"/>
            <a:t>OBS_Pivot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1243382</xdr:colOff>
      <xdr:row>0</xdr:row>
      <xdr:rowOff>277488</xdr:rowOff>
    </xdr:from>
    <xdr:to>
      <xdr:col>2</xdr:col>
      <xdr:colOff>2146896</xdr:colOff>
      <xdr:row>0</xdr:row>
      <xdr:rowOff>551808</xdr:rowOff>
    </xdr:to>
    <xdr:sp macro="" textlink="#REF!">
      <xdr:nvSpPr>
        <xdr:cNvPr id="55" name="Rectangle 54">
          <a:hlinkClick xmlns:r="http://schemas.openxmlformats.org/officeDocument/2006/relationships" r:id="rId19"/>
          <a:extLst>
            <a:ext uri="{FF2B5EF4-FFF2-40B4-BE49-F238E27FC236}">
              <a16:creationId xmlns:a16="http://schemas.microsoft.com/office/drawing/2014/main" id="{553F05A6-E099-4C6F-BC53-BCB066A32CA0}"/>
            </a:ext>
          </a:extLst>
        </xdr:cNvPr>
        <xdr:cNvSpPr/>
      </xdr:nvSpPr>
      <xdr:spPr>
        <a:xfrm>
          <a:off x="3976643" y="277488"/>
          <a:ext cx="90351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42A3ED4-1362-4FEE-889B-CEFC97F9EB4C}" type="TxLink">
            <a:rPr lang="en-US" altLang="zh-TW" sz="1200" b="0" i="0" u="none" strike="noStrike">
              <a:solidFill>
                <a:schemeClr val="bg1"/>
              </a:solidFill>
              <a:latin typeface="Calibri" panose="020F0502020204030204" pitchFamily="34" charset="0"/>
              <a:cs typeface="Calibri" panose="020F0502020204030204" pitchFamily="34" charset="0"/>
            </a:rPr>
            <a:pPr algn="ctr"/>
            <a:t>Database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2146898</xdr:colOff>
      <xdr:row>0</xdr:row>
      <xdr:rowOff>277488</xdr:rowOff>
    </xdr:from>
    <xdr:to>
      <xdr:col>2</xdr:col>
      <xdr:colOff>3158181</xdr:colOff>
      <xdr:row>0</xdr:row>
      <xdr:rowOff>551808</xdr:rowOff>
    </xdr:to>
    <xdr:sp macro="" textlink="#REF!">
      <xdr:nvSpPr>
        <xdr:cNvPr id="56" name="Rectangle 55">
          <a:hlinkClick xmlns:r="http://schemas.openxmlformats.org/officeDocument/2006/relationships" r:id="rId20"/>
          <a:extLst>
            <a:ext uri="{FF2B5EF4-FFF2-40B4-BE49-F238E27FC236}">
              <a16:creationId xmlns:a16="http://schemas.microsoft.com/office/drawing/2014/main" id="{66B1D65D-3F96-498F-AF08-B0D69770EB9A}"/>
            </a:ext>
          </a:extLst>
        </xdr:cNvPr>
        <xdr:cNvSpPr/>
      </xdr:nvSpPr>
      <xdr:spPr>
        <a:xfrm>
          <a:off x="4880159" y="277488"/>
          <a:ext cx="10112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A518611-076D-45B5-BAAD-2BD8D5A103C9}" type="TxLink">
            <a:rPr lang="en-US" sz="1200" b="0" i="0" u="none" strike="noStrike">
              <a:solidFill>
                <a:schemeClr val="bg1"/>
              </a:solidFill>
              <a:latin typeface="Calibri" panose="020F0502020204030204" pitchFamily="34" charset="0"/>
              <a:cs typeface="Calibri" panose="020F0502020204030204" pitchFamily="34" charset="0"/>
            </a:rPr>
            <a:pPr algn="ctr"/>
            <a:t>NOI_Tracker</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3159269</xdr:colOff>
      <xdr:row>0</xdr:row>
      <xdr:rowOff>277488</xdr:rowOff>
    </xdr:from>
    <xdr:to>
      <xdr:col>2</xdr:col>
      <xdr:colOff>4076390</xdr:colOff>
      <xdr:row>0</xdr:row>
      <xdr:rowOff>551808</xdr:rowOff>
    </xdr:to>
    <xdr:sp macro="" textlink="#REF!">
      <xdr:nvSpPr>
        <xdr:cNvPr id="57" name="Rectangle 56">
          <a:hlinkClick xmlns:r="http://schemas.openxmlformats.org/officeDocument/2006/relationships" r:id="rId21"/>
          <a:extLst>
            <a:ext uri="{FF2B5EF4-FFF2-40B4-BE49-F238E27FC236}">
              <a16:creationId xmlns:a16="http://schemas.microsoft.com/office/drawing/2014/main" id="{3A8C4EA9-B102-42B7-A579-99D8905AF137}"/>
            </a:ext>
          </a:extLst>
        </xdr:cNvPr>
        <xdr:cNvSpPr/>
      </xdr:nvSpPr>
      <xdr:spPr>
        <a:xfrm>
          <a:off x="5892530" y="277488"/>
          <a:ext cx="91712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B07602-FD62-4EAF-B169-6BFDF1E5093F}" type="TxLink">
            <a:rPr lang="en-US" sz="1200" b="0" i="0" u="none" strike="noStrike">
              <a:solidFill>
                <a:schemeClr val="bg1"/>
              </a:solidFill>
              <a:latin typeface="Calibri" panose="020F0502020204030204" pitchFamily="34" charset="0"/>
              <a:cs typeface="Calibri" panose="020F0502020204030204" pitchFamily="34" charset="0"/>
            </a:rPr>
            <a:pPr algn="ctr"/>
            <a:t>NOI_Pivot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4074070</xdr:colOff>
      <xdr:row>0</xdr:row>
      <xdr:rowOff>277488</xdr:rowOff>
    </xdr:from>
    <xdr:to>
      <xdr:col>2</xdr:col>
      <xdr:colOff>5262790</xdr:colOff>
      <xdr:row>0</xdr:row>
      <xdr:rowOff>551808</xdr:rowOff>
    </xdr:to>
    <xdr:sp macro="" textlink="#REF!">
      <xdr:nvSpPr>
        <xdr:cNvPr id="58" name="Rectangle 57">
          <a:hlinkClick xmlns:r="http://schemas.openxmlformats.org/officeDocument/2006/relationships" r:id="rId22"/>
          <a:extLst>
            <a:ext uri="{FF2B5EF4-FFF2-40B4-BE49-F238E27FC236}">
              <a16:creationId xmlns:a16="http://schemas.microsoft.com/office/drawing/2014/main" id="{F213D991-2ED1-4FCD-8BFD-C01C0044870F}"/>
            </a:ext>
          </a:extLst>
        </xdr:cNvPr>
        <xdr:cNvSpPr/>
      </xdr:nvSpPr>
      <xdr:spPr>
        <a:xfrm>
          <a:off x="6807331" y="277488"/>
          <a:ext cx="118872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E02AD9C-7FF4-4980-9A1F-06071A75B120}"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0</xdr:colOff>
      <xdr:row>0</xdr:row>
      <xdr:rowOff>1492278</xdr:rowOff>
    </xdr:from>
    <xdr:to>
      <xdr:col>1</xdr:col>
      <xdr:colOff>1403769</xdr:colOff>
      <xdr:row>0</xdr:row>
      <xdr:rowOff>1766598</xdr:rowOff>
    </xdr:to>
    <xdr:sp macro="" textlink="#REF!">
      <xdr:nvSpPr>
        <xdr:cNvPr id="59" name="Rectangle 58">
          <a:hlinkClick xmlns:r="http://schemas.openxmlformats.org/officeDocument/2006/relationships" r:id="rId23"/>
          <a:extLst>
            <a:ext uri="{FF2B5EF4-FFF2-40B4-BE49-F238E27FC236}">
              <a16:creationId xmlns:a16="http://schemas.microsoft.com/office/drawing/2014/main" id="{FD7CA942-1727-4C40-8FB8-8350766590C9}"/>
            </a:ext>
          </a:extLst>
        </xdr:cNvPr>
        <xdr:cNvSpPr/>
      </xdr:nvSpPr>
      <xdr:spPr>
        <a:xfrm>
          <a:off x="0" y="1492278"/>
          <a:ext cx="18427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446E702-EE70-4546-8C7E-382A6D1B064A}" type="TxLink">
            <a:rPr lang="en-US" sz="1200" b="0" i="0" u="none" strike="noStrike">
              <a:solidFill>
                <a:schemeClr val="bg1"/>
              </a:solidFill>
              <a:latin typeface="Calibri" panose="020F0502020204030204" pitchFamily="34" charset="0"/>
              <a:cs typeface="Calibri" panose="020F0502020204030204" pitchFamily="34" charset="0"/>
            </a:rPr>
            <a:pPr algn="ctr"/>
            <a:t>ITP_FOU_JKT_LOC_CWP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1320839</xdr:colOff>
      <xdr:row>0</xdr:row>
      <xdr:rowOff>1492278</xdr:rowOff>
    </xdr:from>
    <xdr:to>
      <xdr:col>2</xdr:col>
      <xdr:colOff>1053544</xdr:colOff>
      <xdr:row>0</xdr:row>
      <xdr:rowOff>1766598</xdr:rowOff>
    </xdr:to>
    <xdr:sp macro="" textlink="#REF!">
      <xdr:nvSpPr>
        <xdr:cNvPr id="60" name="Rectangle 59">
          <a:hlinkClick xmlns:r="http://schemas.openxmlformats.org/officeDocument/2006/relationships" r:id="rId24"/>
          <a:extLst>
            <a:ext uri="{FF2B5EF4-FFF2-40B4-BE49-F238E27FC236}">
              <a16:creationId xmlns:a16="http://schemas.microsoft.com/office/drawing/2014/main" id="{7BE79E38-6446-4855-91BF-F4D32A8735C4}"/>
            </a:ext>
          </a:extLst>
        </xdr:cNvPr>
        <xdr:cNvSpPr/>
      </xdr:nvSpPr>
      <xdr:spPr>
        <a:xfrm>
          <a:off x="1759817" y="1492278"/>
          <a:ext cx="202698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EFA0B59-9336-4CB7-B37C-024F5B6F5E65}"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ITP_FOU_Pin_Pile_INT_EEW</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1049472</xdr:colOff>
      <xdr:row>0</xdr:row>
      <xdr:rowOff>1492278</xdr:rowOff>
    </xdr:from>
    <xdr:to>
      <xdr:col>2</xdr:col>
      <xdr:colOff>2778667</xdr:colOff>
      <xdr:row>0</xdr:row>
      <xdr:rowOff>1766598</xdr:rowOff>
    </xdr:to>
    <xdr:sp macro="" textlink="#REF!">
      <xdr:nvSpPr>
        <xdr:cNvPr id="61" name="Rectangle 60">
          <a:hlinkClick xmlns:r="http://schemas.openxmlformats.org/officeDocument/2006/relationships" r:id="rId25"/>
          <a:extLst>
            <a:ext uri="{FF2B5EF4-FFF2-40B4-BE49-F238E27FC236}">
              <a16:creationId xmlns:a16="http://schemas.microsoft.com/office/drawing/2014/main" id="{3D8186C2-D276-48C6-9552-CC8916C06A98}"/>
            </a:ext>
          </a:extLst>
        </xdr:cNvPr>
        <xdr:cNvSpPr/>
      </xdr:nvSpPr>
      <xdr:spPr>
        <a:xfrm>
          <a:off x="3782733" y="1492278"/>
          <a:ext cx="172919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A4FDC92-BC37-46C0-8867-999F815AE370}" type="TxLink">
            <a:rPr lang="en-US" sz="1200" b="0" i="0" u="none" strike="noStrike">
              <a:solidFill>
                <a:schemeClr val="bg1"/>
              </a:solidFill>
              <a:latin typeface="Calibri" panose="020F0502020204030204" pitchFamily="34" charset="0"/>
              <a:cs typeface="Calibri" panose="020F0502020204030204" pitchFamily="34" charset="0"/>
            </a:rPr>
            <a:pPr algn="ctr"/>
            <a:t>ITP_FOU_JKT_INT_SKOP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2763296</xdr:colOff>
      <xdr:row>0</xdr:row>
      <xdr:rowOff>1492278</xdr:rowOff>
    </xdr:from>
    <xdr:to>
      <xdr:col>2</xdr:col>
      <xdr:colOff>4422143</xdr:colOff>
      <xdr:row>0</xdr:row>
      <xdr:rowOff>1766598</xdr:rowOff>
    </xdr:to>
    <xdr:sp macro="" textlink="#REF!">
      <xdr:nvSpPr>
        <xdr:cNvPr id="62" name="Rectangle 61">
          <a:hlinkClick xmlns:r="http://schemas.openxmlformats.org/officeDocument/2006/relationships" r:id="rId26"/>
          <a:extLst>
            <a:ext uri="{FF2B5EF4-FFF2-40B4-BE49-F238E27FC236}">
              <a16:creationId xmlns:a16="http://schemas.microsoft.com/office/drawing/2014/main" id="{A3C553D3-5462-4AAA-9ADB-CF08538CA6AC}"/>
            </a:ext>
          </a:extLst>
        </xdr:cNvPr>
        <xdr:cNvSpPr/>
      </xdr:nvSpPr>
      <xdr:spPr>
        <a:xfrm>
          <a:off x="5496557" y="1492278"/>
          <a:ext cx="16588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ITP_TNI_JPG_SUP_IQIP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4415024</xdr:colOff>
      <xdr:row>0</xdr:row>
      <xdr:rowOff>1492278</xdr:rowOff>
    </xdr:from>
    <xdr:to>
      <xdr:col>4</xdr:col>
      <xdr:colOff>2846</xdr:colOff>
      <xdr:row>0</xdr:row>
      <xdr:rowOff>1766598</xdr:rowOff>
    </xdr:to>
    <xdr:sp macro="" textlink="#REF!">
      <xdr:nvSpPr>
        <xdr:cNvPr id="63" name="Rectangle 62">
          <a:hlinkClick xmlns:r="http://schemas.openxmlformats.org/officeDocument/2006/relationships" r:id="rId27"/>
          <a:extLst>
            <a:ext uri="{FF2B5EF4-FFF2-40B4-BE49-F238E27FC236}">
              <a16:creationId xmlns:a16="http://schemas.microsoft.com/office/drawing/2014/main" id="{9944058A-5966-4630-8A06-D8863810AAA4}"/>
            </a:ext>
          </a:extLst>
        </xdr:cNvPr>
        <xdr:cNvSpPr/>
      </xdr:nvSpPr>
      <xdr:spPr>
        <a:xfrm>
          <a:off x="7148285" y="1492278"/>
          <a:ext cx="15595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E6494932-2600-44D8-BC73-4BB21D4D3E92}" type="TxLink">
            <a:rPr lang="en-US" sz="1200" b="0" i="0" u="none" strike="noStrike">
              <a:solidFill>
                <a:schemeClr val="bg1"/>
              </a:solidFill>
              <a:latin typeface="Calibri" panose="020F0502020204030204" pitchFamily="34" charset="0"/>
              <a:cs typeface="Calibri" panose="020F0502020204030204" pitchFamily="34" charset="0"/>
            </a:rPr>
            <a:pPr algn="ctr"/>
            <a:t>ITP_WTG_SUP_SGRE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4731707</xdr:colOff>
      <xdr:row>0</xdr:row>
      <xdr:rowOff>1217448</xdr:rowOff>
    </xdr:from>
    <xdr:to>
      <xdr:col>5</xdr:col>
      <xdr:colOff>2467</xdr:colOff>
      <xdr:row>0</xdr:row>
      <xdr:rowOff>1491768</xdr:rowOff>
    </xdr:to>
    <xdr:sp macro="" textlink="#REF!">
      <xdr:nvSpPr>
        <xdr:cNvPr id="64" name="Rectangle 63">
          <a:hlinkClick xmlns:r="http://schemas.openxmlformats.org/officeDocument/2006/relationships" r:id="rId28"/>
          <a:extLst>
            <a:ext uri="{FF2B5EF4-FFF2-40B4-BE49-F238E27FC236}">
              <a16:creationId xmlns:a16="http://schemas.microsoft.com/office/drawing/2014/main" id="{65CC4440-8C3E-4348-A0F9-6223CE005B51}"/>
            </a:ext>
          </a:extLst>
        </xdr:cNvPr>
        <xdr:cNvSpPr/>
      </xdr:nvSpPr>
      <xdr:spPr>
        <a:xfrm>
          <a:off x="7464968" y="1217448"/>
          <a:ext cx="202936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E8B9871-F308-4CC9-B597-6A76D72B2574}"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ITP_FOU_Pin_Pile_LOC_CSBC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109034</xdr:colOff>
      <xdr:row>0</xdr:row>
      <xdr:rowOff>1962978</xdr:rowOff>
    </xdr:to>
    <xdr:sp macro="" textlink="">
      <xdr:nvSpPr>
        <xdr:cNvPr id="65" name="Rectangle 64">
          <a:extLst>
            <a:ext uri="{FF2B5EF4-FFF2-40B4-BE49-F238E27FC236}">
              <a16:creationId xmlns:a16="http://schemas.microsoft.com/office/drawing/2014/main" id="{3CC1EBBE-4B93-44DB-ADAA-9B51A4F98DF1}"/>
            </a:ext>
          </a:extLst>
        </xdr:cNvPr>
        <xdr:cNvSpPr/>
      </xdr:nvSpPr>
      <xdr:spPr>
        <a:xfrm>
          <a:off x="0" y="0"/>
          <a:ext cx="9605459" cy="1962978"/>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552450</xdr:colOff>
      <xdr:row>2</xdr:row>
      <xdr:rowOff>28575</xdr:rowOff>
    </xdr:from>
    <xdr:to>
      <xdr:col>5</xdr:col>
      <xdr:colOff>47625</xdr:colOff>
      <xdr:row>5</xdr:row>
      <xdr:rowOff>85725</xdr:rowOff>
    </xdr:to>
    <xdr:sp macro="" textlink="">
      <xdr:nvSpPr>
        <xdr:cNvPr id="2" name="Rectangle 1">
          <a:extLst>
            <a:ext uri="{FF2B5EF4-FFF2-40B4-BE49-F238E27FC236}">
              <a16:creationId xmlns:a16="http://schemas.microsoft.com/office/drawing/2014/main" id="{039AD770-AB1F-49CB-8C14-CCE45CC7AEDA}"/>
            </a:ext>
          </a:extLst>
        </xdr:cNvPr>
        <xdr:cNvSpPr/>
      </xdr:nvSpPr>
      <xdr:spPr>
        <a:xfrm>
          <a:off x="8667750" y="419100"/>
          <a:ext cx="876300" cy="2533650"/>
        </a:xfrm>
        <a:prstGeom prst="rect">
          <a:avLst/>
        </a:prstGeom>
        <a:solidFill>
          <a:srgbClr val="FFFFFF">
            <a:alpha val="0"/>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xdr:colOff>
      <xdr:row>0</xdr:row>
      <xdr:rowOff>0</xdr:rowOff>
    </xdr:from>
    <xdr:to>
      <xdr:col>1</xdr:col>
      <xdr:colOff>483054</xdr:colOff>
      <xdr:row>0</xdr:row>
      <xdr:rowOff>274320</xdr:rowOff>
    </xdr:to>
    <xdr:sp macro="" textlink="#REF!">
      <xdr:nvSpPr>
        <xdr:cNvPr id="34" name="Rectangle 33">
          <a:hlinkClick xmlns:r="http://schemas.openxmlformats.org/officeDocument/2006/relationships" r:id="rId1"/>
          <a:extLst>
            <a:ext uri="{FF2B5EF4-FFF2-40B4-BE49-F238E27FC236}">
              <a16:creationId xmlns:a16="http://schemas.microsoft.com/office/drawing/2014/main" id="{4A19DFA8-6B91-45E5-A82E-9367C25247A5}"/>
            </a:ext>
          </a:extLst>
        </xdr:cNvPr>
        <xdr:cNvSpPr/>
      </xdr:nvSpPr>
      <xdr:spPr>
        <a:xfrm>
          <a:off x="1" y="0"/>
          <a:ext cx="92120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5CFD7A-5DA6-44BE-905E-F59F315FAC6D}" type="TxLink">
            <a:rPr lang="en-US" sz="1200" b="0" i="0" u="sng" strike="noStrike">
              <a:solidFill>
                <a:schemeClr val="bg1"/>
              </a:solidFill>
              <a:latin typeface="Calibri"/>
              <a:cs typeface="Calibri"/>
            </a:rPr>
            <a:pPr algn="ctr"/>
            <a:t>Menu</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479227</xdr:colOff>
      <xdr:row>0</xdr:row>
      <xdr:rowOff>0</xdr:rowOff>
    </xdr:from>
    <xdr:to>
      <xdr:col>1</xdr:col>
      <xdr:colOff>1393627</xdr:colOff>
      <xdr:row>0</xdr:row>
      <xdr:rowOff>274320</xdr:rowOff>
    </xdr:to>
    <xdr:sp macro="" textlink="#REF!">
      <xdr:nvSpPr>
        <xdr:cNvPr id="35" name="Rectangle 34">
          <a:hlinkClick xmlns:r="http://schemas.openxmlformats.org/officeDocument/2006/relationships" r:id="rId2"/>
          <a:extLst>
            <a:ext uri="{FF2B5EF4-FFF2-40B4-BE49-F238E27FC236}">
              <a16:creationId xmlns:a16="http://schemas.microsoft.com/office/drawing/2014/main" id="{CF45229E-4E15-427F-B788-07D7BE7BE5DF}"/>
            </a:ext>
          </a:extLst>
        </xdr:cNvPr>
        <xdr:cNvSpPr/>
      </xdr:nvSpPr>
      <xdr:spPr>
        <a:xfrm>
          <a:off x="917377" y="0"/>
          <a:ext cx="9144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CBE5DD8-4007-47ED-A2A0-FF709DE88698}" type="TxLink">
            <a:rPr lang="en-US" sz="1200" b="0" i="0" u="sng" strike="noStrike">
              <a:solidFill>
                <a:schemeClr val="bg1"/>
              </a:solidFill>
              <a:latin typeface="Calibri"/>
              <a:cs typeface="Calibri"/>
            </a:rPr>
            <a:pPr algn="ctr"/>
            <a:t>Dashboard</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1392503</xdr:colOff>
      <xdr:row>0</xdr:row>
      <xdr:rowOff>0</xdr:rowOff>
    </xdr:from>
    <xdr:to>
      <xdr:col>2</xdr:col>
      <xdr:colOff>14100</xdr:colOff>
      <xdr:row>0</xdr:row>
      <xdr:rowOff>274320</xdr:rowOff>
    </xdr:to>
    <xdr:sp macro="" textlink="#REF!">
      <xdr:nvSpPr>
        <xdr:cNvPr id="36" name="Rectangle 35">
          <a:hlinkClick xmlns:r="http://schemas.openxmlformats.org/officeDocument/2006/relationships" r:id="rId3"/>
          <a:extLst>
            <a:ext uri="{FF2B5EF4-FFF2-40B4-BE49-F238E27FC236}">
              <a16:creationId xmlns:a16="http://schemas.microsoft.com/office/drawing/2014/main" id="{96057362-5F95-4BF9-A0DC-93ACEC77F08B}"/>
            </a:ext>
          </a:extLst>
        </xdr:cNvPr>
        <xdr:cNvSpPr/>
      </xdr:nvSpPr>
      <xdr:spPr>
        <a:xfrm>
          <a:off x="1830653"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D0E54A7-B214-4607-8826-8942D59FE2D4}" type="TxLink">
            <a:rPr lang="en-US" sz="1200" b="0" i="0" u="none" strike="noStrike">
              <a:solidFill>
                <a:schemeClr val="bg1"/>
              </a:solidFill>
              <a:latin typeface="Calibri" panose="020F0502020204030204" pitchFamily="34" charset="0"/>
              <a:cs typeface="Calibri" panose="020F0502020204030204" pitchFamily="34" charset="0"/>
            </a:rPr>
            <a:pPr algn="ctr"/>
            <a:t>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2290788</xdr:colOff>
      <xdr:row>0</xdr:row>
      <xdr:rowOff>0</xdr:rowOff>
    </xdr:from>
    <xdr:to>
      <xdr:col>2</xdr:col>
      <xdr:colOff>913792</xdr:colOff>
      <xdr:row>0</xdr:row>
      <xdr:rowOff>274320</xdr:rowOff>
    </xdr:to>
    <xdr:sp macro="" textlink="#REF!">
      <xdr:nvSpPr>
        <xdr:cNvPr id="37" name="Rectangle 36">
          <a:hlinkClick xmlns:r="http://schemas.openxmlformats.org/officeDocument/2006/relationships" r:id="rId4"/>
          <a:extLst>
            <a:ext uri="{FF2B5EF4-FFF2-40B4-BE49-F238E27FC236}">
              <a16:creationId xmlns:a16="http://schemas.microsoft.com/office/drawing/2014/main" id="{A9CF520E-7F51-420E-941E-17D5172DA1F6}"/>
            </a:ext>
          </a:extLst>
        </xdr:cNvPr>
        <xdr:cNvSpPr/>
      </xdr:nvSpPr>
      <xdr:spPr>
        <a:xfrm>
          <a:off x="2728938" y="0"/>
          <a:ext cx="91852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74DC379-5DB9-4A59-9F32-EF7537C03342}" type="TxLink">
            <a:rPr lang="en-US" altLang="zh-TW" sz="1200" b="0" i="0" u="none" strike="noStrike">
              <a:solidFill>
                <a:schemeClr val="bg1"/>
              </a:solidFill>
              <a:latin typeface="Calibri" panose="020F0502020204030204" pitchFamily="34" charset="0"/>
              <a:cs typeface="Calibri" panose="020F0502020204030204" pitchFamily="34" charset="0"/>
            </a:rPr>
            <a:pPr algn="ctr"/>
            <a:t>KCT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913136</xdr:colOff>
      <xdr:row>0</xdr:row>
      <xdr:rowOff>0</xdr:rowOff>
    </xdr:from>
    <xdr:to>
      <xdr:col>2</xdr:col>
      <xdr:colOff>1826374</xdr:colOff>
      <xdr:row>0</xdr:row>
      <xdr:rowOff>274320</xdr:rowOff>
    </xdr:to>
    <xdr:sp macro="" textlink="#REF!">
      <xdr:nvSpPr>
        <xdr:cNvPr id="38" name="Rectangle 37">
          <a:hlinkClick xmlns:r="http://schemas.openxmlformats.org/officeDocument/2006/relationships" r:id="rId5"/>
          <a:extLst>
            <a:ext uri="{FF2B5EF4-FFF2-40B4-BE49-F238E27FC236}">
              <a16:creationId xmlns:a16="http://schemas.microsoft.com/office/drawing/2014/main" id="{9B149B42-3E50-4EEE-8973-BAC6CB4A006A}"/>
            </a:ext>
          </a:extLst>
        </xdr:cNvPr>
        <xdr:cNvSpPr/>
      </xdr:nvSpPr>
      <xdr:spPr>
        <a:xfrm>
          <a:off x="3646811" y="0"/>
          <a:ext cx="91323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9F9CBE-726B-4820-9127-9BFEB61EB63B}" type="TxLink">
            <a:rPr lang="en-US" sz="1200" b="0" i="0" u="none" strike="noStrike">
              <a:solidFill>
                <a:schemeClr val="bg1"/>
              </a:solidFill>
              <a:latin typeface="Calibri" panose="020F0502020204030204" pitchFamily="34" charset="0"/>
              <a:cs typeface="Calibri" panose="020F0502020204030204" pitchFamily="34" charset="0"/>
            </a:rPr>
            <a:pPr algn="ctr"/>
            <a:t>KCT_Curve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1822761</xdr:colOff>
      <xdr:row>0</xdr:row>
      <xdr:rowOff>0</xdr:rowOff>
    </xdr:from>
    <xdr:to>
      <xdr:col>2</xdr:col>
      <xdr:colOff>2738135</xdr:colOff>
      <xdr:row>0</xdr:row>
      <xdr:rowOff>274320</xdr:rowOff>
    </xdr:to>
    <xdr:sp macro="" textlink="#REF!">
      <xdr:nvSpPr>
        <xdr:cNvPr id="39" name="Rectangle 38">
          <a:hlinkClick xmlns:r="http://schemas.openxmlformats.org/officeDocument/2006/relationships" r:id="rId6"/>
          <a:extLst>
            <a:ext uri="{FF2B5EF4-FFF2-40B4-BE49-F238E27FC236}">
              <a16:creationId xmlns:a16="http://schemas.microsoft.com/office/drawing/2014/main" id="{187C7A65-4AF8-40BE-8754-22F4CFDBD879}"/>
            </a:ext>
          </a:extLst>
        </xdr:cNvPr>
        <xdr:cNvSpPr/>
      </xdr:nvSpPr>
      <xdr:spPr>
        <a:xfrm>
          <a:off x="4556436" y="0"/>
          <a:ext cx="91537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EC4968A-67D4-43C6-A25C-FD0E75E9BD05}" type="TxLink">
            <a:rPr lang="en-US" sz="1200" b="0" i="0" u="none" strike="noStrike">
              <a:solidFill>
                <a:schemeClr val="bg1"/>
              </a:solidFill>
              <a:latin typeface="Calibri" panose="020F0502020204030204" pitchFamily="34" charset="0"/>
              <a:cs typeface="Calibri" panose="020F0502020204030204" pitchFamily="34" charset="0"/>
            </a:rPr>
            <a:pPr algn="ctr"/>
            <a:t>KCT_Pivot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2730251</xdr:colOff>
      <xdr:row>0</xdr:row>
      <xdr:rowOff>0</xdr:rowOff>
    </xdr:from>
    <xdr:to>
      <xdr:col>2</xdr:col>
      <xdr:colOff>3647373</xdr:colOff>
      <xdr:row>0</xdr:row>
      <xdr:rowOff>274320</xdr:rowOff>
    </xdr:to>
    <xdr:sp macro="" textlink="#REF!">
      <xdr:nvSpPr>
        <xdr:cNvPr id="40" name="Rectangle 39">
          <a:hlinkClick xmlns:r="http://schemas.openxmlformats.org/officeDocument/2006/relationships" r:id="rId7"/>
          <a:extLst>
            <a:ext uri="{FF2B5EF4-FFF2-40B4-BE49-F238E27FC236}">
              <a16:creationId xmlns:a16="http://schemas.microsoft.com/office/drawing/2014/main" id="{24B43322-3165-4CBF-B2E9-C16E60DA62A5}"/>
            </a:ext>
          </a:extLst>
        </xdr:cNvPr>
        <xdr:cNvSpPr/>
      </xdr:nvSpPr>
      <xdr:spPr>
        <a:xfrm>
          <a:off x="5463926"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7F627CC-32D4-4130-8C48-E1A5B0B97854}" type="TxLink">
            <a:rPr lang="en-US" sz="1200" b="0" i="0" u="none" strike="noStrike">
              <a:solidFill>
                <a:schemeClr val="bg1"/>
              </a:solidFill>
              <a:latin typeface="Calibri" panose="020F0502020204030204" pitchFamily="34" charset="0"/>
              <a:cs typeface="Calibri" panose="020F0502020204030204" pitchFamily="34" charset="0"/>
            </a:rPr>
            <a:pPr algn="ctr"/>
            <a:t>Key_Quality_Docs</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3646448</xdr:colOff>
      <xdr:row>0</xdr:row>
      <xdr:rowOff>0</xdr:rowOff>
    </xdr:from>
    <xdr:to>
      <xdr:col>2</xdr:col>
      <xdr:colOff>5018799</xdr:colOff>
      <xdr:row>0</xdr:row>
      <xdr:rowOff>274320</xdr:rowOff>
    </xdr:to>
    <xdr:sp macro="" textlink="#REF!">
      <xdr:nvSpPr>
        <xdr:cNvPr id="41" name="Rectangle 40">
          <a:hlinkClick xmlns:r="http://schemas.openxmlformats.org/officeDocument/2006/relationships" r:id="rId8"/>
          <a:extLst>
            <a:ext uri="{FF2B5EF4-FFF2-40B4-BE49-F238E27FC236}">
              <a16:creationId xmlns:a16="http://schemas.microsoft.com/office/drawing/2014/main" id="{75F7EDA5-7BB7-4BB3-A495-07848D659769}"/>
            </a:ext>
          </a:extLst>
        </xdr:cNvPr>
        <xdr:cNvSpPr/>
      </xdr:nvSpPr>
      <xdr:spPr>
        <a:xfrm>
          <a:off x="6380123" y="0"/>
          <a:ext cx="137235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Q_commu._Matrix</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843626</xdr:rowOff>
    </xdr:from>
    <xdr:to>
      <xdr:col>1</xdr:col>
      <xdr:colOff>760096</xdr:colOff>
      <xdr:row>0</xdr:row>
      <xdr:rowOff>1117946</xdr:rowOff>
    </xdr:to>
    <xdr:sp macro="" textlink="#REF!">
      <xdr:nvSpPr>
        <xdr:cNvPr id="42" name="Rectangle 41">
          <a:hlinkClick xmlns:r="http://schemas.openxmlformats.org/officeDocument/2006/relationships" r:id="rId9"/>
          <a:extLst>
            <a:ext uri="{FF2B5EF4-FFF2-40B4-BE49-F238E27FC236}">
              <a16:creationId xmlns:a16="http://schemas.microsoft.com/office/drawing/2014/main" id="{E7174474-CF5E-4F33-AE52-AE114F8BD157}"/>
            </a:ext>
          </a:extLst>
        </xdr:cNvPr>
        <xdr:cNvSpPr/>
      </xdr:nvSpPr>
      <xdr:spPr>
        <a:xfrm>
          <a:off x="1" y="843626"/>
          <a:ext cx="119824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2AEF7F1-F48C-4FA1-A707-132A4EE8650E}" type="TxLink">
            <a:rPr lang="en-US" sz="1200" b="0" i="0" u="none" strike="noStrike">
              <a:solidFill>
                <a:schemeClr val="bg1"/>
              </a:solidFill>
              <a:latin typeface="Calibri" panose="020F0502020204030204" pitchFamily="34" charset="0"/>
              <a:cs typeface="Calibri" panose="020F0502020204030204" pitchFamily="34" charset="0"/>
            </a:rPr>
            <a:pPr algn="ctr"/>
            <a:t>ITP_Summary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1</xdr:col>
      <xdr:colOff>942295</xdr:colOff>
      <xdr:row>0</xdr:row>
      <xdr:rowOff>1491768</xdr:rowOff>
    </xdr:to>
    <xdr:sp macro="" textlink="#REF!">
      <xdr:nvSpPr>
        <xdr:cNvPr id="43" name="Rectangle 42">
          <a:hlinkClick xmlns:r="http://schemas.openxmlformats.org/officeDocument/2006/relationships" r:id="rId10"/>
          <a:extLst>
            <a:ext uri="{FF2B5EF4-FFF2-40B4-BE49-F238E27FC236}">
              <a16:creationId xmlns:a16="http://schemas.microsoft.com/office/drawing/2014/main" id="{28D882D7-02D0-4D6D-A930-2F326C0333FA}"/>
            </a:ext>
          </a:extLst>
        </xdr:cNvPr>
        <xdr:cNvSpPr/>
      </xdr:nvSpPr>
      <xdr:spPr>
        <a:xfrm>
          <a:off x="1" y="1217448"/>
          <a:ext cx="13804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D99717-E26D-4349-956E-1203D01BE3F8}" type="TxLink">
            <a:rPr lang="en-US" sz="1200" b="0" i="0" u="none" strike="noStrike">
              <a:solidFill>
                <a:schemeClr val="bg1"/>
              </a:solidFill>
              <a:latin typeface="Calibri" panose="020F0502020204030204" pitchFamily="34" charset="0"/>
              <a:cs typeface="Calibri" panose="020F0502020204030204" pitchFamily="34" charset="0"/>
            </a:rPr>
            <a:pPr algn="ctr"/>
            <a:t>ITP_IAC_Hellenic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0</xdr:col>
      <xdr:colOff>1</xdr:colOff>
      <xdr:row>0</xdr:row>
      <xdr:rowOff>1491768</xdr:rowOff>
    </xdr:to>
    <xdr:sp macro="" textlink="$B$21">
      <xdr:nvSpPr>
        <xdr:cNvPr id="44" name="Rectangle 43">
          <a:extLst>
            <a:ext uri="{FF2B5EF4-FFF2-40B4-BE49-F238E27FC236}">
              <a16:creationId xmlns:a16="http://schemas.microsoft.com/office/drawing/2014/main" id="{EEA9714B-2BE3-4F21-BA31-E8919F05C5B9}"/>
            </a:ext>
          </a:extLst>
        </xdr:cNvPr>
        <xdr:cNvSpPr/>
      </xdr:nvSpPr>
      <xdr:spPr>
        <a:xfrm>
          <a:off x="1" y="1217448"/>
          <a:ext cx="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B2C5B66-F7E2-4187-B670-BF121381989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939624</xdr:colOff>
      <xdr:row>0</xdr:row>
      <xdr:rowOff>1217448</xdr:rowOff>
    </xdr:from>
    <xdr:to>
      <xdr:col>1</xdr:col>
      <xdr:colOff>1999992</xdr:colOff>
      <xdr:row>0</xdr:row>
      <xdr:rowOff>1491768</xdr:rowOff>
    </xdr:to>
    <xdr:sp macro="" textlink="#REF!">
      <xdr:nvSpPr>
        <xdr:cNvPr id="45" name="Rectangle 44">
          <a:hlinkClick xmlns:r="http://schemas.openxmlformats.org/officeDocument/2006/relationships" r:id="rId11"/>
          <a:extLst>
            <a:ext uri="{FF2B5EF4-FFF2-40B4-BE49-F238E27FC236}">
              <a16:creationId xmlns:a16="http://schemas.microsoft.com/office/drawing/2014/main" id="{703324EE-CD55-41C4-AC83-B91489C289F4}"/>
            </a:ext>
          </a:extLst>
        </xdr:cNvPr>
        <xdr:cNvSpPr/>
      </xdr:nvSpPr>
      <xdr:spPr>
        <a:xfrm>
          <a:off x="1377774" y="1217448"/>
          <a:ext cx="106036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A79F7F-4ADB-4ABC-9292-0F2B92307410}" type="TxLink">
            <a:rPr lang="en-US" altLang="zh-TW" sz="1200" b="0" i="0" u="none" strike="noStrike">
              <a:solidFill>
                <a:schemeClr val="bg1"/>
              </a:solidFill>
              <a:latin typeface="Calibri" panose="020F0502020204030204" pitchFamily="34" charset="0"/>
              <a:cs typeface="Calibri" panose="020F0502020204030204" pitchFamily="34" charset="0"/>
            </a:rPr>
            <a:pPr algn="ctr"/>
            <a:t>ITP_EXC_LSC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1999992</xdr:colOff>
      <xdr:row>0</xdr:row>
      <xdr:rowOff>1217448</xdr:rowOff>
    </xdr:from>
    <xdr:to>
      <xdr:col>2</xdr:col>
      <xdr:colOff>1086272</xdr:colOff>
      <xdr:row>0</xdr:row>
      <xdr:rowOff>1491768</xdr:rowOff>
    </xdr:to>
    <xdr:sp macro="" textlink="#REF!">
      <xdr:nvSpPr>
        <xdr:cNvPr id="46" name="Rectangle 45">
          <a:hlinkClick xmlns:r="http://schemas.openxmlformats.org/officeDocument/2006/relationships" r:id="rId12"/>
          <a:extLst>
            <a:ext uri="{FF2B5EF4-FFF2-40B4-BE49-F238E27FC236}">
              <a16:creationId xmlns:a16="http://schemas.microsoft.com/office/drawing/2014/main" id="{D41F3BF0-95C9-41D1-98A8-0DB1FE188E4D}"/>
            </a:ext>
          </a:extLst>
        </xdr:cNvPr>
        <xdr:cNvSpPr/>
      </xdr:nvSpPr>
      <xdr:spPr>
        <a:xfrm>
          <a:off x="2438142" y="1217448"/>
          <a:ext cx="138180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DAB4F40-9E56-424D-9D25-023E38A6DFEF}" type="TxLink">
            <a:rPr lang="en-US" altLang="zh-TW" sz="1200" b="0" i="0" u="none" strike="noStrike">
              <a:solidFill>
                <a:schemeClr val="bg1"/>
              </a:solidFill>
              <a:latin typeface="Calibri" panose="020F0502020204030204" pitchFamily="34" charset="0"/>
              <a:cs typeface="Calibri" panose="020F0502020204030204" pitchFamily="34" charset="0"/>
            </a:rPr>
            <a:pPr algn="ctr"/>
            <a:t>ITP_Cable_TNI_S7</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1082753</xdr:colOff>
      <xdr:row>0</xdr:row>
      <xdr:rowOff>1217448</xdr:rowOff>
    </xdr:from>
    <xdr:to>
      <xdr:col>2</xdr:col>
      <xdr:colOff>2450101</xdr:colOff>
      <xdr:row>0</xdr:row>
      <xdr:rowOff>1491768</xdr:rowOff>
    </xdr:to>
    <xdr:sp macro="" textlink="#REF!">
      <xdr:nvSpPr>
        <xdr:cNvPr id="47" name="Rectangle 46">
          <a:hlinkClick xmlns:r="http://schemas.openxmlformats.org/officeDocument/2006/relationships" r:id="rId13"/>
          <a:extLst>
            <a:ext uri="{FF2B5EF4-FFF2-40B4-BE49-F238E27FC236}">
              <a16:creationId xmlns:a16="http://schemas.microsoft.com/office/drawing/2014/main" id="{C459AFFE-D45D-4853-8523-297E753B68EA}"/>
            </a:ext>
          </a:extLst>
        </xdr:cNvPr>
        <xdr:cNvSpPr/>
      </xdr:nvSpPr>
      <xdr:spPr>
        <a:xfrm>
          <a:off x="3816428" y="1217448"/>
          <a:ext cx="136734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A6692E6-56B3-4FA0-B035-A27BEF5E821D}" type="TxLink">
            <a:rPr lang="en-US" sz="1200" b="0" i="0" u="none" strike="noStrike">
              <a:solidFill>
                <a:schemeClr val="bg1"/>
              </a:solidFill>
              <a:latin typeface="Calibri" panose="020F0502020204030204" pitchFamily="34" charset="0"/>
              <a:cs typeface="Calibri" panose="020F0502020204030204" pitchFamily="34" charset="0"/>
            </a:rPr>
            <a:pPr algn="ctr"/>
            <a:t>ITP_ONS_TECO</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5011080</xdr:colOff>
      <xdr:row>0</xdr:row>
      <xdr:rowOff>0</xdr:rowOff>
    </xdr:from>
    <xdr:to>
      <xdr:col>4</xdr:col>
      <xdr:colOff>415947</xdr:colOff>
      <xdr:row>0</xdr:row>
      <xdr:rowOff>274320</xdr:rowOff>
    </xdr:to>
    <xdr:sp macro="" textlink="#REF!">
      <xdr:nvSpPr>
        <xdr:cNvPr id="48" name="Rectangle 47">
          <a:hlinkClick xmlns:r="http://schemas.openxmlformats.org/officeDocument/2006/relationships" r:id="rId14"/>
          <a:extLst>
            <a:ext uri="{FF2B5EF4-FFF2-40B4-BE49-F238E27FC236}">
              <a16:creationId xmlns:a16="http://schemas.microsoft.com/office/drawing/2014/main" id="{18DC9FC3-2ADE-4661-BF82-C5D721F98ABC}"/>
            </a:ext>
          </a:extLst>
        </xdr:cNvPr>
        <xdr:cNvSpPr/>
      </xdr:nvSpPr>
      <xdr:spPr>
        <a:xfrm>
          <a:off x="7744755" y="0"/>
          <a:ext cx="137704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ED4B2CE-3865-4169-8EDE-4E9A4AD0300C}" type="TxLink">
            <a:rPr lang="en-US" sz="1200" b="0" i="0" u="none" strike="noStrike">
              <a:solidFill>
                <a:schemeClr val="bg1"/>
              </a:solidFill>
              <a:latin typeface="Calibri" panose="020F0502020204030204" pitchFamily="34" charset="0"/>
              <a:cs typeface="Calibri" panose="020F0502020204030204" pitchFamily="34" charset="0"/>
            </a:rPr>
            <a:pPr algn="ctr"/>
            <a:t>OBS_Summary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2444339</xdr:colOff>
      <xdr:row>0</xdr:row>
      <xdr:rowOff>1217448</xdr:rowOff>
    </xdr:from>
    <xdr:to>
      <xdr:col>2</xdr:col>
      <xdr:colOff>3364183</xdr:colOff>
      <xdr:row>0</xdr:row>
      <xdr:rowOff>1491768</xdr:rowOff>
    </xdr:to>
    <xdr:sp macro="" textlink="#REF!">
      <xdr:nvSpPr>
        <xdr:cNvPr id="49" name="Rectangle 48">
          <a:hlinkClick xmlns:r="http://schemas.openxmlformats.org/officeDocument/2006/relationships" r:id="rId15"/>
          <a:extLst>
            <a:ext uri="{FF2B5EF4-FFF2-40B4-BE49-F238E27FC236}">
              <a16:creationId xmlns:a16="http://schemas.microsoft.com/office/drawing/2014/main" id="{D27A2798-081A-4CB8-917A-6B624EAA6E44}"/>
            </a:ext>
          </a:extLst>
        </xdr:cNvPr>
        <xdr:cNvSpPr/>
      </xdr:nvSpPr>
      <xdr:spPr>
        <a:xfrm>
          <a:off x="5178014" y="1217448"/>
          <a:ext cx="9198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B7B64F5-264F-4267-A451-4ADD194C012B}" type="TxLink">
            <a:rPr lang="en-US" sz="1200" b="0" i="0" u="none" strike="noStrike">
              <a:solidFill>
                <a:schemeClr val="bg1"/>
              </a:solidFill>
              <a:latin typeface="Calibri" panose="020F0502020204030204" pitchFamily="34" charset="0"/>
              <a:cs typeface="Calibri" panose="020F0502020204030204" pitchFamily="34" charset="0"/>
            </a:rPr>
            <a:pPr algn="ctr"/>
            <a:t>ITP_CDWE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3356972</xdr:colOff>
      <xdr:row>0</xdr:row>
      <xdr:rowOff>1217448</xdr:rowOff>
    </xdr:from>
    <xdr:to>
      <xdr:col>2</xdr:col>
      <xdr:colOff>4728572</xdr:colOff>
      <xdr:row>0</xdr:row>
      <xdr:rowOff>1491768</xdr:rowOff>
    </xdr:to>
    <xdr:sp macro="" textlink="#REF!">
      <xdr:nvSpPr>
        <xdr:cNvPr id="50" name="Rectangle 49">
          <a:hlinkClick xmlns:r="http://schemas.openxmlformats.org/officeDocument/2006/relationships" r:id="rId16"/>
          <a:extLst>
            <a:ext uri="{FF2B5EF4-FFF2-40B4-BE49-F238E27FC236}">
              <a16:creationId xmlns:a16="http://schemas.microsoft.com/office/drawing/2014/main" id="{1F53EF68-CE59-4C9B-9910-83A961ECF385}"/>
            </a:ext>
          </a:extLst>
        </xdr:cNvPr>
        <xdr:cNvSpPr/>
      </xdr:nvSpPr>
      <xdr:spPr>
        <a:xfrm>
          <a:off x="6090647" y="1217448"/>
          <a:ext cx="13716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4BD5D57-9335-47BB-B5C1-827C5BAA4DE8}" type="TxLink">
            <a:rPr lang="en-US" sz="1200" b="0" i="0" u="none" strike="noStrike">
              <a:solidFill>
                <a:schemeClr val="bg1"/>
              </a:solidFill>
              <a:latin typeface="Calibri" panose="020F0502020204030204" pitchFamily="34" charset="0"/>
              <a:cs typeface="Calibri" panose="020F0502020204030204" pitchFamily="34" charset="0"/>
            </a:rPr>
            <a:pPr algn="ctr"/>
            <a:t>ITP_OSS_SMPTSC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277488</xdr:rowOff>
    </xdr:from>
    <xdr:to>
      <xdr:col>1</xdr:col>
      <xdr:colOff>53336</xdr:colOff>
      <xdr:row>0</xdr:row>
      <xdr:rowOff>551808</xdr:rowOff>
    </xdr:to>
    <xdr:sp macro="" textlink="#REF!">
      <xdr:nvSpPr>
        <xdr:cNvPr id="51" name="Rectangle 50">
          <a:hlinkClick xmlns:r="http://schemas.openxmlformats.org/officeDocument/2006/relationships" r:id="rId17"/>
          <a:extLst>
            <a:ext uri="{FF2B5EF4-FFF2-40B4-BE49-F238E27FC236}">
              <a16:creationId xmlns:a16="http://schemas.microsoft.com/office/drawing/2014/main" id="{D2A0AC10-88E9-476E-AB47-386CEE2D56D4}"/>
            </a:ext>
          </a:extLst>
        </xdr:cNvPr>
        <xdr:cNvSpPr/>
      </xdr:nvSpPr>
      <xdr:spPr>
        <a:xfrm>
          <a:off x="1" y="277488"/>
          <a:ext cx="49148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76DB0D7-CA15-4C84-BEF1-B2FE174253A5}" type="TxLink">
            <a:rPr lang="en-US" sz="1200" b="0" i="0" u="none" strike="noStrike">
              <a:solidFill>
                <a:schemeClr val="bg1"/>
              </a:solidFill>
              <a:latin typeface="Calibri" panose="020F0502020204030204" pitchFamily="34" charset="0"/>
              <a:cs typeface="Calibri" panose="020F0502020204030204" pitchFamily="34" charset="0"/>
            </a:rPr>
            <a:pPr algn="ctr"/>
            <a:t>PQP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37106</xdr:colOff>
      <xdr:row>0</xdr:row>
      <xdr:rowOff>277488</xdr:rowOff>
    </xdr:from>
    <xdr:to>
      <xdr:col>1</xdr:col>
      <xdr:colOff>1417890</xdr:colOff>
      <xdr:row>0</xdr:row>
      <xdr:rowOff>551808</xdr:rowOff>
    </xdr:to>
    <xdr:sp macro="" textlink="#REF!">
      <xdr:nvSpPr>
        <xdr:cNvPr id="52" name="Rectangle 51">
          <a:hlinkClick xmlns:r="http://schemas.openxmlformats.org/officeDocument/2006/relationships" r:id="rId18"/>
          <a:extLst>
            <a:ext uri="{FF2B5EF4-FFF2-40B4-BE49-F238E27FC236}">
              <a16:creationId xmlns:a16="http://schemas.microsoft.com/office/drawing/2014/main" id="{50862C97-468A-47A0-831E-A9939BAC0E49}"/>
            </a:ext>
          </a:extLst>
        </xdr:cNvPr>
        <xdr:cNvSpPr/>
      </xdr:nvSpPr>
      <xdr:spPr>
        <a:xfrm>
          <a:off x="475256" y="277488"/>
          <a:ext cx="138078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B67B7DE-3A73-4724-AD40-6EFDCB186502}" type="TxLink">
            <a:rPr lang="en-US" sz="1200" b="0" i="0" u="none" strike="noStrike">
              <a:solidFill>
                <a:schemeClr val="bg1"/>
              </a:solidFill>
              <a:latin typeface="Calibri" panose="020F0502020204030204" pitchFamily="34" charset="0"/>
              <a:cs typeface="Calibri" panose="020F0502020204030204" pitchFamily="34" charset="0"/>
            </a:rPr>
            <a:pPr algn="ctr"/>
            <a:t>NCR_Summary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1416983</xdr:colOff>
      <xdr:row>0</xdr:row>
      <xdr:rowOff>277488</xdr:rowOff>
    </xdr:from>
    <xdr:to>
      <xdr:col>2</xdr:col>
      <xdr:colOff>36199</xdr:colOff>
      <xdr:row>0</xdr:row>
      <xdr:rowOff>551808</xdr:rowOff>
    </xdr:to>
    <xdr:sp macro="" textlink="#REF!">
      <xdr:nvSpPr>
        <xdr:cNvPr id="53" name="Rectangle 52">
          <a:hlinkClick xmlns:r="http://schemas.openxmlformats.org/officeDocument/2006/relationships" r:id="rId19"/>
          <a:extLst>
            <a:ext uri="{FF2B5EF4-FFF2-40B4-BE49-F238E27FC236}">
              <a16:creationId xmlns:a16="http://schemas.microsoft.com/office/drawing/2014/main" id="{B2618F9B-CBFC-43AC-A251-28769A5FCDE0}"/>
            </a:ext>
          </a:extLst>
        </xdr:cNvPr>
        <xdr:cNvSpPr/>
      </xdr:nvSpPr>
      <xdr:spPr>
        <a:xfrm>
          <a:off x="1855133" y="277488"/>
          <a:ext cx="91474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DF90472-98E3-4CD3-93C5-712192C887E4}" type="TxLink">
            <a:rPr lang="en-US" sz="1200" b="0" i="0" u="none" strike="noStrike">
              <a:solidFill>
                <a:schemeClr val="bg1"/>
              </a:solidFill>
              <a:latin typeface="Calibri" panose="020F0502020204030204" pitchFamily="34" charset="0"/>
              <a:cs typeface="Calibri" panose="020F0502020204030204" pitchFamily="34" charset="0"/>
            </a:rPr>
            <a:pPr algn="ctr"/>
            <a:t>NCR_Pivot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33305</xdr:colOff>
      <xdr:row>0</xdr:row>
      <xdr:rowOff>277488</xdr:rowOff>
    </xdr:from>
    <xdr:to>
      <xdr:col>2</xdr:col>
      <xdr:colOff>1249772</xdr:colOff>
      <xdr:row>0</xdr:row>
      <xdr:rowOff>551808</xdr:rowOff>
    </xdr:to>
    <xdr:sp macro="" textlink="#REF!">
      <xdr:nvSpPr>
        <xdr:cNvPr id="54" name="Rectangle 53">
          <a:hlinkClick xmlns:r="http://schemas.openxmlformats.org/officeDocument/2006/relationships" r:id="rId14"/>
          <a:extLst>
            <a:ext uri="{FF2B5EF4-FFF2-40B4-BE49-F238E27FC236}">
              <a16:creationId xmlns:a16="http://schemas.microsoft.com/office/drawing/2014/main" id="{C3BD9085-46AB-484D-8E54-C1D89DD20C3E}"/>
            </a:ext>
          </a:extLst>
        </xdr:cNvPr>
        <xdr:cNvSpPr/>
      </xdr:nvSpPr>
      <xdr:spPr>
        <a:xfrm>
          <a:off x="2766980" y="277488"/>
          <a:ext cx="121646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1C13F6A-2AE7-4D10-B8FE-F91861D7E1CA}" type="TxLink">
            <a:rPr lang="en-US" sz="1200" b="0" i="0" u="none" strike="noStrike">
              <a:solidFill>
                <a:schemeClr val="bg1"/>
              </a:solidFill>
              <a:latin typeface="Calibri" panose="020F0502020204030204" pitchFamily="34" charset="0"/>
              <a:cs typeface="Calibri" panose="020F0502020204030204" pitchFamily="34" charset="0"/>
            </a:rPr>
            <a:pPr algn="ctr"/>
            <a:t>OBS_Pivot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1242968</xdr:colOff>
      <xdr:row>0</xdr:row>
      <xdr:rowOff>277488</xdr:rowOff>
    </xdr:from>
    <xdr:to>
      <xdr:col>2</xdr:col>
      <xdr:colOff>2146482</xdr:colOff>
      <xdr:row>0</xdr:row>
      <xdr:rowOff>551808</xdr:rowOff>
    </xdr:to>
    <xdr:sp macro="" textlink="#REF!">
      <xdr:nvSpPr>
        <xdr:cNvPr id="55" name="Rectangle 54">
          <a:hlinkClick xmlns:r="http://schemas.openxmlformats.org/officeDocument/2006/relationships" r:id="rId20"/>
          <a:extLst>
            <a:ext uri="{FF2B5EF4-FFF2-40B4-BE49-F238E27FC236}">
              <a16:creationId xmlns:a16="http://schemas.microsoft.com/office/drawing/2014/main" id="{211E7A49-5291-4308-80B6-0A0CA9184C0E}"/>
            </a:ext>
          </a:extLst>
        </xdr:cNvPr>
        <xdr:cNvSpPr/>
      </xdr:nvSpPr>
      <xdr:spPr>
        <a:xfrm>
          <a:off x="3976643" y="277488"/>
          <a:ext cx="90351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42A3ED4-1362-4FEE-889B-CEFC97F9EB4C}" type="TxLink">
            <a:rPr lang="en-US" altLang="zh-TW" sz="1200" b="0" i="0" u="none" strike="noStrike">
              <a:solidFill>
                <a:schemeClr val="bg1"/>
              </a:solidFill>
              <a:latin typeface="Calibri" panose="020F0502020204030204" pitchFamily="34" charset="0"/>
              <a:cs typeface="Calibri" panose="020F0502020204030204" pitchFamily="34" charset="0"/>
            </a:rPr>
            <a:pPr algn="ctr"/>
            <a:t>Database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2146484</xdr:colOff>
      <xdr:row>0</xdr:row>
      <xdr:rowOff>277488</xdr:rowOff>
    </xdr:from>
    <xdr:to>
      <xdr:col>2</xdr:col>
      <xdr:colOff>3157767</xdr:colOff>
      <xdr:row>0</xdr:row>
      <xdr:rowOff>551808</xdr:rowOff>
    </xdr:to>
    <xdr:sp macro="" textlink="#REF!">
      <xdr:nvSpPr>
        <xdr:cNvPr id="56" name="Rectangle 55">
          <a:hlinkClick xmlns:r="http://schemas.openxmlformats.org/officeDocument/2006/relationships" r:id="rId21"/>
          <a:extLst>
            <a:ext uri="{FF2B5EF4-FFF2-40B4-BE49-F238E27FC236}">
              <a16:creationId xmlns:a16="http://schemas.microsoft.com/office/drawing/2014/main" id="{71F79195-27BA-4524-9256-611A0ABBBA89}"/>
            </a:ext>
          </a:extLst>
        </xdr:cNvPr>
        <xdr:cNvSpPr/>
      </xdr:nvSpPr>
      <xdr:spPr>
        <a:xfrm>
          <a:off x="4880159" y="277488"/>
          <a:ext cx="10112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A518611-076D-45B5-BAAD-2BD8D5A103C9}" type="TxLink">
            <a:rPr lang="en-US" sz="1200" b="0" i="0" u="none" strike="noStrike">
              <a:solidFill>
                <a:schemeClr val="bg1"/>
              </a:solidFill>
              <a:latin typeface="Calibri" panose="020F0502020204030204" pitchFamily="34" charset="0"/>
              <a:cs typeface="Calibri" panose="020F0502020204030204" pitchFamily="34" charset="0"/>
            </a:rPr>
            <a:pPr algn="ctr"/>
            <a:t>NOI_Tracker</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3158855</xdr:colOff>
      <xdr:row>0</xdr:row>
      <xdr:rowOff>277488</xdr:rowOff>
    </xdr:from>
    <xdr:to>
      <xdr:col>2</xdr:col>
      <xdr:colOff>4075976</xdr:colOff>
      <xdr:row>0</xdr:row>
      <xdr:rowOff>551808</xdr:rowOff>
    </xdr:to>
    <xdr:sp macro="" textlink="#REF!">
      <xdr:nvSpPr>
        <xdr:cNvPr id="57" name="Rectangle 56">
          <a:hlinkClick xmlns:r="http://schemas.openxmlformats.org/officeDocument/2006/relationships" r:id="rId22"/>
          <a:extLst>
            <a:ext uri="{FF2B5EF4-FFF2-40B4-BE49-F238E27FC236}">
              <a16:creationId xmlns:a16="http://schemas.microsoft.com/office/drawing/2014/main" id="{4E6AF547-DD9C-4189-86E3-352F55C9F570}"/>
            </a:ext>
          </a:extLst>
        </xdr:cNvPr>
        <xdr:cNvSpPr/>
      </xdr:nvSpPr>
      <xdr:spPr>
        <a:xfrm>
          <a:off x="5892530" y="277488"/>
          <a:ext cx="91712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B07602-FD62-4EAF-B169-6BFDF1E5093F}" type="TxLink">
            <a:rPr lang="en-US" sz="1200" b="0" i="0" u="none" strike="noStrike">
              <a:solidFill>
                <a:schemeClr val="bg1"/>
              </a:solidFill>
              <a:latin typeface="Calibri" panose="020F0502020204030204" pitchFamily="34" charset="0"/>
              <a:cs typeface="Calibri" panose="020F0502020204030204" pitchFamily="34" charset="0"/>
            </a:rPr>
            <a:pPr algn="ctr"/>
            <a:t>NOI_Pivot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4073656</xdr:colOff>
      <xdr:row>0</xdr:row>
      <xdr:rowOff>277488</xdr:rowOff>
    </xdr:from>
    <xdr:to>
      <xdr:col>2</xdr:col>
      <xdr:colOff>5262376</xdr:colOff>
      <xdr:row>0</xdr:row>
      <xdr:rowOff>551808</xdr:rowOff>
    </xdr:to>
    <xdr:sp macro="" textlink="#REF!">
      <xdr:nvSpPr>
        <xdr:cNvPr id="58" name="Rectangle 57">
          <a:hlinkClick xmlns:r="http://schemas.openxmlformats.org/officeDocument/2006/relationships" r:id="rId23"/>
          <a:extLst>
            <a:ext uri="{FF2B5EF4-FFF2-40B4-BE49-F238E27FC236}">
              <a16:creationId xmlns:a16="http://schemas.microsoft.com/office/drawing/2014/main" id="{7BEABCAF-E627-4670-937E-E3CF99262109}"/>
            </a:ext>
          </a:extLst>
        </xdr:cNvPr>
        <xdr:cNvSpPr/>
      </xdr:nvSpPr>
      <xdr:spPr>
        <a:xfrm>
          <a:off x="6807331" y="277488"/>
          <a:ext cx="118872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E02AD9C-7FF4-4980-9A1F-06071A75B120}"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0</xdr:colOff>
      <xdr:row>0</xdr:row>
      <xdr:rowOff>1492278</xdr:rowOff>
    </xdr:from>
    <xdr:to>
      <xdr:col>1</xdr:col>
      <xdr:colOff>1404597</xdr:colOff>
      <xdr:row>0</xdr:row>
      <xdr:rowOff>1766598</xdr:rowOff>
    </xdr:to>
    <xdr:sp macro="" textlink="#REF!">
      <xdr:nvSpPr>
        <xdr:cNvPr id="59" name="Rectangle 58">
          <a:hlinkClick xmlns:r="http://schemas.openxmlformats.org/officeDocument/2006/relationships" r:id="rId24"/>
          <a:extLst>
            <a:ext uri="{FF2B5EF4-FFF2-40B4-BE49-F238E27FC236}">
              <a16:creationId xmlns:a16="http://schemas.microsoft.com/office/drawing/2014/main" id="{7BE0BF73-8E91-4A49-86BD-1C9EF94E7532}"/>
            </a:ext>
          </a:extLst>
        </xdr:cNvPr>
        <xdr:cNvSpPr/>
      </xdr:nvSpPr>
      <xdr:spPr>
        <a:xfrm>
          <a:off x="0" y="1492278"/>
          <a:ext cx="18427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446E702-EE70-4546-8C7E-382A6D1B064A}" type="TxLink">
            <a:rPr lang="en-US" sz="1200" b="0" i="0" u="none" strike="noStrike">
              <a:solidFill>
                <a:schemeClr val="bg1"/>
              </a:solidFill>
              <a:latin typeface="Calibri" panose="020F0502020204030204" pitchFamily="34" charset="0"/>
              <a:cs typeface="Calibri" panose="020F0502020204030204" pitchFamily="34" charset="0"/>
            </a:rPr>
            <a:pPr algn="ctr"/>
            <a:t>ITP_FOU_JKT_LOC_CWP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1321667</xdr:colOff>
      <xdr:row>0</xdr:row>
      <xdr:rowOff>1492278</xdr:rowOff>
    </xdr:from>
    <xdr:to>
      <xdr:col>2</xdr:col>
      <xdr:colOff>1053130</xdr:colOff>
      <xdr:row>0</xdr:row>
      <xdr:rowOff>1766598</xdr:rowOff>
    </xdr:to>
    <xdr:sp macro="" textlink="#REF!">
      <xdr:nvSpPr>
        <xdr:cNvPr id="60" name="Rectangle 59">
          <a:hlinkClick xmlns:r="http://schemas.openxmlformats.org/officeDocument/2006/relationships" r:id="rId25"/>
          <a:extLst>
            <a:ext uri="{FF2B5EF4-FFF2-40B4-BE49-F238E27FC236}">
              <a16:creationId xmlns:a16="http://schemas.microsoft.com/office/drawing/2014/main" id="{BC848C95-B7F5-485A-88E6-C980A170BCF9}"/>
            </a:ext>
          </a:extLst>
        </xdr:cNvPr>
        <xdr:cNvSpPr/>
      </xdr:nvSpPr>
      <xdr:spPr>
        <a:xfrm>
          <a:off x="1759817" y="1492278"/>
          <a:ext cx="202698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EFA0B59-9336-4CB7-B37C-024F5B6F5E65}"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ITP_FOU_Pin_Pile_INT_EEW</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1049058</xdr:colOff>
      <xdr:row>0</xdr:row>
      <xdr:rowOff>1492278</xdr:rowOff>
    </xdr:from>
    <xdr:to>
      <xdr:col>2</xdr:col>
      <xdr:colOff>2778253</xdr:colOff>
      <xdr:row>0</xdr:row>
      <xdr:rowOff>1766598</xdr:rowOff>
    </xdr:to>
    <xdr:sp macro="" textlink="#REF!">
      <xdr:nvSpPr>
        <xdr:cNvPr id="61" name="Rectangle 60">
          <a:hlinkClick xmlns:r="http://schemas.openxmlformats.org/officeDocument/2006/relationships" r:id="rId26"/>
          <a:extLst>
            <a:ext uri="{FF2B5EF4-FFF2-40B4-BE49-F238E27FC236}">
              <a16:creationId xmlns:a16="http://schemas.microsoft.com/office/drawing/2014/main" id="{E14BFD9B-18DC-4327-BF2E-78DD5A6BBD10}"/>
            </a:ext>
          </a:extLst>
        </xdr:cNvPr>
        <xdr:cNvSpPr/>
      </xdr:nvSpPr>
      <xdr:spPr>
        <a:xfrm>
          <a:off x="3782733" y="1492278"/>
          <a:ext cx="172919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A4FDC92-BC37-46C0-8867-999F815AE370}" type="TxLink">
            <a:rPr lang="en-US" sz="1200" b="0" i="0" u="none" strike="noStrike">
              <a:solidFill>
                <a:schemeClr val="bg1"/>
              </a:solidFill>
              <a:latin typeface="Calibri" panose="020F0502020204030204" pitchFamily="34" charset="0"/>
              <a:cs typeface="Calibri" panose="020F0502020204030204" pitchFamily="34" charset="0"/>
            </a:rPr>
            <a:pPr algn="ctr"/>
            <a:t>ITP_FOU_JKT_INT_SKOP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2762882</xdr:colOff>
      <xdr:row>0</xdr:row>
      <xdr:rowOff>1492278</xdr:rowOff>
    </xdr:from>
    <xdr:to>
      <xdr:col>2</xdr:col>
      <xdr:colOff>4421729</xdr:colOff>
      <xdr:row>0</xdr:row>
      <xdr:rowOff>1766598</xdr:rowOff>
    </xdr:to>
    <xdr:sp macro="" textlink="#REF!">
      <xdr:nvSpPr>
        <xdr:cNvPr id="62" name="Rectangle 61">
          <a:hlinkClick xmlns:r="http://schemas.openxmlformats.org/officeDocument/2006/relationships" r:id="rId27"/>
          <a:extLst>
            <a:ext uri="{FF2B5EF4-FFF2-40B4-BE49-F238E27FC236}">
              <a16:creationId xmlns:a16="http://schemas.microsoft.com/office/drawing/2014/main" id="{D7E7BBB1-39A8-4FD7-B6D6-18FF3F1BCC18}"/>
            </a:ext>
          </a:extLst>
        </xdr:cNvPr>
        <xdr:cNvSpPr/>
      </xdr:nvSpPr>
      <xdr:spPr>
        <a:xfrm>
          <a:off x="5496557" y="1492278"/>
          <a:ext cx="16588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ITP_TNI_JPG_SUP_IQIP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4414610</xdr:colOff>
      <xdr:row>0</xdr:row>
      <xdr:rowOff>1492278</xdr:rowOff>
    </xdr:from>
    <xdr:to>
      <xdr:col>4</xdr:col>
      <xdr:colOff>2018</xdr:colOff>
      <xdr:row>0</xdr:row>
      <xdr:rowOff>1766598</xdr:rowOff>
    </xdr:to>
    <xdr:sp macro="" textlink="#REF!">
      <xdr:nvSpPr>
        <xdr:cNvPr id="63" name="Rectangle 62">
          <a:hlinkClick xmlns:r="http://schemas.openxmlformats.org/officeDocument/2006/relationships" r:id="rId28"/>
          <a:extLst>
            <a:ext uri="{FF2B5EF4-FFF2-40B4-BE49-F238E27FC236}">
              <a16:creationId xmlns:a16="http://schemas.microsoft.com/office/drawing/2014/main" id="{3B6DD07C-4B73-42C4-BDD5-0E720D490B1F}"/>
            </a:ext>
          </a:extLst>
        </xdr:cNvPr>
        <xdr:cNvSpPr/>
      </xdr:nvSpPr>
      <xdr:spPr>
        <a:xfrm>
          <a:off x="7148285" y="1492278"/>
          <a:ext cx="15595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E6494932-2600-44D8-BC73-4BB21D4D3E92}" type="TxLink">
            <a:rPr lang="en-US" sz="1200" b="0" i="0" u="none" strike="noStrike">
              <a:solidFill>
                <a:schemeClr val="bg1"/>
              </a:solidFill>
              <a:latin typeface="Calibri" panose="020F0502020204030204" pitchFamily="34" charset="0"/>
              <a:cs typeface="Calibri" panose="020F0502020204030204" pitchFamily="34" charset="0"/>
            </a:rPr>
            <a:pPr algn="ctr"/>
            <a:t>ITP_WTG_SUP_SGRE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4731293</xdr:colOff>
      <xdr:row>0</xdr:row>
      <xdr:rowOff>1217448</xdr:rowOff>
    </xdr:from>
    <xdr:to>
      <xdr:col>4</xdr:col>
      <xdr:colOff>788487</xdr:colOff>
      <xdr:row>0</xdr:row>
      <xdr:rowOff>1491768</xdr:rowOff>
    </xdr:to>
    <xdr:sp macro="" textlink="#REF!">
      <xdr:nvSpPr>
        <xdr:cNvPr id="64" name="Rectangle 63">
          <a:hlinkClick xmlns:r="http://schemas.openxmlformats.org/officeDocument/2006/relationships" r:id="rId29"/>
          <a:extLst>
            <a:ext uri="{FF2B5EF4-FFF2-40B4-BE49-F238E27FC236}">
              <a16:creationId xmlns:a16="http://schemas.microsoft.com/office/drawing/2014/main" id="{29625EF5-1E9B-4361-A0D1-8862EDF89E8E}"/>
            </a:ext>
          </a:extLst>
        </xdr:cNvPr>
        <xdr:cNvSpPr/>
      </xdr:nvSpPr>
      <xdr:spPr>
        <a:xfrm>
          <a:off x="7464968" y="1217448"/>
          <a:ext cx="202936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E8B9871-F308-4CC9-B597-6A76D72B2574}"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ITP_FOU_Pin_Pile_LOC_CSBC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604334</xdr:colOff>
      <xdr:row>0</xdr:row>
      <xdr:rowOff>1962978</xdr:rowOff>
    </xdr:to>
    <xdr:sp macro="" textlink="">
      <xdr:nvSpPr>
        <xdr:cNvPr id="65" name="Rectangle 64">
          <a:extLst>
            <a:ext uri="{FF2B5EF4-FFF2-40B4-BE49-F238E27FC236}">
              <a16:creationId xmlns:a16="http://schemas.microsoft.com/office/drawing/2014/main" id="{4660C1D7-CEDA-4CC0-A3E8-CE7308CE6348}"/>
            </a:ext>
          </a:extLst>
        </xdr:cNvPr>
        <xdr:cNvSpPr/>
      </xdr:nvSpPr>
      <xdr:spPr>
        <a:xfrm>
          <a:off x="0" y="0"/>
          <a:ext cx="9605459" cy="1962978"/>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577850</xdr:colOff>
      <xdr:row>1</xdr:row>
      <xdr:rowOff>361950</xdr:rowOff>
    </xdr:from>
    <xdr:to>
      <xdr:col>5</xdr:col>
      <xdr:colOff>38100</xdr:colOff>
      <xdr:row>15</xdr:row>
      <xdr:rowOff>28575</xdr:rowOff>
    </xdr:to>
    <xdr:sp macro="" textlink="">
      <xdr:nvSpPr>
        <xdr:cNvPr id="6" name="Rectangle 1">
          <a:extLst>
            <a:ext uri="{FF2B5EF4-FFF2-40B4-BE49-F238E27FC236}">
              <a16:creationId xmlns:a16="http://schemas.microsoft.com/office/drawing/2014/main" id="{42E5C137-FDAB-4529-B01E-AEFA5C8699F1}"/>
            </a:ext>
          </a:extLst>
        </xdr:cNvPr>
        <xdr:cNvSpPr/>
      </xdr:nvSpPr>
      <xdr:spPr>
        <a:xfrm>
          <a:off x="9398000" y="2647950"/>
          <a:ext cx="908050" cy="2390775"/>
        </a:xfrm>
        <a:prstGeom prst="rect">
          <a:avLst/>
        </a:prstGeom>
        <a:solidFill>
          <a:srgbClr val="FFFFFF">
            <a:alpha val="0"/>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xdr:colOff>
      <xdr:row>0</xdr:row>
      <xdr:rowOff>0</xdr:rowOff>
    </xdr:from>
    <xdr:to>
      <xdr:col>1</xdr:col>
      <xdr:colOff>483054</xdr:colOff>
      <xdr:row>0</xdr:row>
      <xdr:rowOff>274320</xdr:rowOff>
    </xdr:to>
    <xdr:sp macro="" textlink="#REF!">
      <xdr:nvSpPr>
        <xdr:cNvPr id="34" name="Rectangle 33">
          <a:hlinkClick xmlns:r="http://schemas.openxmlformats.org/officeDocument/2006/relationships" r:id="rId1"/>
          <a:extLst>
            <a:ext uri="{FF2B5EF4-FFF2-40B4-BE49-F238E27FC236}">
              <a16:creationId xmlns:a16="http://schemas.microsoft.com/office/drawing/2014/main" id="{303C315A-0548-4762-9310-BCFC4331F98C}"/>
            </a:ext>
          </a:extLst>
        </xdr:cNvPr>
        <xdr:cNvSpPr/>
      </xdr:nvSpPr>
      <xdr:spPr>
        <a:xfrm>
          <a:off x="1" y="0"/>
          <a:ext cx="92120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059DF31-DE35-40B5-B59A-A6E3BB3E0ECA}" type="TxLink">
            <a:rPr lang="en-US" sz="1200" b="0" i="0" u="sng" strike="noStrike">
              <a:solidFill>
                <a:schemeClr val="bg1"/>
              </a:solidFill>
              <a:latin typeface="Calibri"/>
              <a:cs typeface="Calibri"/>
            </a:rPr>
            <a:pPr algn="ctr"/>
            <a:t>Menu</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479227</xdr:colOff>
      <xdr:row>0</xdr:row>
      <xdr:rowOff>0</xdr:rowOff>
    </xdr:from>
    <xdr:to>
      <xdr:col>1</xdr:col>
      <xdr:colOff>1393627</xdr:colOff>
      <xdr:row>0</xdr:row>
      <xdr:rowOff>274320</xdr:rowOff>
    </xdr:to>
    <xdr:sp macro="" textlink="#REF!">
      <xdr:nvSpPr>
        <xdr:cNvPr id="35" name="Rectangle 34">
          <a:hlinkClick xmlns:r="http://schemas.openxmlformats.org/officeDocument/2006/relationships" r:id="rId2"/>
          <a:extLst>
            <a:ext uri="{FF2B5EF4-FFF2-40B4-BE49-F238E27FC236}">
              <a16:creationId xmlns:a16="http://schemas.microsoft.com/office/drawing/2014/main" id="{D95B60D3-B242-444F-9455-720CE6488C37}"/>
            </a:ext>
          </a:extLst>
        </xdr:cNvPr>
        <xdr:cNvSpPr/>
      </xdr:nvSpPr>
      <xdr:spPr>
        <a:xfrm>
          <a:off x="917377" y="0"/>
          <a:ext cx="9144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70D8B331-7569-43F3-ABFC-7E235A98CC7F}" type="TxLink">
            <a:rPr lang="en-US" sz="1200" b="0" i="0" u="sng" strike="noStrike">
              <a:solidFill>
                <a:schemeClr val="bg1"/>
              </a:solidFill>
              <a:latin typeface="Calibri"/>
              <a:cs typeface="Calibri"/>
            </a:rPr>
            <a:pPr algn="ctr"/>
            <a:t>Dashboard</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1392503</xdr:colOff>
      <xdr:row>0</xdr:row>
      <xdr:rowOff>0</xdr:rowOff>
    </xdr:from>
    <xdr:to>
      <xdr:col>2</xdr:col>
      <xdr:colOff>14100</xdr:colOff>
      <xdr:row>0</xdr:row>
      <xdr:rowOff>274320</xdr:rowOff>
    </xdr:to>
    <xdr:sp macro="" textlink="#REF!">
      <xdr:nvSpPr>
        <xdr:cNvPr id="36" name="Rectangle 35">
          <a:hlinkClick xmlns:r="http://schemas.openxmlformats.org/officeDocument/2006/relationships" r:id="rId3"/>
          <a:extLst>
            <a:ext uri="{FF2B5EF4-FFF2-40B4-BE49-F238E27FC236}">
              <a16:creationId xmlns:a16="http://schemas.microsoft.com/office/drawing/2014/main" id="{C01049D6-35F4-4813-8C3B-41D4761860A8}"/>
            </a:ext>
          </a:extLst>
        </xdr:cNvPr>
        <xdr:cNvSpPr/>
      </xdr:nvSpPr>
      <xdr:spPr>
        <a:xfrm>
          <a:off x="1830653"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D0E54A7-B214-4607-8826-8942D59FE2D4}" type="TxLink">
            <a:rPr lang="en-US" sz="1200" b="0" i="0" u="none" strike="noStrike">
              <a:solidFill>
                <a:schemeClr val="bg1"/>
              </a:solidFill>
              <a:latin typeface="Calibri" panose="020F0502020204030204" pitchFamily="34" charset="0"/>
              <a:cs typeface="Calibri" panose="020F0502020204030204" pitchFamily="34" charset="0"/>
            </a:rPr>
            <a:pPr algn="ctr"/>
            <a:t>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2290788</xdr:colOff>
      <xdr:row>0</xdr:row>
      <xdr:rowOff>0</xdr:rowOff>
    </xdr:from>
    <xdr:to>
      <xdr:col>2</xdr:col>
      <xdr:colOff>913792</xdr:colOff>
      <xdr:row>0</xdr:row>
      <xdr:rowOff>274320</xdr:rowOff>
    </xdr:to>
    <xdr:sp macro="" textlink="#REF!">
      <xdr:nvSpPr>
        <xdr:cNvPr id="37" name="Rectangle 36">
          <a:hlinkClick xmlns:r="http://schemas.openxmlformats.org/officeDocument/2006/relationships" r:id="rId4"/>
          <a:extLst>
            <a:ext uri="{FF2B5EF4-FFF2-40B4-BE49-F238E27FC236}">
              <a16:creationId xmlns:a16="http://schemas.microsoft.com/office/drawing/2014/main" id="{A0F9562A-C1EA-433E-AB0F-DF4E93DB180C}"/>
            </a:ext>
          </a:extLst>
        </xdr:cNvPr>
        <xdr:cNvSpPr/>
      </xdr:nvSpPr>
      <xdr:spPr>
        <a:xfrm>
          <a:off x="2728938" y="0"/>
          <a:ext cx="91852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74DC379-5DB9-4A59-9F32-EF7537C03342}" type="TxLink">
            <a:rPr lang="en-US" altLang="zh-TW" sz="1200" b="0" i="0" u="none" strike="noStrike">
              <a:solidFill>
                <a:schemeClr val="bg1"/>
              </a:solidFill>
              <a:latin typeface="Calibri" panose="020F0502020204030204" pitchFamily="34" charset="0"/>
              <a:cs typeface="Calibri" panose="020F0502020204030204" pitchFamily="34" charset="0"/>
            </a:rPr>
            <a:pPr algn="ctr"/>
            <a:t>KCT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913136</xdr:colOff>
      <xdr:row>0</xdr:row>
      <xdr:rowOff>0</xdr:rowOff>
    </xdr:from>
    <xdr:to>
      <xdr:col>2</xdr:col>
      <xdr:colOff>1826374</xdr:colOff>
      <xdr:row>0</xdr:row>
      <xdr:rowOff>274320</xdr:rowOff>
    </xdr:to>
    <xdr:sp macro="" textlink="#REF!">
      <xdr:nvSpPr>
        <xdr:cNvPr id="38" name="Rectangle 37">
          <a:hlinkClick xmlns:r="http://schemas.openxmlformats.org/officeDocument/2006/relationships" r:id="rId5"/>
          <a:extLst>
            <a:ext uri="{FF2B5EF4-FFF2-40B4-BE49-F238E27FC236}">
              <a16:creationId xmlns:a16="http://schemas.microsoft.com/office/drawing/2014/main" id="{5399B715-ECAB-4E34-A9BA-50BAA114880C}"/>
            </a:ext>
          </a:extLst>
        </xdr:cNvPr>
        <xdr:cNvSpPr/>
      </xdr:nvSpPr>
      <xdr:spPr>
        <a:xfrm>
          <a:off x="3646811" y="0"/>
          <a:ext cx="91323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9F9CBE-726B-4820-9127-9BFEB61EB63B}" type="TxLink">
            <a:rPr lang="en-US" sz="1200" b="0" i="0" u="none" strike="noStrike">
              <a:solidFill>
                <a:schemeClr val="bg1"/>
              </a:solidFill>
              <a:latin typeface="Calibri" panose="020F0502020204030204" pitchFamily="34" charset="0"/>
              <a:cs typeface="Calibri" panose="020F0502020204030204" pitchFamily="34" charset="0"/>
            </a:rPr>
            <a:pPr algn="ctr"/>
            <a:t>KCT_Curve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1822761</xdr:colOff>
      <xdr:row>0</xdr:row>
      <xdr:rowOff>0</xdr:rowOff>
    </xdr:from>
    <xdr:to>
      <xdr:col>2</xdr:col>
      <xdr:colOff>2738135</xdr:colOff>
      <xdr:row>0</xdr:row>
      <xdr:rowOff>274320</xdr:rowOff>
    </xdr:to>
    <xdr:sp macro="" textlink="#REF!">
      <xdr:nvSpPr>
        <xdr:cNvPr id="39" name="Rectangle 38">
          <a:hlinkClick xmlns:r="http://schemas.openxmlformats.org/officeDocument/2006/relationships" r:id="rId6"/>
          <a:extLst>
            <a:ext uri="{FF2B5EF4-FFF2-40B4-BE49-F238E27FC236}">
              <a16:creationId xmlns:a16="http://schemas.microsoft.com/office/drawing/2014/main" id="{91984698-E432-4AD2-A991-9872CA1A26B3}"/>
            </a:ext>
          </a:extLst>
        </xdr:cNvPr>
        <xdr:cNvSpPr/>
      </xdr:nvSpPr>
      <xdr:spPr>
        <a:xfrm>
          <a:off x="4556436" y="0"/>
          <a:ext cx="91537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EC4968A-67D4-43C6-A25C-FD0E75E9BD05}" type="TxLink">
            <a:rPr lang="en-US" sz="1200" b="0" i="0" u="none" strike="noStrike">
              <a:solidFill>
                <a:schemeClr val="bg1"/>
              </a:solidFill>
              <a:latin typeface="Calibri" panose="020F0502020204030204" pitchFamily="34" charset="0"/>
              <a:cs typeface="Calibri" panose="020F0502020204030204" pitchFamily="34" charset="0"/>
            </a:rPr>
            <a:pPr algn="ctr"/>
            <a:t>KCT_Pivot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2730251</xdr:colOff>
      <xdr:row>0</xdr:row>
      <xdr:rowOff>0</xdr:rowOff>
    </xdr:from>
    <xdr:to>
      <xdr:col>2</xdr:col>
      <xdr:colOff>3647373</xdr:colOff>
      <xdr:row>0</xdr:row>
      <xdr:rowOff>274320</xdr:rowOff>
    </xdr:to>
    <xdr:sp macro="" textlink="#REF!">
      <xdr:nvSpPr>
        <xdr:cNvPr id="40" name="Rectangle 39">
          <a:hlinkClick xmlns:r="http://schemas.openxmlformats.org/officeDocument/2006/relationships" r:id="rId7"/>
          <a:extLst>
            <a:ext uri="{FF2B5EF4-FFF2-40B4-BE49-F238E27FC236}">
              <a16:creationId xmlns:a16="http://schemas.microsoft.com/office/drawing/2014/main" id="{A3A37BDB-7932-416A-8589-7F84CDAA9896}"/>
            </a:ext>
          </a:extLst>
        </xdr:cNvPr>
        <xdr:cNvSpPr/>
      </xdr:nvSpPr>
      <xdr:spPr>
        <a:xfrm>
          <a:off x="5463926"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7F627CC-32D4-4130-8C48-E1A5B0B97854}" type="TxLink">
            <a:rPr lang="en-US" sz="1200" b="0" i="0" u="none" strike="noStrike">
              <a:solidFill>
                <a:schemeClr val="bg1"/>
              </a:solidFill>
              <a:latin typeface="Calibri" panose="020F0502020204030204" pitchFamily="34" charset="0"/>
              <a:cs typeface="Calibri" panose="020F0502020204030204" pitchFamily="34" charset="0"/>
            </a:rPr>
            <a:pPr algn="ctr"/>
            <a:t>Key_Quality_Docs</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3646448</xdr:colOff>
      <xdr:row>0</xdr:row>
      <xdr:rowOff>0</xdr:rowOff>
    </xdr:from>
    <xdr:to>
      <xdr:col>2</xdr:col>
      <xdr:colOff>5018799</xdr:colOff>
      <xdr:row>0</xdr:row>
      <xdr:rowOff>274320</xdr:rowOff>
    </xdr:to>
    <xdr:sp macro="" textlink="#REF!">
      <xdr:nvSpPr>
        <xdr:cNvPr id="41" name="Rectangle 40">
          <a:hlinkClick xmlns:r="http://schemas.openxmlformats.org/officeDocument/2006/relationships" r:id="rId8"/>
          <a:extLst>
            <a:ext uri="{FF2B5EF4-FFF2-40B4-BE49-F238E27FC236}">
              <a16:creationId xmlns:a16="http://schemas.microsoft.com/office/drawing/2014/main" id="{B352547A-EAF6-4C94-9AF9-A9529CF7A41D}"/>
            </a:ext>
          </a:extLst>
        </xdr:cNvPr>
        <xdr:cNvSpPr/>
      </xdr:nvSpPr>
      <xdr:spPr>
        <a:xfrm>
          <a:off x="6380123" y="0"/>
          <a:ext cx="137235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Q_commu._Matrix</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843626</xdr:rowOff>
    </xdr:from>
    <xdr:to>
      <xdr:col>1</xdr:col>
      <xdr:colOff>760096</xdr:colOff>
      <xdr:row>0</xdr:row>
      <xdr:rowOff>1117946</xdr:rowOff>
    </xdr:to>
    <xdr:sp macro="" textlink="#REF!">
      <xdr:nvSpPr>
        <xdr:cNvPr id="42" name="Rectangle 41">
          <a:hlinkClick xmlns:r="http://schemas.openxmlformats.org/officeDocument/2006/relationships" r:id="rId9"/>
          <a:extLst>
            <a:ext uri="{FF2B5EF4-FFF2-40B4-BE49-F238E27FC236}">
              <a16:creationId xmlns:a16="http://schemas.microsoft.com/office/drawing/2014/main" id="{D4B5819E-B908-4C2D-BD7A-22A0BB68B52F}"/>
            </a:ext>
          </a:extLst>
        </xdr:cNvPr>
        <xdr:cNvSpPr/>
      </xdr:nvSpPr>
      <xdr:spPr>
        <a:xfrm>
          <a:off x="1" y="843626"/>
          <a:ext cx="119824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2AEF7F1-F48C-4FA1-A707-132A4EE8650E}" type="TxLink">
            <a:rPr lang="en-US" sz="1200" b="0" i="0" u="none" strike="noStrike">
              <a:solidFill>
                <a:schemeClr val="bg1"/>
              </a:solidFill>
              <a:latin typeface="Calibri" panose="020F0502020204030204" pitchFamily="34" charset="0"/>
              <a:cs typeface="Calibri" panose="020F0502020204030204" pitchFamily="34" charset="0"/>
            </a:rPr>
            <a:pPr algn="ctr"/>
            <a:t>ITP_Summary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1</xdr:col>
      <xdr:colOff>942295</xdr:colOff>
      <xdr:row>0</xdr:row>
      <xdr:rowOff>1491768</xdr:rowOff>
    </xdr:to>
    <xdr:sp macro="" textlink="#REF!">
      <xdr:nvSpPr>
        <xdr:cNvPr id="43" name="Rectangle 42">
          <a:hlinkClick xmlns:r="http://schemas.openxmlformats.org/officeDocument/2006/relationships" r:id="rId10"/>
          <a:extLst>
            <a:ext uri="{FF2B5EF4-FFF2-40B4-BE49-F238E27FC236}">
              <a16:creationId xmlns:a16="http://schemas.microsoft.com/office/drawing/2014/main" id="{8A64F1BD-C211-4C4E-A38D-34619D59E108}"/>
            </a:ext>
          </a:extLst>
        </xdr:cNvPr>
        <xdr:cNvSpPr/>
      </xdr:nvSpPr>
      <xdr:spPr>
        <a:xfrm>
          <a:off x="1" y="1217448"/>
          <a:ext cx="13804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D99717-E26D-4349-956E-1203D01BE3F8}" type="TxLink">
            <a:rPr lang="en-US" sz="1200" b="0" i="0" u="none" strike="noStrike">
              <a:solidFill>
                <a:schemeClr val="bg1"/>
              </a:solidFill>
              <a:latin typeface="Calibri" panose="020F0502020204030204" pitchFamily="34" charset="0"/>
              <a:cs typeface="Calibri" panose="020F0502020204030204" pitchFamily="34" charset="0"/>
            </a:rPr>
            <a:pPr algn="ctr"/>
            <a:t>ITP_IAC_Hellenic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0</xdr:col>
      <xdr:colOff>1</xdr:colOff>
      <xdr:row>0</xdr:row>
      <xdr:rowOff>1491768</xdr:rowOff>
    </xdr:to>
    <xdr:sp macro="" textlink="$B$21">
      <xdr:nvSpPr>
        <xdr:cNvPr id="44" name="Rectangle 43">
          <a:extLst>
            <a:ext uri="{FF2B5EF4-FFF2-40B4-BE49-F238E27FC236}">
              <a16:creationId xmlns:a16="http://schemas.microsoft.com/office/drawing/2014/main" id="{7B47920C-EF1A-4300-BEBA-375B2145D863}"/>
            </a:ext>
          </a:extLst>
        </xdr:cNvPr>
        <xdr:cNvSpPr/>
      </xdr:nvSpPr>
      <xdr:spPr>
        <a:xfrm>
          <a:off x="1" y="1217448"/>
          <a:ext cx="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B2C5B66-F7E2-4187-B670-BF121381989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939624</xdr:colOff>
      <xdr:row>0</xdr:row>
      <xdr:rowOff>1217448</xdr:rowOff>
    </xdr:from>
    <xdr:to>
      <xdr:col>1</xdr:col>
      <xdr:colOff>1999992</xdr:colOff>
      <xdr:row>0</xdr:row>
      <xdr:rowOff>1491768</xdr:rowOff>
    </xdr:to>
    <xdr:sp macro="" textlink="#REF!">
      <xdr:nvSpPr>
        <xdr:cNvPr id="45" name="Rectangle 44">
          <a:hlinkClick xmlns:r="http://schemas.openxmlformats.org/officeDocument/2006/relationships" r:id="rId11"/>
          <a:extLst>
            <a:ext uri="{FF2B5EF4-FFF2-40B4-BE49-F238E27FC236}">
              <a16:creationId xmlns:a16="http://schemas.microsoft.com/office/drawing/2014/main" id="{63F8A6C8-A13D-4EE3-8AB0-0524F214531A}"/>
            </a:ext>
          </a:extLst>
        </xdr:cNvPr>
        <xdr:cNvSpPr/>
      </xdr:nvSpPr>
      <xdr:spPr>
        <a:xfrm>
          <a:off x="1377774" y="1217448"/>
          <a:ext cx="106036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A79F7F-4ADB-4ABC-9292-0F2B92307410}" type="TxLink">
            <a:rPr lang="en-US" altLang="zh-TW" sz="1200" b="0" i="0" u="none" strike="noStrike">
              <a:solidFill>
                <a:schemeClr val="bg1"/>
              </a:solidFill>
              <a:latin typeface="Calibri" panose="020F0502020204030204" pitchFamily="34" charset="0"/>
              <a:cs typeface="Calibri" panose="020F0502020204030204" pitchFamily="34" charset="0"/>
            </a:rPr>
            <a:pPr algn="ctr"/>
            <a:t>ITP_EXC_LSC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1999992</xdr:colOff>
      <xdr:row>0</xdr:row>
      <xdr:rowOff>1217448</xdr:rowOff>
    </xdr:from>
    <xdr:to>
      <xdr:col>2</xdr:col>
      <xdr:colOff>1086272</xdr:colOff>
      <xdr:row>0</xdr:row>
      <xdr:rowOff>1491768</xdr:rowOff>
    </xdr:to>
    <xdr:sp macro="" textlink="#REF!">
      <xdr:nvSpPr>
        <xdr:cNvPr id="46" name="Rectangle 45">
          <a:hlinkClick xmlns:r="http://schemas.openxmlformats.org/officeDocument/2006/relationships" r:id="rId12"/>
          <a:extLst>
            <a:ext uri="{FF2B5EF4-FFF2-40B4-BE49-F238E27FC236}">
              <a16:creationId xmlns:a16="http://schemas.microsoft.com/office/drawing/2014/main" id="{F81937B2-846F-451D-B6C5-E572748BAB8C}"/>
            </a:ext>
          </a:extLst>
        </xdr:cNvPr>
        <xdr:cNvSpPr/>
      </xdr:nvSpPr>
      <xdr:spPr>
        <a:xfrm>
          <a:off x="2438142" y="1217448"/>
          <a:ext cx="138180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DAB4F40-9E56-424D-9D25-023E38A6DFEF}" type="TxLink">
            <a:rPr lang="en-US" altLang="zh-TW" sz="1200" b="0" i="0" u="none" strike="noStrike">
              <a:solidFill>
                <a:schemeClr val="bg1"/>
              </a:solidFill>
              <a:latin typeface="Calibri" panose="020F0502020204030204" pitchFamily="34" charset="0"/>
              <a:cs typeface="Calibri" panose="020F0502020204030204" pitchFamily="34" charset="0"/>
            </a:rPr>
            <a:pPr algn="ctr"/>
            <a:t>ITP_Cable_TNI_S7</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1082753</xdr:colOff>
      <xdr:row>0</xdr:row>
      <xdr:rowOff>1217448</xdr:rowOff>
    </xdr:from>
    <xdr:to>
      <xdr:col>2</xdr:col>
      <xdr:colOff>2450101</xdr:colOff>
      <xdr:row>0</xdr:row>
      <xdr:rowOff>1491768</xdr:rowOff>
    </xdr:to>
    <xdr:sp macro="" textlink="#REF!">
      <xdr:nvSpPr>
        <xdr:cNvPr id="47" name="Rectangle 46">
          <a:hlinkClick xmlns:r="http://schemas.openxmlformats.org/officeDocument/2006/relationships" r:id="rId13"/>
          <a:extLst>
            <a:ext uri="{FF2B5EF4-FFF2-40B4-BE49-F238E27FC236}">
              <a16:creationId xmlns:a16="http://schemas.microsoft.com/office/drawing/2014/main" id="{C7A063F7-23E7-40E1-8466-718225CD2463}"/>
            </a:ext>
          </a:extLst>
        </xdr:cNvPr>
        <xdr:cNvSpPr/>
      </xdr:nvSpPr>
      <xdr:spPr>
        <a:xfrm>
          <a:off x="3816428" y="1217448"/>
          <a:ext cx="136734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A6692E6-56B3-4FA0-B035-A27BEF5E821D}" type="TxLink">
            <a:rPr lang="en-US" sz="1200" b="0" i="0" u="none" strike="noStrike">
              <a:solidFill>
                <a:schemeClr val="bg1"/>
              </a:solidFill>
              <a:latin typeface="Calibri" panose="020F0502020204030204" pitchFamily="34" charset="0"/>
              <a:cs typeface="Calibri" panose="020F0502020204030204" pitchFamily="34" charset="0"/>
            </a:rPr>
            <a:pPr algn="ctr"/>
            <a:t>ITP_ONS_TECO</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5011080</xdr:colOff>
      <xdr:row>0</xdr:row>
      <xdr:rowOff>0</xdr:rowOff>
    </xdr:from>
    <xdr:to>
      <xdr:col>4</xdr:col>
      <xdr:colOff>120672</xdr:colOff>
      <xdr:row>0</xdr:row>
      <xdr:rowOff>274320</xdr:rowOff>
    </xdr:to>
    <xdr:sp macro="" textlink="#REF!">
      <xdr:nvSpPr>
        <xdr:cNvPr id="48" name="Rectangle 47">
          <a:hlinkClick xmlns:r="http://schemas.openxmlformats.org/officeDocument/2006/relationships" r:id="rId14"/>
          <a:extLst>
            <a:ext uri="{FF2B5EF4-FFF2-40B4-BE49-F238E27FC236}">
              <a16:creationId xmlns:a16="http://schemas.microsoft.com/office/drawing/2014/main" id="{B43FAFFF-21FE-49E9-B351-FC4A0D798D27}"/>
            </a:ext>
          </a:extLst>
        </xdr:cNvPr>
        <xdr:cNvSpPr/>
      </xdr:nvSpPr>
      <xdr:spPr>
        <a:xfrm>
          <a:off x="7744755" y="0"/>
          <a:ext cx="137704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ED4B2CE-3865-4169-8EDE-4E9A4AD0300C}" type="TxLink">
            <a:rPr lang="en-US" sz="1200" b="0" i="0" u="none" strike="noStrike">
              <a:solidFill>
                <a:schemeClr val="bg1"/>
              </a:solidFill>
              <a:latin typeface="Calibri" panose="020F0502020204030204" pitchFamily="34" charset="0"/>
              <a:cs typeface="Calibri" panose="020F0502020204030204" pitchFamily="34" charset="0"/>
            </a:rPr>
            <a:pPr algn="ctr"/>
            <a:t>OBS_Summary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2444339</xdr:colOff>
      <xdr:row>0</xdr:row>
      <xdr:rowOff>1217448</xdr:rowOff>
    </xdr:from>
    <xdr:to>
      <xdr:col>2</xdr:col>
      <xdr:colOff>3364183</xdr:colOff>
      <xdr:row>0</xdr:row>
      <xdr:rowOff>1491768</xdr:rowOff>
    </xdr:to>
    <xdr:sp macro="" textlink="#REF!">
      <xdr:nvSpPr>
        <xdr:cNvPr id="49" name="Rectangle 48">
          <a:hlinkClick xmlns:r="http://schemas.openxmlformats.org/officeDocument/2006/relationships" r:id="rId15"/>
          <a:extLst>
            <a:ext uri="{FF2B5EF4-FFF2-40B4-BE49-F238E27FC236}">
              <a16:creationId xmlns:a16="http://schemas.microsoft.com/office/drawing/2014/main" id="{9EB6DE6E-6996-4D43-AE0C-FCCAC9EC205A}"/>
            </a:ext>
          </a:extLst>
        </xdr:cNvPr>
        <xdr:cNvSpPr/>
      </xdr:nvSpPr>
      <xdr:spPr>
        <a:xfrm>
          <a:off x="5178014" y="1217448"/>
          <a:ext cx="9198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B7B64F5-264F-4267-A451-4ADD194C012B}" type="TxLink">
            <a:rPr lang="en-US" sz="1200" b="0" i="0" u="none" strike="noStrike">
              <a:solidFill>
                <a:schemeClr val="bg1"/>
              </a:solidFill>
              <a:latin typeface="Calibri" panose="020F0502020204030204" pitchFamily="34" charset="0"/>
              <a:cs typeface="Calibri" panose="020F0502020204030204" pitchFamily="34" charset="0"/>
            </a:rPr>
            <a:pPr algn="ctr"/>
            <a:t>ITP_CDWE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3356972</xdr:colOff>
      <xdr:row>0</xdr:row>
      <xdr:rowOff>1217448</xdr:rowOff>
    </xdr:from>
    <xdr:to>
      <xdr:col>2</xdr:col>
      <xdr:colOff>4728572</xdr:colOff>
      <xdr:row>0</xdr:row>
      <xdr:rowOff>1491768</xdr:rowOff>
    </xdr:to>
    <xdr:sp macro="" textlink="#REF!">
      <xdr:nvSpPr>
        <xdr:cNvPr id="50" name="Rectangle 49">
          <a:hlinkClick xmlns:r="http://schemas.openxmlformats.org/officeDocument/2006/relationships" r:id="rId16"/>
          <a:extLst>
            <a:ext uri="{FF2B5EF4-FFF2-40B4-BE49-F238E27FC236}">
              <a16:creationId xmlns:a16="http://schemas.microsoft.com/office/drawing/2014/main" id="{2C974287-FCF0-4AAB-AA10-502CE93525EF}"/>
            </a:ext>
          </a:extLst>
        </xdr:cNvPr>
        <xdr:cNvSpPr/>
      </xdr:nvSpPr>
      <xdr:spPr>
        <a:xfrm>
          <a:off x="6090647" y="1217448"/>
          <a:ext cx="13716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4BD5D57-9335-47BB-B5C1-827C5BAA4DE8}" type="TxLink">
            <a:rPr lang="en-US" sz="1200" b="0" i="0" u="none" strike="noStrike">
              <a:solidFill>
                <a:schemeClr val="bg1"/>
              </a:solidFill>
              <a:latin typeface="Calibri" panose="020F0502020204030204" pitchFamily="34" charset="0"/>
              <a:cs typeface="Calibri" panose="020F0502020204030204" pitchFamily="34" charset="0"/>
            </a:rPr>
            <a:pPr algn="ctr"/>
            <a:t>ITP_OSS_SMPTSC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277488</xdr:rowOff>
    </xdr:from>
    <xdr:to>
      <xdr:col>1</xdr:col>
      <xdr:colOff>53336</xdr:colOff>
      <xdr:row>0</xdr:row>
      <xdr:rowOff>551808</xdr:rowOff>
    </xdr:to>
    <xdr:sp macro="" textlink="#REF!">
      <xdr:nvSpPr>
        <xdr:cNvPr id="51" name="Rectangle 50">
          <a:hlinkClick xmlns:r="http://schemas.openxmlformats.org/officeDocument/2006/relationships" r:id="rId17"/>
          <a:extLst>
            <a:ext uri="{FF2B5EF4-FFF2-40B4-BE49-F238E27FC236}">
              <a16:creationId xmlns:a16="http://schemas.microsoft.com/office/drawing/2014/main" id="{85E08390-0A11-4F44-8C24-3617428FD970}"/>
            </a:ext>
          </a:extLst>
        </xdr:cNvPr>
        <xdr:cNvSpPr/>
      </xdr:nvSpPr>
      <xdr:spPr>
        <a:xfrm>
          <a:off x="1" y="277488"/>
          <a:ext cx="49148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76DB0D7-CA15-4C84-BEF1-B2FE174253A5}" type="TxLink">
            <a:rPr lang="en-US" sz="1200" b="0" i="0" u="none" strike="noStrike">
              <a:solidFill>
                <a:schemeClr val="bg1"/>
              </a:solidFill>
              <a:latin typeface="Calibri" panose="020F0502020204030204" pitchFamily="34" charset="0"/>
              <a:cs typeface="Calibri" panose="020F0502020204030204" pitchFamily="34" charset="0"/>
            </a:rPr>
            <a:pPr algn="ctr"/>
            <a:t>PQP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37106</xdr:colOff>
      <xdr:row>0</xdr:row>
      <xdr:rowOff>277488</xdr:rowOff>
    </xdr:from>
    <xdr:to>
      <xdr:col>1</xdr:col>
      <xdr:colOff>1417890</xdr:colOff>
      <xdr:row>0</xdr:row>
      <xdr:rowOff>551808</xdr:rowOff>
    </xdr:to>
    <xdr:sp macro="" textlink="#REF!">
      <xdr:nvSpPr>
        <xdr:cNvPr id="52" name="Rectangle 51">
          <a:hlinkClick xmlns:r="http://schemas.openxmlformats.org/officeDocument/2006/relationships" r:id="rId18"/>
          <a:extLst>
            <a:ext uri="{FF2B5EF4-FFF2-40B4-BE49-F238E27FC236}">
              <a16:creationId xmlns:a16="http://schemas.microsoft.com/office/drawing/2014/main" id="{5C965D8D-E199-4A18-8503-A4E741DF5839}"/>
            </a:ext>
          </a:extLst>
        </xdr:cNvPr>
        <xdr:cNvSpPr/>
      </xdr:nvSpPr>
      <xdr:spPr>
        <a:xfrm>
          <a:off x="475256" y="277488"/>
          <a:ext cx="138078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B67B7DE-3A73-4724-AD40-6EFDCB186502}" type="TxLink">
            <a:rPr lang="en-US" sz="1200" b="0" i="0" u="none" strike="noStrike">
              <a:solidFill>
                <a:schemeClr val="bg1"/>
              </a:solidFill>
              <a:latin typeface="Calibri" panose="020F0502020204030204" pitchFamily="34" charset="0"/>
              <a:cs typeface="Calibri" panose="020F0502020204030204" pitchFamily="34" charset="0"/>
            </a:rPr>
            <a:pPr algn="ctr"/>
            <a:t>NCR_Summary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1416983</xdr:colOff>
      <xdr:row>0</xdr:row>
      <xdr:rowOff>277488</xdr:rowOff>
    </xdr:from>
    <xdr:to>
      <xdr:col>2</xdr:col>
      <xdr:colOff>36199</xdr:colOff>
      <xdr:row>0</xdr:row>
      <xdr:rowOff>551808</xdr:rowOff>
    </xdr:to>
    <xdr:sp macro="" textlink="#REF!">
      <xdr:nvSpPr>
        <xdr:cNvPr id="53" name="Rectangle 52">
          <a:hlinkClick xmlns:r="http://schemas.openxmlformats.org/officeDocument/2006/relationships" r:id="rId19"/>
          <a:extLst>
            <a:ext uri="{FF2B5EF4-FFF2-40B4-BE49-F238E27FC236}">
              <a16:creationId xmlns:a16="http://schemas.microsoft.com/office/drawing/2014/main" id="{4AC52182-3C47-4138-A814-35BFD74F3332}"/>
            </a:ext>
          </a:extLst>
        </xdr:cNvPr>
        <xdr:cNvSpPr/>
      </xdr:nvSpPr>
      <xdr:spPr>
        <a:xfrm>
          <a:off x="1855133" y="277488"/>
          <a:ext cx="91474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DF90472-98E3-4CD3-93C5-712192C887E4}" type="TxLink">
            <a:rPr lang="en-US" sz="1200" b="0" i="0" u="none" strike="noStrike">
              <a:solidFill>
                <a:schemeClr val="bg1"/>
              </a:solidFill>
              <a:latin typeface="Calibri" panose="020F0502020204030204" pitchFamily="34" charset="0"/>
              <a:cs typeface="Calibri" panose="020F0502020204030204" pitchFamily="34" charset="0"/>
            </a:rPr>
            <a:pPr algn="ctr"/>
            <a:t>NCR_Pivot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33305</xdr:colOff>
      <xdr:row>0</xdr:row>
      <xdr:rowOff>277488</xdr:rowOff>
    </xdr:from>
    <xdr:to>
      <xdr:col>2</xdr:col>
      <xdr:colOff>1249772</xdr:colOff>
      <xdr:row>0</xdr:row>
      <xdr:rowOff>551808</xdr:rowOff>
    </xdr:to>
    <xdr:sp macro="" textlink="#REF!">
      <xdr:nvSpPr>
        <xdr:cNvPr id="54" name="Rectangle 53">
          <a:hlinkClick xmlns:r="http://schemas.openxmlformats.org/officeDocument/2006/relationships" r:id="rId14"/>
          <a:extLst>
            <a:ext uri="{FF2B5EF4-FFF2-40B4-BE49-F238E27FC236}">
              <a16:creationId xmlns:a16="http://schemas.microsoft.com/office/drawing/2014/main" id="{EC30BFEB-D23F-4BE4-9BF9-B0682C8DE0D3}"/>
            </a:ext>
          </a:extLst>
        </xdr:cNvPr>
        <xdr:cNvSpPr/>
      </xdr:nvSpPr>
      <xdr:spPr>
        <a:xfrm>
          <a:off x="2766980" y="277488"/>
          <a:ext cx="121646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1C13F6A-2AE7-4D10-B8FE-F91861D7E1CA}" type="TxLink">
            <a:rPr lang="en-US" sz="1200" b="0" i="0" u="none" strike="noStrike">
              <a:solidFill>
                <a:schemeClr val="bg1"/>
              </a:solidFill>
              <a:latin typeface="Calibri" panose="020F0502020204030204" pitchFamily="34" charset="0"/>
              <a:cs typeface="Calibri" panose="020F0502020204030204" pitchFamily="34" charset="0"/>
            </a:rPr>
            <a:pPr algn="ctr"/>
            <a:t>OBS_Pivot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1242968</xdr:colOff>
      <xdr:row>0</xdr:row>
      <xdr:rowOff>277488</xdr:rowOff>
    </xdr:from>
    <xdr:to>
      <xdr:col>2</xdr:col>
      <xdr:colOff>2146482</xdr:colOff>
      <xdr:row>0</xdr:row>
      <xdr:rowOff>551808</xdr:rowOff>
    </xdr:to>
    <xdr:sp macro="" textlink="#REF!">
      <xdr:nvSpPr>
        <xdr:cNvPr id="55" name="Rectangle 54">
          <a:hlinkClick xmlns:r="http://schemas.openxmlformats.org/officeDocument/2006/relationships" r:id="rId20"/>
          <a:extLst>
            <a:ext uri="{FF2B5EF4-FFF2-40B4-BE49-F238E27FC236}">
              <a16:creationId xmlns:a16="http://schemas.microsoft.com/office/drawing/2014/main" id="{E29457FA-DA98-4679-B73B-E121DAEF5B7D}"/>
            </a:ext>
          </a:extLst>
        </xdr:cNvPr>
        <xdr:cNvSpPr/>
      </xdr:nvSpPr>
      <xdr:spPr>
        <a:xfrm>
          <a:off x="3976643" y="277488"/>
          <a:ext cx="90351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42A3ED4-1362-4FEE-889B-CEFC97F9EB4C}" type="TxLink">
            <a:rPr lang="en-US" altLang="zh-TW" sz="1200" b="0" i="0" u="none" strike="noStrike">
              <a:solidFill>
                <a:schemeClr val="bg1"/>
              </a:solidFill>
              <a:latin typeface="Calibri" panose="020F0502020204030204" pitchFamily="34" charset="0"/>
              <a:cs typeface="Calibri" panose="020F0502020204030204" pitchFamily="34" charset="0"/>
            </a:rPr>
            <a:pPr algn="ctr"/>
            <a:t>Database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2146484</xdr:colOff>
      <xdr:row>0</xdr:row>
      <xdr:rowOff>277488</xdr:rowOff>
    </xdr:from>
    <xdr:to>
      <xdr:col>2</xdr:col>
      <xdr:colOff>3157767</xdr:colOff>
      <xdr:row>0</xdr:row>
      <xdr:rowOff>551808</xdr:rowOff>
    </xdr:to>
    <xdr:sp macro="" textlink="#REF!">
      <xdr:nvSpPr>
        <xdr:cNvPr id="56" name="Rectangle 55">
          <a:hlinkClick xmlns:r="http://schemas.openxmlformats.org/officeDocument/2006/relationships" r:id="rId21"/>
          <a:extLst>
            <a:ext uri="{FF2B5EF4-FFF2-40B4-BE49-F238E27FC236}">
              <a16:creationId xmlns:a16="http://schemas.microsoft.com/office/drawing/2014/main" id="{62A3FACF-77BD-4C46-8619-7C538B8F3AF2}"/>
            </a:ext>
          </a:extLst>
        </xdr:cNvPr>
        <xdr:cNvSpPr/>
      </xdr:nvSpPr>
      <xdr:spPr>
        <a:xfrm>
          <a:off x="4880159" y="277488"/>
          <a:ext cx="10112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A518611-076D-45B5-BAAD-2BD8D5A103C9}" type="TxLink">
            <a:rPr lang="en-US" sz="1200" b="0" i="0" u="none" strike="noStrike">
              <a:solidFill>
                <a:schemeClr val="bg1"/>
              </a:solidFill>
              <a:latin typeface="Calibri" panose="020F0502020204030204" pitchFamily="34" charset="0"/>
              <a:cs typeface="Calibri" panose="020F0502020204030204" pitchFamily="34" charset="0"/>
            </a:rPr>
            <a:pPr algn="ctr"/>
            <a:t>NOI_Tracker</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3158855</xdr:colOff>
      <xdr:row>0</xdr:row>
      <xdr:rowOff>277488</xdr:rowOff>
    </xdr:from>
    <xdr:to>
      <xdr:col>2</xdr:col>
      <xdr:colOff>4075976</xdr:colOff>
      <xdr:row>0</xdr:row>
      <xdr:rowOff>551808</xdr:rowOff>
    </xdr:to>
    <xdr:sp macro="" textlink="#REF!">
      <xdr:nvSpPr>
        <xdr:cNvPr id="57" name="Rectangle 56">
          <a:hlinkClick xmlns:r="http://schemas.openxmlformats.org/officeDocument/2006/relationships" r:id="rId22"/>
          <a:extLst>
            <a:ext uri="{FF2B5EF4-FFF2-40B4-BE49-F238E27FC236}">
              <a16:creationId xmlns:a16="http://schemas.microsoft.com/office/drawing/2014/main" id="{55155BC4-4893-427C-9A52-8C76FF522EAD}"/>
            </a:ext>
          </a:extLst>
        </xdr:cNvPr>
        <xdr:cNvSpPr/>
      </xdr:nvSpPr>
      <xdr:spPr>
        <a:xfrm>
          <a:off x="5892530" y="277488"/>
          <a:ext cx="91712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B07602-FD62-4EAF-B169-6BFDF1E5093F}" type="TxLink">
            <a:rPr lang="en-US" sz="1200" b="0" i="0" u="none" strike="noStrike">
              <a:solidFill>
                <a:schemeClr val="bg1"/>
              </a:solidFill>
              <a:latin typeface="Calibri" panose="020F0502020204030204" pitchFamily="34" charset="0"/>
              <a:cs typeface="Calibri" panose="020F0502020204030204" pitchFamily="34" charset="0"/>
            </a:rPr>
            <a:pPr algn="ctr"/>
            <a:t>NOI_Pivot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4073656</xdr:colOff>
      <xdr:row>0</xdr:row>
      <xdr:rowOff>277488</xdr:rowOff>
    </xdr:from>
    <xdr:to>
      <xdr:col>2</xdr:col>
      <xdr:colOff>5262376</xdr:colOff>
      <xdr:row>0</xdr:row>
      <xdr:rowOff>551808</xdr:rowOff>
    </xdr:to>
    <xdr:sp macro="" textlink="#REF!">
      <xdr:nvSpPr>
        <xdr:cNvPr id="58" name="Rectangle 57">
          <a:hlinkClick xmlns:r="http://schemas.openxmlformats.org/officeDocument/2006/relationships" r:id="rId23"/>
          <a:extLst>
            <a:ext uri="{FF2B5EF4-FFF2-40B4-BE49-F238E27FC236}">
              <a16:creationId xmlns:a16="http://schemas.microsoft.com/office/drawing/2014/main" id="{8729D23C-4FAD-4DE1-B420-16E47252B1F2}"/>
            </a:ext>
          </a:extLst>
        </xdr:cNvPr>
        <xdr:cNvSpPr/>
      </xdr:nvSpPr>
      <xdr:spPr>
        <a:xfrm>
          <a:off x="6807331" y="277488"/>
          <a:ext cx="118872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E02AD9C-7FF4-4980-9A1F-06071A75B120}"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0</xdr:colOff>
      <xdr:row>0</xdr:row>
      <xdr:rowOff>1492278</xdr:rowOff>
    </xdr:from>
    <xdr:to>
      <xdr:col>1</xdr:col>
      <xdr:colOff>1404597</xdr:colOff>
      <xdr:row>0</xdr:row>
      <xdr:rowOff>1766598</xdr:rowOff>
    </xdr:to>
    <xdr:sp macro="" textlink="#REF!">
      <xdr:nvSpPr>
        <xdr:cNvPr id="59" name="Rectangle 58">
          <a:hlinkClick xmlns:r="http://schemas.openxmlformats.org/officeDocument/2006/relationships" r:id="rId24"/>
          <a:extLst>
            <a:ext uri="{FF2B5EF4-FFF2-40B4-BE49-F238E27FC236}">
              <a16:creationId xmlns:a16="http://schemas.microsoft.com/office/drawing/2014/main" id="{F0E8FFBC-8279-4ADB-B405-63A00E1061D8}"/>
            </a:ext>
          </a:extLst>
        </xdr:cNvPr>
        <xdr:cNvSpPr/>
      </xdr:nvSpPr>
      <xdr:spPr>
        <a:xfrm>
          <a:off x="0" y="1492278"/>
          <a:ext cx="18427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446E702-EE70-4546-8C7E-382A6D1B064A}" type="TxLink">
            <a:rPr lang="en-US" sz="1200" b="0" i="0" u="none" strike="noStrike">
              <a:solidFill>
                <a:schemeClr val="bg1"/>
              </a:solidFill>
              <a:latin typeface="Calibri" panose="020F0502020204030204" pitchFamily="34" charset="0"/>
              <a:cs typeface="Calibri" panose="020F0502020204030204" pitchFamily="34" charset="0"/>
            </a:rPr>
            <a:pPr algn="ctr"/>
            <a:t>ITP_FOU_JKT_LOC_CWP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1321667</xdr:colOff>
      <xdr:row>0</xdr:row>
      <xdr:rowOff>1492278</xdr:rowOff>
    </xdr:from>
    <xdr:to>
      <xdr:col>2</xdr:col>
      <xdr:colOff>1053130</xdr:colOff>
      <xdr:row>0</xdr:row>
      <xdr:rowOff>1766598</xdr:rowOff>
    </xdr:to>
    <xdr:sp macro="" textlink="#REF!">
      <xdr:nvSpPr>
        <xdr:cNvPr id="60" name="Rectangle 59">
          <a:hlinkClick xmlns:r="http://schemas.openxmlformats.org/officeDocument/2006/relationships" r:id="rId25"/>
          <a:extLst>
            <a:ext uri="{FF2B5EF4-FFF2-40B4-BE49-F238E27FC236}">
              <a16:creationId xmlns:a16="http://schemas.microsoft.com/office/drawing/2014/main" id="{BA7C31C0-53D0-4C37-AAA0-E90C8728309C}"/>
            </a:ext>
          </a:extLst>
        </xdr:cNvPr>
        <xdr:cNvSpPr/>
      </xdr:nvSpPr>
      <xdr:spPr>
        <a:xfrm>
          <a:off x="1759817" y="1492278"/>
          <a:ext cx="202698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EFA0B59-9336-4CB7-B37C-024F5B6F5E65}"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ITP_FOU_Pin_Pile_INT_EEW</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1049058</xdr:colOff>
      <xdr:row>0</xdr:row>
      <xdr:rowOff>1492278</xdr:rowOff>
    </xdr:from>
    <xdr:to>
      <xdr:col>2</xdr:col>
      <xdr:colOff>2778253</xdr:colOff>
      <xdr:row>0</xdr:row>
      <xdr:rowOff>1766598</xdr:rowOff>
    </xdr:to>
    <xdr:sp macro="" textlink="#REF!">
      <xdr:nvSpPr>
        <xdr:cNvPr id="61" name="Rectangle 60">
          <a:hlinkClick xmlns:r="http://schemas.openxmlformats.org/officeDocument/2006/relationships" r:id="rId26"/>
          <a:extLst>
            <a:ext uri="{FF2B5EF4-FFF2-40B4-BE49-F238E27FC236}">
              <a16:creationId xmlns:a16="http://schemas.microsoft.com/office/drawing/2014/main" id="{0E92CCFC-8D82-473C-80BF-7CBBF9231E23}"/>
            </a:ext>
          </a:extLst>
        </xdr:cNvPr>
        <xdr:cNvSpPr/>
      </xdr:nvSpPr>
      <xdr:spPr>
        <a:xfrm>
          <a:off x="3782733" y="1492278"/>
          <a:ext cx="172919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A4FDC92-BC37-46C0-8867-999F815AE370}" type="TxLink">
            <a:rPr lang="en-US" sz="1200" b="0" i="0" u="none" strike="noStrike">
              <a:solidFill>
                <a:schemeClr val="bg1"/>
              </a:solidFill>
              <a:latin typeface="Calibri" panose="020F0502020204030204" pitchFamily="34" charset="0"/>
              <a:cs typeface="Calibri" panose="020F0502020204030204" pitchFamily="34" charset="0"/>
            </a:rPr>
            <a:pPr algn="ctr"/>
            <a:t>ITP_FOU_JKT_INT_SKOP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2762882</xdr:colOff>
      <xdr:row>0</xdr:row>
      <xdr:rowOff>1492278</xdr:rowOff>
    </xdr:from>
    <xdr:to>
      <xdr:col>2</xdr:col>
      <xdr:colOff>4421729</xdr:colOff>
      <xdr:row>0</xdr:row>
      <xdr:rowOff>1766598</xdr:rowOff>
    </xdr:to>
    <xdr:sp macro="" textlink="#REF!">
      <xdr:nvSpPr>
        <xdr:cNvPr id="62" name="Rectangle 61">
          <a:hlinkClick xmlns:r="http://schemas.openxmlformats.org/officeDocument/2006/relationships" r:id="rId27"/>
          <a:extLst>
            <a:ext uri="{FF2B5EF4-FFF2-40B4-BE49-F238E27FC236}">
              <a16:creationId xmlns:a16="http://schemas.microsoft.com/office/drawing/2014/main" id="{07FC59CB-B2C3-4AF7-81CE-924082F46EA9}"/>
            </a:ext>
          </a:extLst>
        </xdr:cNvPr>
        <xdr:cNvSpPr/>
      </xdr:nvSpPr>
      <xdr:spPr>
        <a:xfrm>
          <a:off x="5496557" y="1492278"/>
          <a:ext cx="16588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ITP_TNI_JPG_SUP_IQIP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4414610</xdr:colOff>
      <xdr:row>0</xdr:row>
      <xdr:rowOff>1492278</xdr:rowOff>
    </xdr:from>
    <xdr:to>
      <xdr:col>3</xdr:col>
      <xdr:colOff>297293</xdr:colOff>
      <xdr:row>0</xdr:row>
      <xdr:rowOff>1766598</xdr:rowOff>
    </xdr:to>
    <xdr:sp macro="" textlink="#REF!">
      <xdr:nvSpPr>
        <xdr:cNvPr id="63" name="Rectangle 62">
          <a:hlinkClick xmlns:r="http://schemas.openxmlformats.org/officeDocument/2006/relationships" r:id="rId28"/>
          <a:extLst>
            <a:ext uri="{FF2B5EF4-FFF2-40B4-BE49-F238E27FC236}">
              <a16:creationId xmlns:a16="http://schemas.microsoft.com/office/drawing/2014/main" id="{517FA473-9470-43A1-B20F-946BE81C8219}"/>
            </a:ext>
          </a:extLst>
        </xdr:cNvPr>
        <xdr:cNvSpPr/>
      </xdr:nvSpPr>
      <xdr:spPr>
        <a:xfrm>
          <a:off x="7148285" y="1492278"/>
          <a:ext cx="15595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E6494932-2600-44D8-BC73-4BB21D4D3E92}" type="TxLink">
            <a:rPr lang="en-US" sz="1200" b="0" i="0" u="none" strike="noStrike">
              <a:solidFill>
                <a:schemeClr val="bg1"/>
              </a:solidFill>
              <a:latin typeface="Calibri" panose="020F0502020204030204" pitchFamily="34" charset="0"/>
              <a:cs typeface="Calibri" panose="020F0502020204030204" pitchFamily="34" charset="0"/>
            </a:rPr>
            <a:pPr algn="ctr"/>
            <a:t>ITP_WTG_SUP_SGRE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4731293</xdr:colOff>
      <xdr:row>0</xdr:row>
      <xdr:rowOff>1217448</xdr:rowOff>
    </xdr:from>
    <xdr:to>
      <xdr:col>4</xdr:col>
      <xdr:colOff>493212</xdr:colOff>
      <xdr:row>0</xdr:row>
      <xdr:rowOff>1491768</xdr:rowOff>
    </xdr:to>
    <xdr:sp macro="" textlink="#REF!">
      <xdr:nvSpPr>
        <xdr:cNvPr id="64" name="Rectangle 63">
          <a:hlinkClick xmlns:r="http://schemas.openxmlformats.org/officeDocument/2006/relationships" r:id="rId29"/>
          <a:extLst>
            <a:ext uri="{FF2B5EF4-FFF2-40B4-BE49-F238E27FC236}">
              <a16:creationId xmlns:a16="http://schemas.microsoft.com/office/drawing/2014/main" id="{DDD59253-4B1B-4840-907F-3F9F48B35DDA}"/>
            </a:ext>
          </a:extLst>
        </xdr:cNvPr>
        <xdr:cNvSpPr/>
      </xdr:nvSpPr>
      <xdr:spPr>
        <a:xfrm>
          <a:off x="7464968" y="1217448"/>
          <a:ext cx="202936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E8B9871-F308-4CC9-B597-6A76D72B2574}"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ITP_FOU_Pin_Pile_LOC_CSBC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109034</xdr:colOff>
      <xdr:row>0</xdr:row>
      <xdr:rowOff>1962978</xdr:rowOff>
    </xdr:to>
    <xdr:sp macro="" textlink="">
      <xdr:nvSpPr>
        <xdr:cNvPr id="65" name="Rectangle 64">
          <a:extLst>
            <a:ext uri="{FF2B5EF4-FFF2-40B4-BE49-F238E27FC236}">
              <a16:creationId xmlns:a16="http://schemas.microsoft.com/office/drawing/2014/main" id="{98246111-6C70-42B9-AD1C-8F4BF8415E91}"/>
            </a:ext>
          </a:extLst>
        </xdr:cNvPr>
        <xdr:cNvSpPr/>
      </xdr:nvSpPr>
      <xdr:spPr>
        <a:xfrm>
          <a:off x="0" y="0"/>
          <a:ext cx="9605459" cy="1962978"/>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552450</xdr:colOff>
      <xdr:row>1</xdr:row>
      <xdr:rowOff>323850</xdr:rowOff>
    </xdr:from>
    <xdr:to>
      <xdr:col>5</xdr:col>
      <xdr:colOff>47625</xdr:colOff>
      <xdr:row>33</xdr:row>
      <xdr:rowOff>57150</xdr:rowOff>
    </xdr:to>
    <xdr:sp macro="" textlink="">
      <xdr:nvSpPr>
        <xdr:cNvPr id="2" name="Rectangle 1">
          <a:extLst>
            <a:ext uri="{FF2B5EF4-FFF2-40B4-BE49-F238E27FC236}">
              <a16:creationId xmlns:a16="http://schemas.microsoft.com/office/drawing/2014/main" id="{024005C8-1A0F-41DE-8EAB-C6C8EA6055DF}"/>
            </a:ext>
            <a:ext uri="{147F2762-F138-4A5C-976F-8EAC2B608ADB}">
              <a16:predDERef xmlns:a16="http://schemas.microsoft.com/office/drawing/2014/main" pred="{98246111-6C70-42B9-AD1C-8F4BF8415E91}"/>
            </a:ext>
          </a:extLst>
        </xdr:cNvPr>
        <xdr:cNvSpPr/>
      </xdr:nvSpPr>
      <xdr:spPr>
        <a:xfrm>
          <a:off x="5734050" y="323850"/>
          <a:ext cx="857250" cy="2809875"/>
        </a:xfrm>
        <a:prstGeom prst="rect">
          <a:avLst/>
        </a:prstGeom>
        <a:solidFill>
          <a:srgbClr val="FFFFFF">
            <a:alpha val="0"/>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xdr:colOff>
      <xdr:row>0</xdr:row>
      <xdr:rowOff>0</xdr:rowOff>
    </xdr:from>
    <xdr:to>
      <xdr:col>1</xdr:col>
      <xdr:colOff>483054</xdr:colOff>
      <xdr:row>0</xdr:row>
      <xdr:rowOff>274320</xdr:rowOff>
    </xdr:to>
    <xdr:sp macro="" textlink="#REF!">
      <xdr:nvSpPr>
        <xdr:cNvPr id="34" name="Rectangle 33">
          <a:hlinkClick xmlns:r="http://schemas.openxmlformats.org/officeDocument/2006/relationships" r:id="rId1"/>
          <a:extLst>
            <a:ext uri="{FF2B5EF4-FFF2-40B4-BE49-F238E27FC236}">
              <a16:creationId xmlns:a16="http://schemas.microsoft.com/office/drawing/2014/main" id="{A35DFB21-7CE1-49BD-BBB1-B4A40EA2F557}"/>
            </a:ext>
          </a:extLst>
        </xdr:cNvPr>
        <xdr:cNvSpPr/>
      </xdr:nvSpPr>
      <xdr:spPr>
        <a:xfrm>
          <a:off x="1" y="0"/>
          <a:ext cx="92120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6ECD9D6-8BBC-4943-A28F-8DDAF8E857A5}" type="TxLink">
            <a:rPr lang="en-US" sz="1200" b="0" i="0" u="sng" strike="noStrike">
              <a:solidFill>
                <a:schemeClr val="bg1"/>
              </a:solidFill>
              <a:latin typeface="Calibri"/>
              <a:cs typeface="Calibri"/>
            </a:rPr>
            <a:pPr algn="ctr"/>
            <a:t>Menu</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479227</xdr:colOff>
      <xdr:row>0</xdr:row>
      <xdr:rowOff>0</xdr:rowOff>
    </xdr:from>
    <xdr:to>
      <xdr:col>1</xdr:col>
      <xdr:colOff>1393627</xdr:colOff>
      <xdr:row>0</xdr:row>
      <xdr:rowOff>274320</xdr:rowOff>
    </xdr:to>
    <xdr:sp macro="" textlink="#REF!">
      <xdr:nvSpPr>
        <xdr:cNvPr id="35" name="Rectangle 34">
          <a:hlinkClick xmlns:r="http://schemas.openxmlformats.org/officeDocument/2006/relationships" r:id="rId2"/>
          <a:extLst>
            <a:ext uri="{FF2B5EF4-FFF2-40B4-BE49-F238E27FC236}">
              <a16:creationId xmlns:a16="http://schemas.microsoft.com/office/drawing/2014/main" id="{CA1B4DA1-C038-4FCC-87FC-3B5DFED6FDD0}"/>
            </a:ext>
          </a:extLst>
        </xdr:cNvPr>
        <xdr:cNvSpPr/>
      </xdr:nvSpPr>
      <xdr:spPr>
        <a:xfrm>
          <a:off x="917377" y="0"/>
          <a:ext cx="9144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D1B6F48-9B45-4600-BDA6-9ECD3234E179}" type="TxLink">
            <a:rPr lang="en-US" sz="1200" b="0" i="0" u="sng" strike="noStrike">
              <a:solidFill>
                <a:schemeClr val="bg1"/>
              </a:solidFill>
              <a:latin typeface="Calibri"/>
              <a:cs typeface="Calibri"/>
            </a:rPr>
            <a:pPr algn="ctr"/>
            <a:t>Dashboard</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1392503</xdr:colOff>
      <xdr:row>0</xdr:row>
      <xdr:rowOff>0</xdr:rowOff>
    </xdr:from>
    <xdr:to>
      <xdr:col>2</xdr:col>
      <xdr:colOff>14100</xdr:colOff>
      <xdr:row>0</xdr:row>
      <xdr:rowOff>274320</xdr:rowOff>
    </xdr:to>
    <xdr:sp macro="" textlink="#REF!">
      <xdr:nvSpPr>
        <xdr:cNvPr id="36" name="Rectangle 35">
          <a:hlinkClick xmlns:r="http://schemas.openxmlformats.org/officeDocument/2006/relationships" r:id="rId3"/>
          <a:extLst>
            <a:ext uri="{FF2B5EF4-FFF2-40B4-BE49-F238E27FC236}">
              <a16:creationId xmlns:a16="http://schemas.microsoft.com/office/drawing/2014/main" id="{69991771-B041-4BC8-BBB7-61B82B6CD14F}"/>
            </a:ext>
          </a:extLst>
        </xdr:cNvPr>
        <xdr:cNvSpPr/>
      </xdr:nvSpPr>
      <xdr:spPr>
        <a:xfrm>
          <a:off x="1830653"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D0E54A7-B214-4607-8826-8942D59FE2D4}" type="TxLink">
            <a:rPr lang="en-US" sz="1200" b="0" i="0" u="none" strike="noStrike">
              <a:solidFill>
                <a:schemeClr val="bg1"/>
              </a:solidFill>
              <a:latin typeface="Calibri" panose="020F0502020204030204" pitchFamily="34" charset="0"/>
              <a:cs typeface="Calibri" panose="020F0502020204030204" pitchFamily="34" charset="0"/>
            </a:rPr>
            <a:pPr algn="ctr"/>
            <a:t>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2290788</xdr:colOff>
      <xdr:row>0</xdr:row>
      <xdr:rowOff>0</xdr:rowOff>
    </xdr:from>
    <xdr:to>
      <xdr:col>2</xdr:col>
      <xdr:colOff>913792</xdr:colOff>
      <xdr:row>0</xdr:row>
      <xdr:rowOff>274320</xdr:rowOff>
    </xdr:to>
    <xdr:sp macro="" textlink="#REF!">
      <xdr:nvSpPr>
        <xdr:cNvPr id="37" name="Rectangle 36">
          <a:hlinkClick xmlns:r="http://schemas.openxmlformats.org/officeDocument/2006/relationships" r:id="rId4"/>
          <a:extLst>
            <a:ext uri="{FF2B5EF4-FFF2-40B4-BE49-F238E27FC236}">
              <a16:creationId xmlns:a16="http://schemas.microsoft.com/office/drawing/2014/main" id="{42BAEAC5-BF8E-4E3B-A4CB-13D34CB35E42}"/>
            </a:ext>
          </a:extLst>
        </xdr:cNvPr>
        <xdr:cNvSpPr/>
      </xdr:nvSpPr>
      <xdr:spPr>
        <a:xfrm>
          <a:off x="2728938" y="0"/>
          <a:ext cx="91852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74DC379-5DB9-4A59-9F32-EF7537C03342}" type="TxLink">
            <a:rPr lang="en-US" altLang="zh-TW" sz="1200" b="0" i="0" u="none" strike="noStrike">
              <a:solidFill>
                <a:schemeClr val="bg1"/>
              </a:solidFill>
              <a:latin typeface="Calibri" panose="020F0502020204030204" pitchFamily="34" charset="0"/>
              <a:cs typeface="Calibri" panose="020F0502020204030204" pitchFamily="34" charset="0"/>
            </a:rPr>
            <a:pPr algn="ctr"/>
            <a:t>KCT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913136</xdr:colOff>
      <xdr:row>0</xdr:row>
      <xdr:rowOff>0</xdr:rowOff>
    </xdr:from>
    <xdr:to>
      <xdr:col>2</xdr:col>
      <xdr:colOff>1826374</xdr:colOff>
      <xdr:row>0</xdr:row>
      <xdr:rowOff>274320</xdr:rowOff>
    </xdr:to>
    <xdr:sp macro="" textlink="#REF!">
      <xdr:nvSpPr>
        <xdr:cNvPr id="38" name="Rectangle 37">
          <a:hlinkClick xmlns:r="http://schemas.openxmlformats.org/officeDocument/2006/relationships" r:id="rId3"/>
          <a:extLst>
            <a:ext uri="{FF2B5EF4-FFF2-40B4-BE49-F238E27FC236}">
              <a16:creationId xmlns:a16="http://schemas.microsoft.com/office/drawing/2014/main" id="{864954FB-B770-4A2C-A53B-B886BBFBE9E2}"/>
            </a:ext>
          </a:extLst>
        </xdr:cNvPr>
        <xdr:cNvSpPr/>
      </xdr:nvSpPr>
      <xdr:spPr>
        <a:xfrm>
          <a:off x="3646811" y="0"/>
          <a:ext cx="91323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9F9CBE-726B-4820-9127-9BFEB61EB63B}" type="TxLink">
            <a:rPr lang="en-US" sz="1200" b="0" i="0" u="none" strike="noStrike">
              <a:solidFill>
                <a:schemeClr val="bg1"/>
              </a:solidFill>
              <a:latin typeface="Calibri" panose="020F0502020204030204" pitchFamily="34" charset="0"/>
              <a:cs typeface="Calibri" panose="020F0502020204030204" pitchFamily="34" charset="0"/>
            </a:rPr>
            <a:pPr algn="ctr"/>
            <a:t>KCT_Curve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1822761</xdr:colOff>
      <xdr:row>0</xdr:row>
      <xdr:rowOff>0</xdr:rowOff>
    </xdr:from>
    <xdr:to>
      <xdr:col>2</xdr:col>
      <xdr:colOff>2738135</xdr:colOff>
      <xdr:row>0</xdr:row>
      <xdr:rowOff>274320</xdr:rowOff>
    </xdr:to>
    <xdr:sp macro="" textlink="#REF!">
      <xdr:nvSpPr>
        <xdr:cNvPr id="39" name="Rectangle 38">
          <a:hlinkClick xmlns:r="http://schemas.openxmlformats.org/officeDocument/2006/relationships" r:id="rId5"/>
          <a:extLst>
            <a:ext uri="{FF2B5EF4-FFF2-40B4-BE49-F238E27FC236}">
              <a16:creationId xmlns:a16="http://schemas.microsoft.com/office/drawing/2014/main" id="{28A88D03-EC8D-458D-B9C1-E66036D937E7}"/>
            </a:ext>
          </a:extLst>
        </xdr:cNvPr>
        <xdr:cNvSpPr/>
      </xdr:nvSpPr>
      <xdr:spPr>
        <a:xfrm>
          <a:off x="4556436" y="0"/>
          <a:ext cx="91537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EC4968A-67D4-43C6-A25C-FD0E75E9BD05}" type="TxLink">
            <a:rPr lang="en-US" sz="1200" b="0" i="0" u="none" strike="noStrike">
              <a:solidFill>
                <a:schemeClr val="bg1"/>
              </a:solidFill>
              <a:latin typeface="Calibri" panose="020F0502020204030204" pitchFamily="34" charset="0"/>
              <a:cs typeface="Calibri" panose="020F0502020204030204" pitchFamily="34" charset="0"/>
            </a:rPr>
            <a:pPr algn="ctr"/>
            <a:t>KCT_Pivot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2730251</xdr:colOff>
      <xdr:row>0</xdr:row>
      <xdr:rowOff>0</xdr:rowOff>
    </xdr:from>
    <xdr:to>
      <xdr:col>2</xdr:col>
      <xdr:colOff>3647373</xdr:colOff>
      <xdr:row>0</xdr:row>
      <xdr:rowOff>274320</xdr:rowOff>
    </xdr:to>
    <xdr:sp macro="" textlink="#REF!">
      <xdr:nvSpPr>
        <xdr:cNvPr id="40" name="Rectangle 39">
          <a:hlinkClick xmlns:r="http://schemas.openxmlformats.org/officeDocument/2006/relationships" r:id="rId6"/>
          <a:extLst>
            <a:ext uri="{FF2B5EF4-FFF2-40B4-BE49-F238E27FC236}">
              <a16:creationId xmlns:a16="http://schemas.microsoft.com/office/drawing/2014/main" id="{EB746498-5CBD-46D3-A6D8-D8D5E6708CE9}"/>
            </a:ext>
          </a:extLst>
        </xdr:cNvPr>
        <xdr:cNvSpPr/>
      </xdr:nvSpPr>
      <xdr:spPr>
        <a:xfrm>
          <a:off x="5463926"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7F627CC-32D4-4130-8C48-E1A5B0B97854}" type="TxLink">
            <a:rPr lang="en-US" sz="1200" b="0" i="0" u="none" strike="noStrike">
              <a:solidFill>
                <a:schemeClr val="bg1"/>
              </a:solidFill>
              <a:latin typeface="Calibri" panose="020F0502020204030204" pitchFamily="34" charset="0"/>
              <a:cs typeface="Calibri" panose="020F0502020204030204" pitchFamily="34" charset="0"/>
            </a:rPr>
            <a:pPr algn="ctr"/>
            <a:t>Key_Quality_Docs</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3646448</xdr:colOff>
      <xdr:row>0</xdr:row>
      <xdr:rowOff>0</xdr:rowOff>
    </xdr:from>
    <xdr:to>
      <xdr:col>2</xdr:col>
      <xdr:colOff>5018799</xdr:colOff>
      <xdr:row>0</xdr:row>
      <xdr:rowOff>274320</xdr:rowOff>
    </xdr:to>
    <xdr:sp macro="" textlink="#REF!">
      <xdr:nvSpPr>
        <xdr:cNvPr id="41" name="Rectangle 40">
          <a:hlinkClick xmlns:r="http://schemas.openxmlformats.org/officeDocument/2006/relationships" r:id="rId7"/>
          <a:extLst>
            <a:ext uri="{FF2B5EF4-FFF2-40B4-BE49-F238E27FC236}">
              <a16:creationId xmlns:a16="http://schemas.microsoft.com/office/drawing/2014/main" id="{31A449B8-306C-41E7-91C5-ED1F0201EC3B}"/>
            </a:ext>
          </a:extLst>
        </xdr:cNvPr>
        <xdr:cNvSpPr/>
      </xdr:nvSpPr>
      <xdr:spPr>
        <a:xfrm>
          <a:off x="6380123" y="0"/>
          <a:ext cx="137235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Q_commu._Matrix</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843626</xdr:rowOff>
    </xdr:from>
    <xdr:to>
      <xdr:col>1</xdr:col>
      <xdr:colOff>760096</xdr:colOff>
      <xdr:row>0</xdr:row>
      <xdr:rowOff>1117946</xdr:rowOff>
    </xdr:to>
    <xdr:sp macro="" textlink="#REF!">
      <xdr:nvSpPr>
        <xdr:cNvPr id="42" name="Rectangle 41">
          <a:hlinkClick xmlns:r="http://schemas.openxmlformats.org/officeDocument/2006/relationships" r:id="rId8"/>
          <a:extLst>
            <a:ext uri="{FF2B5EF4-FFF2-40B4-BE49-F238E27FC236}">
              <a16:creationId xmlns:a16="http://schemas.microsoft.com/office/drawing/2014/main" id="{504D8DF0-B665-4E90-9869-E06E3019E0B4}"/>
            </a:ext>
          </a:extLst>
        </xdr:cNvPr>
        <xdr:cNvSpPr/>
      </xdr:nvSpPr>
      <xdr:spPr>
        <a:xfrm>
          <a:off x="1" y="843626"/>
          <a:ext cx="119824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2AEF7F1-F48C-4FA1-A707-132A4EE8650E}" type="TxLink">
            <a:rPr lang="en-US" sz="1200" b="0" i="0" u="none" strike="noStrike">
              <a:solidFill>
                <a:schemeClr val="bg1"/>
              </a:solidFill>
              <a:latin typeface="Calibri" panose="020F0502020204030204" pitchFamily="34" charset="0"/>
              <a:cs typeface="Calibri" panose="020F0502020204030204" pitchFamily="34" charset="0"/>
            </a:rPr>
            <a:pPr algn="ctr"/>
            <a:t>ITP_Summary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1</xdr:col>
      <xdr:colOff>942295</xdr:colOff>
      <xdr:row>0</xdr:row>
      <xdr:rowOff>1491768</xdr:rowOff>
    </xdr:to>
    <xdr:sp macro="" textlink="#REF!">
      <xdr:nvSpPr>
        <xdr:cNvPr id="43" name="Rectangle 42">
          <a:hlinkClick xmlns:r="http://schemas.openxmlformats.org/officeDocument/2006/relationships" r:id="rId9"/>
          <a:extLst>
            <a:ext uri="{FF2B5EF4-FFF2-40B4-BE49-F238E27FC236}">
              <a16:creationId xmlns:a16="http://schemas.microsoft.com/office/drawing/2014/main" id="{D33F1B83-DEF7-44C6-871E-441FD9B143CB}"/>
            </a:ext>
          </a:extLst>
        </xdr:cNvPr>
        <xdr:cNvSpPr/>
      </xdr:nvSpPr>
      <xdr:spPr>
        <a:xfrm>
          <a:off x="1" y="1217448"/>
          <a:ext cx="13804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D99717-E26D-4349-956E-1203D01BE3F8}" type="TxLink">
            <a:rPr lang="en-US" sz="1200" b="0" i="0" u="none" strike="noStrike">
              <a:solidFill>
                <a:schemeClr val="bg1"/>
              </a:solidFill>
              <a:latin typeface="Calibri" panose="020F0502020204030204" pitchFamily="34" charset="0"/>
              <a:cs typeface="Calibri" panose="020F0502020204030204" pitchFamily="34" charset="0"/>
            </a:rPr>
            <a:pPr algn="ctr"/>
            <a:t>ITP_IAC_Hellenic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0</xdr:col>
      <xdr:colOff>1</xdr:colOff>
      <xdr:row>0</xdr:row>
      <xdr:rowOff>1491768</xdr:rowOff>
    </xdr:to>
    <xdr:sp macro="" textlink="$B$40">
      <xdr:nvSpPr>
        <xdr:cNvPr id="44" name="Rectangle 43">
          <a:extLst>
            <a:ext uri="{FF2B5EF4-FFF2-40B4-BE49-F238E27FC236}">
              <a16:creationId xmlns:a16="http://schemas.microsoft.com/office/drawing/2014/main" id="{9A8CBE7C-7F6C-4E45-96DC-3AE485BEE3EE}"/>
            </a:ext>
          </a:extLst>
        </xdr:cNvPr>
        <xdr:cNvSpPr/>
      </xdr:nvSpPr>
      <xdr:spPr>
        <a:xfrm>
          <a:off x="1" y="1217448"/>
          <a:ext cx="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B2C5B66-F7E2-4187-B670-BF121381989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939624</xdr:colOff>
      <xdr:row>0</xdr:row>
      <xdr:rowOff>1217448</xdr:rowOff>
    </xdr:from>
    <xdr:to>
      <xdr:col>1</xdr:col>
      <xdr:colOff>1999992</xdr:colOff>
      <xdr:row>0</xdr:row>
      <xdr:rowOff>1491768</xdr:rowOff>
    </xdr:to>
    <xdr:sp macro="" textlink="#REF!">
      <xdr:nvSpPr>
        <xdr:cNvPr id="45" name="Rectangle 44">
          <a:hlinkClick xmlns:r="http://schemas.openxmlformats.org/officeDocument/2006/relationships" r:id="rId10"/>
          <a:extLst>
            <a:ext uri="{FF2B5EF4-FFF2-40B4-BE49-F238E27FC236}">
              <a16:creationId xmlns:a16="http://schemas.microsoft.com/office/drawing/2014/main" id="{2A02FF6B-98AB-4E3A-B222-5B6CB525AEB1}"/>
            </a:ext>
          </a:extLst>
        </xdr:cNvPr>
        <xdr:cNvSpPr/>
      </xdr:nvSpPr>
      <xdr:spPr>
        <a:xfrm>
          <a:off x="1377774" y="1217448"/>
          <a:ext cx="106036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A79F7F-4ADB-4ABC-9292-0F2B92307410}" type="TxLink">
            <a:rPr lang="en-US" altLang="zh-TW" sz="1200" b="0" i="0" u="none" strike="noStrike">
              <a:solidFill>
                <a:schemeClr val="bg1"/>
              </a:solidFill>
              <a:latin typeface="Calibri" panose="020F0502020204030204" pitchFamily="34" charset="0"/>
              <a:cs typeface="Calibri" panose="020F0502020204030204" pitchFamily="34" charset="0"/>
            </a:rPr>
            <a:pPr algn="ctr"/>
            <a:t>ITP_EXC_LSC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1999992</xdr:colOff>
      <xdr:row>0</xdr:row>
      <xdr:rowOff>1217448</xdr:rowOff>
    </xdr:from>
    <xdr:to>
      <xdr:col>2</xdr:col>
      <xdr:colOff>1086272</xdr:colOff>
      <xdr:row>0</xdr:row>
      <xdr:rowOff>1491768</xdr:rowOff>
    </xdr:to>
    <xdr:sp macro="" textlink="#REF!">
      <xdr:nvSpPr>
        <xdr:cNvPr id="46" name="Rectangle 45">
          <a:hlinkClick xmlns:r="http://schemas.openxmlformats.org/officeDocument/2006/relationships" r:id="rId11"/>
          <a:extLst>
            <a:ext uri="{FF2B5EF4-FFF2-40B4-BE49-F238E27FC236}">
              <a16:creationId xmlns:a16="http://schemas.microsoft.com/office/drawing/2014/main" id="{72493709-EEFB-4C53-B82E-2DF13745D5C9}"/>
            </a:ext>
          </a:extLst>
        </xdr:cNvPr>
        <xdr:cNvSpPr/>
      </xdr:nvSpPr>
      <xdr:spPr>
        <a:xfrm>
          <a:off x="2438142" y="1217448"/>
          <a:ext cx="138180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DAB4F40-9E56-424D-9D25-023E38A6DFEF}" type="TxLink">
            <a:rPr lang="en-US" altLang="zh-TW" sz="1200" b="0" i="0" u="none" strike="noStrike">
              <a:solidFill>
                <a:schemeClr val="bg1"/>
              </a:solidFill>
              <a:latin typeface="Calibri" panose="020F0502020204030204" pitchFamily="34" charset="0"/>
              <a:cs typeface="Calibri" panose="020F0502020204030204" pitchFamily="34" charset="0"/>
            </a:rPr>
            <a:pPr algn="ctr"/>
            <a:t>ITP_Cable_TNI_S7</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1082753</xdr:colOff>
      <xdr:row>0</xdr:row>
      <xdr:rowOff>1217448</xdr:rowOff>
    </xdr:from>
    <xdr:to>
      <xdr:col>2</xdr:col>
      <xdr:colOff>2450101</xdr:colOff>
      <xdr:row>0</xdr:row>
      <xdr:rowOff>1491768</xdr:rowOff>
    </xdr:to>
    <xdr:sp macro="" textlink="#REF!">
      <xdr:nvSpPr>
        <xdr:cNvPr id="47" name="Rectangle 46">
          <a:hlinkClick xmlns:r="http://schemas.openxmlformats.org/officeDocument/2006/relationships" r:id="rId12"/>
          <a:extLst>
            <a:ext uri="{FF2B5EF4-FFF2-40B4-BE49-F238E27FC236}">
              <a16:creationId xmlns:a16="http://schemas.microsoft.com/office/drawing/2014/main" id="{324F848A-2121-4CC8-91F7-0AEEE567EFAC}"/>
            </a:ext>
          </a:extLst>
        </xdr:cNvPr>
        <xdr:cNvSpPr/>
      </xdr:nvSpPr>
      <xdr:spPr>
        <a:xfrm>
          <a:off x="3816428" y="1217448"/>
          <a:ext cx="136734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A6692E6-56B3-4FA0-B035-A27BEF5E821D}" type="TxLink">
            <a:rPr lang="en-US" sz="1200" b="0" i="0" u="none" strike="noStrike">
              <a:solidFill>
                <a:schemeClr val="bg1"/>
              </a:solidFill>
              <a:latin typeface="Calibri" panose="020F0502020204030204" pitchFamily="34" charset="0"/>
              <a:cs typeface="Calibri" panose="020F0502020204030204" pitchFamily="34" charset="0"/>
            </a:rPr>
            <a:pPr algn="ctr"/>
            <a:t>ITP_ONS_TECO</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5011080</xdr:colOff>
      <xdr:row>0</xdr:row>
      <xdr:rowOff>0</xdr:rowOff>
    </xdr:from>
    <xdr:to>
      <xdr:col>4</xdr:col>
      <xdr:colOff>415947</xdr:colOff>
      <xdr:row>0</xdr:row>
      <xdr:rowOff>274320</xdr:rowOff>
    </xdr:to>
    <xdr:sp macro="" textlink="#REF!">
      <xdr:nvSpPr>
        <xdr:cNvPr id="48" name="Rectangle 47">
          <a:hlinkClick xmlns:r="http://schemas.openxmlformats.org/officeDocument/2006/relationships" r:id="rId13"/>
          <a:extLst>
            <a:ext uri="{FF2B5EF4-FFF2-40B4-BE49-F238E27FC236}">
              <a16:creationId xmlns:a16="http://schemas.microsoft.com/office/drawing/2014/main" id="{E6BD25BD-DDB7-47C5-B97A-1D57B7CD5339}"/>
            </a:ext>
          </a:extLst>
        </xdr:cNvPr>
        <xdr:cNvSpPr/>
      </xdr:nvSpPr>
      <xdr:spPr>
        <a:xfrm>
          <a:off x="7744755" y="0"/>
          <a:ext cx="137704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ED4B2CE-3865-4169-8EDE-4E9A4AD0300C}" type="TxLink">
            <a:rPr lang="en-US" sz="1200" b="0" i="0" u="none" strike="noStrike">
              <a:solidFill>
                <a:schemeClr val="bg1"/>
              </a:solidFill>
              <a:latin typeface="Calibri" panose="020F0502020204030204" pitchFamily="34" charset="0"/>
              <a:cs typeface="Calibri" panose="020F0502020204030204" pitchFamily="34" charset="0"/>
            </a:rPr>
            <a:pPr algn="ctr"/>
            <a:t>OBS_Summary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2444339</xdr:colOff>
      <xdr:row>0</xdr:row>
      <xdr:rowOff>1217448</xdr:rowOff>
    </xdr:from>
    <xdr:to>
      <xdr:col>2</xdr:col>
      <xdr:colOff>3364183</xdr:colOff>
      <xdr:row>0</xdr:row>
      <xdr:rowOff>1491768</xdr:rowOff>
    </xdr:to>
    <xdr:sp macro="" textlink="#REF!">
      <xdr:nvSpPr>
        <xdr:cNvPr id="49" name="Rectangle 48">
          <a:hlinkClick xmlns:r="http://schemas.openxmlformats.org/officeDocument/2006/relationships" r:id="rId14"/>
          <a:extLst>
            <a:ext uri="{FF2B5EF4-FFF2-40B4-BE49-F238E27FC236}">
              <a16:creationId xmlns:a16="http://schemas.microsoft.com/office/drawing/2014/main" id="{C607D998-10F5-4EE3-A862-9B2D1563785F}"/>
            </a:ext>
          </a:extLst>
        </xdr:cNvPr>
        <xdr:cNvSpPr/>
      </xdr:nvSpPr>
      <xdr:spPr>
        <a:xfrm>
          <a:off x="5178014" y="1217448"/>
          <a:ext cx="9198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B7B64F5-264F-4267-A451-4ADD194C012B}" type="TxLink">
            <a:rPr lang="en-US" sz="1200" b="0" i="0" u="none" strike="noStrike">
              <a:solidFill>
                <a:schemeClr val="bg1"/>
              </a:solidFill>
              <a:latin typeface="Calibri" panose="020F0502020204030204" pitchFamily="34" charset="0"/>
              <a:cs typeface="Calibri" panose="020F0502020204030204" pitchFamily="34" charset="0"/>
            </a:rPr>
            <a:pPr algn="ctr"/>
            <a:t>ITP_CDWE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3356972</xdr:colOff>
      <xdr:row>0</xdr:row>
      <xdr:rowOff>1217448</xdr:rowOff>
    </xdr:from>
    <xdr:to>
      <xdr:col>2</xdr:col>
      <xdr:colOff>4728572</xdr:colOff>
      <xdr:row>0</xdr:row>
      <xdr:rowOff>1491768</xdr:rowOff>
    </xdr:to>
    <xdr:sp macro="" textlink="#REF!">
      <xdr:nvSpPr>
        <xdr:cNvPr id="50" name="Rectangle 49">
          <a:hlinkClick xmlns:r="http://schemas.openxmlformats.org/officeDocument/2006/relationships" r:id="rId15"/>
          <a:extLst>
            <a:ext uri="{FF2B5EF4-FFF2-40B4-BE49-F238E27FC236}">
              <a16:creationId xmlns:a16="http://schemas.microsoft.com/office/drawing/2014/main" id="{7EDBC23E-74D1-47C6-B289-D223056EA244}"/>
            </a:ext>
          </a:extLst>
        </xdr:cNvPr>
        <xdr:cNvSpPr/>
      </xdr:nvSpPr>
      <xdr:spPr>
        <a:xfrm>
          <a:off x="6090647" y="1217448"/>
          <a:ext cx="13716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4BD5D57-9335-47BB-B5C1-827C5BAA4DE8}" type="TxLink">
            <a:rPr lang="en-US" sz="1200" b="0" i="0" u="none" strike="noStrike">
              <a:solidFill>
                <a:schemeClr val="bg1"/>
              </a:solidFill>
              <a:latin typeface="Calibri" panose="020F0502020204030204" pitchFamily="34" charset="0"/>
              <a:cs typeface="Calibri" panose="020F0502020204030204" pitchFamily="34" charset="0"/>
            </a:rPr>
            <a:pPr algn="ctr"/>
            <a:t>ITP_OSS_SMPTSC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277488</xdr:rowOff>
    </xdr:from>
    <xdr:to>
      <xdr:col>1</xdr:col>
      <xdr:colOff>53336</xdr:colOff>
      <xdr:row>0</xdr:row>
      <xdr:rowOff>551808</xdr:rowOff>
    </xdr:to>
    <xdr:sp macro="" textlink="#REF!">
      <xdr:nvSpPr>
        <xdr:cNvPr id="51" name="Rectangle 50">
          <a:hlinkClick xmlns:r="http://schemas.openxmlformats.org/officeDocument/2006/relationships" r:id="rId16"/>
          <a:extLst>
            <a:ext uri="{FF2B5EF4-FFF2-40B4-BE49-F238E27FC236}">
              <a16:creationId xmlns:a16="http://schemas.microsoft.com/office/drawing/2014/main" id="{E6E06708-CB81-4678-81FF-9ACF602B4251}"/>
            </a:ext>
          </a:extLst>
        </xdr:cNvPr>
        <xdr:cNvSpPr/>
      </xdr:nvSpPr>
      <xdr:spPr>
        <a:xfrm>
          <a:off x="1" y="277488"/>
          <a:ext cx="49148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76DB0D7-CA15-4C84-BEF1-B2FE174253A5}" type="TxLink">
            <a:rPr lang="en-US" sz="1200" b="0" i="0" u="none" strike="noStrike">
              <a:solidFill>
                <a:schemeClr val="bg1"/>
              </a:solidFill>
              <a:latin typeface="Calibri" panose="020F0502020204030204" pitchFamily="34" charset="0"/>
              <a:cs typeface="Calibri" panose="020F0502020204030204" pitchFamily="34" charset="0"/>
            </a:rPr>
            <a:pPr algn="ctr"/>
            <a:t>PQP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37106</xdr:colOff>
      <xdr:row>0</xdr:row>
      <xdr:rowOff>277488</xdr:rowOff>
    </xdr:from>
    <xdr:to>
      <xdr:col>1</xdr:col>
      <xdr:colOff>1417890</xdr:colOff>
      <xdr:row>0</xdr:row>
      <xdr:rowOff>551808</xdr:rowOff>
    </xdr:to>
    <xdr:sp macro="" textlink="#REF!">
      <xdr:nvSpPr>
        <xdr:cNvPr id="52" name="Rectangle 51">
          <a:hlinkClick xmlns:r="http://schemas.openxmlformats.org/officeDocument/2006/relationships" r:id="rId17"/>
          <a:extLst>
            <a:ext uri="{FF2B5EF4-FFF2-40B4-BE49-F238E27FC236}">
              <a16:creationId xmlns:a16="http://schemas.microsoft.com/office/drawing/2014/main" id="{23A700D2-C57F-41B6-B039-267343EC300F}"/>
            </a:ext>
          </a:extLst>
        </xdr:cNvPr>
        <xdr:cNvSpPr/>
      </xdr:nvSpPr>
      <xdr:spPr>
        <a:xfrm>
          <a:off x="475256" y="277488"/>
          <a:ext cx="138078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B67B7DE-3A73-4724-AD40-6EFDCB186502}" type="TxLink">
            <a:rPr lang="en-US" sz="1200" b="0" i="0" u="none" strike="noStrike">
              <a:solidFill>
                <a:schemeClr val="bg1"/>
              </a:solidFill>
              <a:latin typeface="Calibri" panose="020F0502020204030204" pitchFamily="34" charset="0"/>
              <a:cs typeface="Calibri" panose="020F0502020204030204" pitchFamily="34" charset="0"/>
            </a:rPr>
            <a:pPr algn="ctr"/>
            <a:t>NCR_Summary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1416983</xdr:colOff>
      <xdr:row>0</xdr:row>
      <xdr:rowOff>277488</xdr:rowOff>
    </xdr:from>
    <xdr:to>
      <xdr:col>2</xdr:col>
      <xdr:colOff>36199</xdr:colOff>
      <xdr:row>0</xdr:row>
      <xdr:rowOff>551808</xdr:rowOff>
    </xdr:to>
    <xdr:sp macro="" textlink="#REF!">
      <xdr:nvSpPr>
        <xdr:cNvPr id="53" name="Rectangle 52">
          <a:hlinkClick xmlns:r="http://schemas.openxmlformats.org/officeDocument/2006/relationships" r:id="rId18"/>
          <a:extLst>
            <a:ext uri="{FF2B5EF4-FFF2-40B4-BE49-F238E27FC236}">
              <a16:creationId xmlns:a16="http://schemas.microsoft.com/office/drawing/2014/main" id="{4E575913-9DCF-4695-A4E7-5E829C80CA3E}"/>
            </a:ext>
          </a:extLst>
        </xdr:cNvPr>
        <xdr:cNvSpPr/>
      </xdr:nvSpPr>
      <xdr:spPr>
        <a:xfrm>
          <a:off x="1855133" y="277488"/>
          <a:ext cx="91474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DF90472-98E3-4CD3-93C5-712192C887E4}" type="TxLink">
            <a:rPr lang="en-US" sz="1200" b="0" i="0" u="none" strike="noStrike">
              <a:solidFill>
                <a:schemeClr val="bg1"/>
              </a:solidFill>
              <a:latin typeface="Calibri" panose="020F0502020204030204" pitchFamily="34" charset="0"/>
              <a:cs typeface="Calibri" panose="020F0502020204030204" pitchFamily="34" charset="0"/>
            </a:rPr>
            <a:pPr algn="ctr"/>
            <a:t>NCR_Pivot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33305</xdr:colOff>
      <xdr:row>0</xdr:row>
      <xdr:rowOff>277488</xdr:rowOff>
    </xdr:from>
    <xdr:to>
      <xdr:col>2</xdr:col>
      <xdr:colOff>1249772</xdr:colOff>
      <xdr:row>0</xdr:row>
      <xdr:rowOff>551808</xdr:rowOff>
    </xdr:to>
    <xdr:sp macro="" textlink="#REF!">
      <xdr:nvSpPr>
        <xdr:cNvPr id="54" name="Rectangle 53">
          <a:hlinkClick xmlns:r="http://schemas.openxmlformats.org/officeDocument/2006/relationships" r:id="rId13"/>
          <a:extLst>
            <a:ext uri="{FF2B5EF4-FFF2-40B4-BE49-F238E27FC236}">
              <a16:creationId xmlns:a16="http://schemas.microsoft.com/office/drawing/2014/main" id="{D8A7DB1D-DEF7-44DE-9C8C-4CEBB84F02AF}"/>
            </a:ext>
          </a:extLst>
        </xdr:cNvPr>
        <xdr:cNvSpPr/>
      </xdr:nvSpPr>
      <xdr:spPr>
        <a:xfrm>
          <a:off x="2766980" y="277488"/>
          <a:ext cx="121646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1C13F6A-2AE7-4D10-B8FE-F91861D7E1CA}" type="TxLink">
            <a:rPr lang="en-US" sz="1200" b="0" i="0" u="none" strike="noStrike">
              <a:solidFill>
                <a:schemeClr val="bg1"/>
              </a:solidFill>
              <a:latin typeface="Calibri" panose="020F0502020204030204" pitchFamily="34" charset="0"/>
              <a:cs typeface="Calibri" panose="020F0502020204030204" pitchFamily="34" charset="0"/>
            </a:rPr>
            <a:pPr algn="ctr"/>
            <a:t>OBS_Pivot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1242968</xdr:colOff>
      <xdr:row>0</xdr:row>
      <xdr:rowOff>277488</xdr:rowOff>
    </xdr:from>
    <xdr:to>
      <xdr:col>2</xdr:col>
      <xdr:colOff>2146482</xdr:colOff>
      <xdr:row>0</xdr:row>
      <xdr:rowOff>551808</xdr:rowOff>
    </xdr:to>
    <xdr:sp macro="" textlink="#REF!">
      <xdr:nvSpPr>
        <xdr:cNvPr id="55" name="Rectangle 54">
          <a:hlinkClick xmlns:r="http://schemas.openxmlformats.org/officeDocument/2006/relationships" r:id="rId19"/>
          <a:extLst>
            <a:ext uri="{FF2B5EF4-FFF2-40B4-BE49-F238E27FC236}">
              <a16:creationId xmlns:a16="http://schemas.microsoft.com/office/drawing/2014/main" id="{766B48C7-81DE-4886-80E5-25612EFB3450}"/>
            </a:ext>
          </a:extLst>
        </xdr:cNvPr>
        <xdr:cNvSpPr/>
      </xdr:nvSpPr>
      <xdr:spPr>
        <a:xfrm>
          <a:off x="3976643" y="277488"/>
          <a:ext cx="90351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42A3ED4-1362-4FEE-889B-CEFC97F9EB4C}" type="TxLink">
            <a:rPr lang="en-US" altLang="zh-TW" sz="1200" b="0" i="0" u="none" strike="noStrike">
              <a:solidFill>
                <a:schemeClr val="bg1"/>
              </a:solidFill>
              <a:latin typeface="Calibri" panose="020F0502020204030204" pitchFamily="34" charset="0"/>
              <a:cs typeface="Calibri" panose="020F0502020204030204" pitchFamily="34" charset="0"/>
            </a:rPr>
            <a:pPr algn="ctr"/>
            <a:t>Database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2146484</xdr:colOff>
      <xdr:row>0</xdr:row>
      <xdr:rowOff>277488</xdr:rowOff>
    </xdr:from>
    <xdr:to>
      <xdr:col>2</xdr:col>
      <xdr:colOff>3157767</xdr:colOff>
      <xdr:row>0</xdr:row>
      <xdr:rowOff>551808</xdr:rowOff>
    </xdr:to>
    <xdr:sp macro="" textlink="#REF!">
      <xdr:nvSpPr>
        <xdr:cNvPr id="56" name="Rectangle 55">
          <a:hlinkClick xmlns:r="http://schemas.openxmlformats.org/officeDocument/2006/relationships" r:id="rId20"/>
          <a:extLst>
            <a:ext uri="{FF2B5EF4-FFF2-40B4-BE49-F238E27FC236}">
              <a16:creationId xmlns:a16="http://schemas.microsoft.com/office/drawing/2014/main" id="{4B7A6C4E-9F6D-48A3-8F92-0A99082F2CFE}"/>
            </a:ext>
          </a:extLst>
        </xdr:cNvPr>
        <xdr:cNvSpPr/>
      </xdr:nvSpPr>
      <xdr:spPr>
        <a:xfrm>
          <a:off x="4880159" y="277488"/>
          <a:ext cx="10112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A518611-076D-45B5-BAAD-2BD8D5A103C9}" type="TxLink">
            <a:rPr lang="en-US" sz="1200" b="0" i="0" u="none" strike="noStrike">
              <a:solidFill>
                <a:schemeClr val="bg1"/>
              </a:solidFill>
              <a:latin typeface="Calibri" panose="020F0502020204030204" pitchFamily="34" charset="0"/>
              <a:cs typeface="Calibri" panose="020F0502020204030204" pitchFamily="34" charset="0"/>
            </a:rPr>
            <a:pPr algn="ctr"/>
            <a:t>NOI_Tracker</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3158855</xdr:colOff>
      <xdr:row>0</xdr:row>
      <xdr:rowOff>277488</xdr:rowOff>
    </xdr:from>
    <xdr:to>
      <xdr:col>2</xdr:col>
      <xdr:colOff>4075976</xdr:colOff>
      <xdr:row>0</xdr:row>
      <xdr:rowOff>551808</xdr:rowOff>
    </xdr:to>
    <xdr:sp macro="" textlink="#REF!">
      <xdr:nvSpPr>
        <xdr:cNvPr id="57" name="Rectangle 56">
          <a:hlinkClick xmlns:r="http://schemas.openxmlformats.org/officeDocument/2006/relationships" r:id="rId21"/>
          <a:extLst>
            <a:ext uri="{FF2B5EF4-FFF2-40B4-BE49-F238E27FC236}">
              <a16:creationId xmlns:a16="http://schemas.microsoft.com/office/drawing/2014/main" id="{53FCEE10-C278-4424-9302-68D514E2FB61}"/>
            </a:ext>
          </a:extLst>
        </xdr:cNvPr>
        <xdr:cNvSpPr/>
      </xdr:nvSpPr>
      <xdr:spPr>
        <a:xfrm>
          <a:off x="5892530" y="277488"/>
          <a:ext cx="91712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B07602-FD62-4EAF-B169-6BFDF1E5093F}" type="TxLink">
            <a:rPr lang="en-US" sz="1200" b="0" i="0" u="none" strike="noStrike">
              <a:solidFill>
                <a:schemeClr val="bg1"/>
              </a:solidFill>
              <a:latin typeface="Calibri" panose="020F0502020204030204" pitchFamily="34" charset="0"/>
              <a:cs typeface="Calibri" panose="020F0502020204030204" pitchFamily="34" charset="0"/>
            </a:rPr>
            <a:pPr algn="ctr"/>
            <a:t>NOI_Pivot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4073656</xdr:colOff>
      <xdr:row>0</xdr:row>
      <xdr:rowOff>277488</xdr:rowOff>
    </xdr:from>
    <xdr:to>
      <xdr:col>2</xdr:col>
      <xdr:colOff>5262376</xdr:colOff>
      <xdr:row>0</xdr:row>
      <xdr:rowOff>551808</xdr:rowOff>
    </xdr:to>
    <xdr:sp macro="" textlink="#REF!">
      <xdr:nvSpPr>
        <xdr:cNvPr id="58" name="Rectangle 57">
          <a:hlinkClick xmlns:r="http://schemas.openxmlformats.org/officeDocument/2006/relationships" r:id="rId22"/>
          <a:extLst>
            <a:ext uri="{FF2B5EF4-FFF2-40B4-BE49-F238E27FC236}">
              <a16:creationId xmlns:a16="http://schemas.microsoft.com/office/drawing/2014/main" id="{0B6F9524-1139-43DF-8221-78B544A72E64}"/>
            </a:ext>
          </a:extLst>
        </xdr:cNvPr>
        <xdr:cNvSpPr/>
      </xdr:nvSpPr>
      <xdr:spPr>
        <a:xfrm>
          <a:off x="6807331" y="277488"/>
          <a:ext cx="118872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E02AD9C-7FF4-4980-9A1F-06071A75B120}"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0</xdr:colOff>
      <xdr:row>0</xdr:row>
      <xdr:rowOff>1492278</xdr:rowOff>
    </xdr:from>
    <xdr:to>
      <xdr:col>1</xdr:col>
      <xdr:colOff>1404597</xdr:colOff>
      <xdr:row>0</xdr:row>
      <xdr:rowOff>1766598</xdr:rowOff>
    </xdr:to>
    <xdr:sp macro="" textlink="#REF!">
      <xdr:nvSpPr>
        <xdr:cNvPr id="59" name="Rectangle 58">
          <a:hlinkClick xmlns:r="http://schemas.openxmlformats.org/officeDocument/2006/relationships" r:id="rId23"/>
          <a:extLst>
            <a:ext uri="{FF2B5EF4-FFF2-40B4-BE49-F238E27FC236}">
              <a16:creationId xmlns:a16="http://schemas.microsoft.com/office/drawing/2014/main" id="{78C1AC30-CE9C-427A-AA3E-D181FF01B8D6}"/>
            </a:ext>
          </a:extLst>
        </xdr:cNvPr>
        <xdr:cNvSpPr/>
      </xdr:nvSpPr>
      <xdr:spPr>
        <a:xfrm>
          <a:off x="0" y="1492278"/>
          <a:ext cx="18427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446E702-EE70-4546-8C7E-382A6D1B064A}" type="TxLink">
            <a:rPr lang="en-US" sz="1200" b="0" i="0" u="none" strike="noStrike">
              <a:solidFill>
                <a:schemeClr val="bg1"/>
              </a:solidFill>
              <a:latin typeface="Calibri" panose="020F0502020204030204" pitchFamily="34" charset="0"/>
              <a:cs typeface="Calibri" panose="020F0502020204030204" pitchFamily="34" charset="0"/>
            </a:rPr>
            <a:pPr algn="ctr"/>
            <a:t>ITP_FOU_JKT_LOC_CWP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1321667</xdr:colOff>
      <xdr:row>0</xdr:row>
      <xdr:rowOff>1492278</xdr:rowOff>
    </xdr:from>
    <xdr:to>
      <xdr:col>2</xdr:col>
      <xdr:colOff>1053130</xdr:colOff>
      <xdr:row>0</xdr:row>
      <xdr:rowOff>1766598</xdr:rowOff>
    </xdr:to>
    <xdr:sp macro="" textlink="#REF!">
      <xdr:nvSpPr>
        <xdr:cNvPr id="60" name="Rectangle 59">
          <a:hlinkClick xmlns:r="http://schemas.openxmlformats.org/officeDocument/2006/relationships" r:id="rId24"/>
          <a:extLst>
            <a:ext uri="{FF2B5EF4-FFF2-40B4-BE49-F238E27FC236}">
              <a16:creationId xmlns:a16="http://schemas.microsoft.com/office/drawing/2014/main" id="{504B68C2-8425-47B0-8E2C-076BDD63CBF9}"/>
            </a:ext>
          </a:extLst>
        </xdr:cNvPr>
        <xdr:cNvSpPr/>
      </xdr:nvSpPr>
      <xdr:spPr>
        <a:xfrm>
          <a:off x="1759817" y="1492278"/>
          <a:ext cx="202698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EFA0B59-9336-4CB7-B37C-024F5B6F5E65}"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ITP_FOU_Pin_Pile_INT_EEW</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1049058</xdr:colOff>
      <xdr:row>0</xdr:row>
      <xdr:rowOff>1492278</xdr:rowOff>
    </xdr:from>
    <xdr:to>
      <xdr:col>2</xdr:col>
      <xdr:colOff>2778253</xdr:colOff>
      <xdr:row>0</xdr:row>
      <xdr:rowOff>1766598</xdr:rowOff>
    </xdr:to>
    <xdr:sp macro="" textlink="#REF!">
      <xdr:nvSpPr>
        <xdr:cNvPr id="61" name="Rectangle 60">
          <a:hlinkClick xmlns:r="http://schemas.openxmlformats.org/officeDocument/2006/relationships" r:id="rId25"/>
          <a:extLst>
            <a:ext uri="{FF2B5EF4-FFF2-40B4-BE49-F238E27FC236}">
              <a16:creationId xmlns:a16="http://schemas.microsoft.com/office/drawing/2014/main" id="{98D9B496-9BD9-4054-BC3E-00EE70AF0F75}"/>
            </a:ext>
          </a:extLst>
        </xdr:cNvPr>
        <xdr:cNvSpPr/>
      </xdr:nvSpPr>
      <xdr:spPr>
        <a:xfrm>
          <a:off x="3782733" y="1492278"/>
          <a:ext cx="172919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A4FDC92-BC37-46C0-8867-999F815AE370}" type="TxLink">
            <a:rPr lang="en-US" sz="1200" b="0" i="0" u="none" strike="noStrike">
              <a:solidFill>
                <a:schemeClr val="bg1"/>
              </a:solidFill>
              <a:latin typeface="Calibri" panose="020F0502020204030204" pitchFamily="34" charset="0"/>
              <a:cs typeface="Calibri" panose="020F0502020204030204" pitchFamily="34" charset="0"/>
            </a:rPr>
            <a:pPr algn="ctr"/>
            <a:t>ITP_FOU_JKT_INT_SKOP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2762882</xdr:colOff>
      <xdr:row>0</xdr:row>
      <xdr:rowOff>1492278</xdr:rowOff>
    </xdr:from>
    <xdr:to>
      <xdr:col>2</xdr:col>
      <xdr:colOff>4421729</xdr:colOff>
      <xdr:row>0</xdr:row>
      <xdr:rowOff>1766598</xdr:rowOff>
    </xdr:to>
    <xdr:sp macro="" textlink="#REF!">
      <xdr:nvSpPr>
        <xdr:cNvPr id="62" name="Rectangle 61">
          <a:hlinkClick xmlns:r="http://schemas.openxmlformats.org/officeDocument/2006/relationships" r:id="rId26"/>
          <a:extLst>
            <a:ext uri="{FF2B5EF4-FFF2-40B4-BE49-F238E27FC236}">
              <a16:creationId xmlns:a16="http://schemas.microsoft.com/office/drawing/2014/main" id="{203C988B-F856-49D0-A60B-21E78D802465}"/>
            </a:ext>
          </a:extLst>
        </xdr:cNvPr>
        <xdr:cNvSpPr/>
      </xdr:nvSpPr>
      <xdr:spPr>
        <a:xfrm>
          <a:off x="5496557" y="1492278"/>
          <a:ext cx="16588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ITP_TNI_JPG_SUP_IQIP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4414610</xdr:colOff>
      <xdr:row>0</xdr:row>
      <xdr:rowOff>1492278</xdr:rowOff>
    </xdr:from>
    <xdr:to>
      <xdr:col>4</xdr:col>
      <xdr:colOff>2018</xdr:colOff>
      <xdr:row>0</xdr:row>
      <xdr:rowOff>1766598</xdr:rowOff>
    </xdr:to>
    <xdr:sp macro="" textlink="#REF!">
      <xdr:nvSpPr>
        <xdr:cNvPr id="63" name="Rectangle 62">
          <a:hlinkClick xmlns:r="http://schemas.openxmlformats.org/officeDocument/2006/relationships" r:id="rId27"/>
          <a:extLst>
            <a:ext uri="{FF2B5EF4-FFF2-40B4-BE49-F238E27FC236}">
              <a16:creationId xmlns:a16="http://schemas.microsoft.com/office/drawing/2014/main" id="{AD46B605-DD7E-41B4-AE31-5C80C36557B0}"/>
            </a:ext>
          </a:extLst>
        </xdr:cNvPr>
        <xdr:cNvSpPr/>
      </xdr:nvSpPr>
      <xdr:spPr>
        <a:xfrm>
          <a:off x="7148285" y="1492278"/>
          <a:ext cx="15595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E6494932-2600-44D8-BC73-4BB21D4D3E92}" type="TxLink">
            <a:rPr lang="en-US" sz="1200" b="0" i="0" u="none" strike="noStrike">
              <a:solidFill>
                <a:schemeClr val="bg1"/>
              </a:solidFill>
              <a:latin typeface="Calibri" panose="020F0502020204030204" pitchFamily="34" charset="0"/>
              <a:cs typeface="Calibri" panose="020F0502020204030204" pitchFamily="34" charset="0"/>
            </a:rPr>
            <a:pPr algn="ctr"/>
            <a:t>ITP_WTG_SUP_SGRE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4731293</xdr:colOff>
      <xdr:row>0</xdr:row>
      <xdr:rowOff>1217448</xdr:rowOff>
    </xdr:from>
    <xdr:to>
      <xdr:col>4</xdr:col>
      <xdr:colOff>788487</xdr:colOff>
      <xdr:row>0</xdr:row>
      <xdr:rowOff>1491768</xdr:rowOff>
    </xdr:to>
    <xdr:sp macro="" textlink="#REF!">
      <xdr:nvSpPr>
        <xdr:cNvPr id="64" name="Rectangle 63">
          <a:hlinkClick xmlns:r="http://schemas.openxmlformats.org/officeDocument/2006/relationships" r:id="rId28"/>
          <a:extLst>
            <a:ext uri="{FF2B5EF4-FFF2-40B4-BE49-F238E27FC236}">
              <a16:creationId xmlns:a16="http://schemas.microsoft.com/office/drawing/2014/main" id="{FB3DD22F-4483-4103-A628-15E1B89C352A}"/>
            </a:ext>
          </a:extLst>
        </xdr:cNvPr>
        <xdr:cNvSpPr/>
      </xdr:nvSpPr>
      <xdr:spPr>
        <a:xfrm>
          <a:off x="7464968" y="1217448"/>
          <a:ext cx="202936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E8B9871-F308-4CC9-B597-6A76D72B2574}"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ITP_FOU_Pin_Pile_LOC_CSBC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3</xdr:col>
      <xdr:colOff>552450</xdr:colOff>
      <xdr:row>2</xdr:row>
      <xdr:rowOff>28575</xdr:rowOff>
    </xdr:from>
    <xdr:to>
      <xdr:col>5</xdr:col>
      <xdr:colOff>47625</xdr:colOff>
      <xdr:row>8</xdr:row>
      <xdr:rowOff>0</xdr:rowOff>
    </xdr:to>
    <xdr:sp macro="" textlink="">
      <xdr:nvSpPr>
        <xdr:cNvPr id="2" name="Rectangle 1">
          <a:extLst>
            <a:ext uri="{FF2B5EF4-FFF2-40B4-BE49-F238E27FC236}">
              <a16:creationId xmlns:a16="http://schemas.microsoft.com/office/drawing/2014/main" id="{B81F8FF7-9A63-4EF7-A389-A0E6CDC70432}"/>
            </a:ext>
          </a:extLst>
        </xdr:cNvPr>
        <xdr:cNvSpPr/>
      </xdr:nvSpPr>
      <xdr:spPr>
        <a:xfrm>
          <a:off x="8667750" y="419100"/>
          <a:ext cx="876300" cy="1771650"/>
        </a:xfrm>
        <a:prstGeom prst="rect">
          <a:avLst/>
        </a:prstGeom>
        <a:solidFill>
          <a:srgbClr val="FFFFFF">
            <a:alpha val="0"/>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5</xdr:col>
      <xdr:colOff>109034</xdr:colOff>
      <xdr:row>0</xdr:row>
      <xdr:rowOff>1962978</xdr:rowOff>
    </xdr:to>
    <xdr:sp macro="" textlink="">
      <xdr:nvSpPr>
        <xdr:cNvPr id="66" name="Rectangle 65">
          <a:extLst>
            <a:ext uri="{FF2B5EF4-FFF2-40B4-BE49-F238E27FC236}">
              <a16:creationId xmlns:a16="http://schemas.microsoft.com/office/drawing/2014/main" id="{2942C788-4B3D-4514-98A9-0B454A7FAF06}"/>
            </a:ext>
          </a:extLst>
        </xdr:cNvPr>
        <xdr:cNvSpPr/>
      </xdr:nvSpPr>
      <xdr:spPr>
        <a:xfrm>
          <a:off x="0" y="0"/>
          <a:ext cx="9605459" cy="1962978"/>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xdr:colOff>
      <xdr:row>0</xdr:row>
      <xdr:rowOff>0</xdr:rowOff>
    </xdr:from>
    <xdr:to>
      <xdr:col>1</xdr:col>
      <xdr:colOff>483054</xdr:colOff>
      <xdr:row>0</xdr:row>
      <xdr:rowOff>274320</xdr:rowOff>
    </xdr:to>
    <xdr:sp macro="" textlink="#REF!">
      <xdr:nvSpPr>
        <xdr:cNvPr id="67" name="Rectangle 66">
          <a:hlinkClick xmlns:r="http://schemas.openxmlformats.org/officeDocument/2006/relationships" r:id="rId1"/>
          <a:extLst>
            <a:ext uri="{FF2B5EF4-FFF2-40B4-BE49-F238E27FC236}">
              <a16:creationId xmlns:a16="http://schemas.microsoft.com/office/drawing/2014/main" id="{8BBB4A7C-DEA2-4AF9-991A-52AC4D957A39}"/>
            </a:ext>
          </a:extLst>
        </xdr:cNvPr>
        <xdr:cNvSpPr/>
      </xdr:nvSpPr>
      <xdr:spPr>
        <a:xfrm>
          <a:off x="1" y="0"/>
          <a:ext cx="92120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E807C48-9A2D-4E17-A778-6100078C4936}" type="TxLink">
            <a:rPr lang="en-US" sz="1200" b="0" i="0" u="sng" strike="noStrike">
              <a:solidFill>
                <a:schemeClr val="bg1"/>
              </a:solidFill>
              <a:latin typeface="Calibri"/>
              <a:cs typeface="Calibri"/>
            </a:rPr>
            <a:pPr algn="ctr"/>
            <a:t>Menu</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479227</xdr:colOff>
      <xdr:row>0</xdr:row>
      <xdr:rowOff>0</xdr:rowOff>
    </xdr:from>
    <xdr:to>
      <xdr:col>1</xdr:col>
      <xdr:colOff>1393627</xdr:colOff>
      <xdr:row>0</xdr:row>
      <xdr:rowOff>274320</xdr:rowOff>
    </xdr:to>
    <xdr:sp macro="" textlink="#REF!">
      <xdr:nvSpPr>
        <xdr:cNvPr id="68" name="Rectangle 67">
          <a:hlinkClick xmlns:r="http://schemas.openxmlformats.org/officeDocument/2006/relationships" r:id="rId2"/>
          <a:extLst>
            <a:ext uri="{FF2B5EF4-FFF2-40B4-BE49-F238E27FC236}">
              <a16:creationId xmlns:a16="http://schemas.microsoft.com/office/drawing/2014/main" id="{52BC1B5A-1C21-493D-9F59-E7B6977B9088}"/>
            </a:ext>
          </a:extLst>
        </xdr:cNvPr>
        <xdr:cNvSpPr/>
      </xdr:nvSpPr>
      <xdr:spPr>
        <a:xfrm>
          <a:off x="917377" y="0"/>
          <a:ext cx="9144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C177C614-8678-4AE6-A024-FA2D1A3975C9}" type="TxLink">
            <a:rPr lang="en-US" sz="1200" b="0" i="0" u="sng" strike="noStrike">
              <a:solidFill>
                <a:schemeClr val="bg1"/>
              </a:solidFill>
              <a:latin typeface="Calibri"/>
              <a:cs typeface="Calibri"/>
            </a:rPr>
            <a:pPr algn="ctr"/>
            <a:t>Dashboard</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1392503</xdr:colOff>
      <xdr:row>0</xdr:row>
      <xdr:rowOff>0</xdr:rowOff>
    </xdr:from>
    <xdr:to>
      <xdr:col>2</xdr:col>
      <xdr:colOff>14100</xdr:colOff>
      <xdr:row>0</xdr:row>
      <xdr:rowOff>274320</xdr:rowOff>
    </xdr:to>
    <xdr:sp macro="" textlink="#REF!">
      <xdr:nvSpPr>
        <xdr:cNvPr id="69" name="Rectangle 68">
          <a:hlinkClick xmlns:r="http://schemas.openxmlformats.org/officeDocument/2006/relationships" r:id="rId3"/>
          <a:extLst>
            <a:ext uri="{FF2B5EF4-FFF2-40B4-BE49-F238E27FC236}">
              <a16:creationId xmlns:a16="http://schemas.microsoft.com/office/drawing/2014/main" id="{419C103B-9926-4DD5-90F5-2C52AF94AEC2}"/>
            </a:ext>
          </a:extLst>
        </xdr:cNvPr>
        <xdr:cNvSpPr/>
      </xdr:nvSpPr>
      <xdr:spPr>
        <a:xfrm>
          <a:off x="1830653"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D0E54A7-B214-4607-8826-8942D59FE2D4}" type="TxLink">
            <a:rPr lang="en-US" sz="1200" b="0" i="0" u="none" strike="noStrike">
              <a:solidFill>
                <a:schemeClr val="bg1"/>
              </a:solidFill>
              <a:latin typeface="Calibri" panose="020F0502020204030204" pitchFamily="34" charset="0"/>
              <a:cs typeface="Calibri" panose="020F0502020204030204" pitchFamily="34" charset="0"/>
            </a:rPr>
            <a:pPr algn="ctr"/>
            <a:t>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2290788</xdr:colOff>
      <xdr:row>0</xdr:row>
      <xdr:rowOff>0</xdr:rowOff>
    </xdr:from>
    <xdr:to>
      <xdr:col>2</xdr:col>
      <xdr:colOff>913792</xdr:colOff>
      <xdr:row>0</xdr:row>
      <xdr:rowOff>274320</xdr:rowOff>
    </xdr:to>
    <xdr:sp macro="" textlink="#REF!">
      <xdr:nvSpPr>
        <xdr:cNvPr id="70" name="Rectangle 69">
          <a:hlinkClick xmlns:r="http://schemas.openxmlformats.org/officeDocument/2006/relationships" r:id="rId4"/>
          <a:extLst>
            <a:ext uri="{FF2B5EF4-FFF2-40B4-BE49-F238E27FC236}">
              <a16:creationId xmlns:a16="http://schemas.microsoft.com/office/drawing/2014/main" id="{86083FB5-0702-43C9-BD85-A14A42641426}"/>
            </a:ext>
          </a:extLst>
        </xdr:cNvPr>
        <xdr:cNvSpPr/>
      </xdr:nvSpPr>
      <xdr:spPr>
        <a:xfrm>
          <a:off x="2728938" y="0"/>
          <a:ext cx="91852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74DC379-5DB9-4A59-9F32-EF7537C03342}" type="TxLink">
            <a:rPr lang="en-US" altLang="zh-TW" sz="1200" b="0" i="0" u="none" strike="noStrike">
              <a:solidFill>
                <a:schemeClr val="bg1"/>
              </a:solidFill>
              <a:latin typeface="Calibri" panose="020F0502020204030204" pitchFamily="34" charset="0"/>
              <a:cs typeface="Calibri" panose="020F0502020204030204" pitchFamily="34" charset="0"/>
            </a:rPr>
            <a:pPr algn="ctr"/>
            <a:t>KCT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913136</xdr:colOff>
      <xdr:row>0</xdr:row>
      <xdr:rowOff>0</xdr:rowOff>
    </xdr:from>
    <xdr:to>
      <xdr:col>2</xdr:col>
      <xdr:colOff>1826374</xdr:colOff>
      <xdr:row>0</xdr:row>
      <xdr:rowOff>274320</xdr:rowOff>
    </xdr:to>
    <xdr:sp macro="" textlink="#REF!">
      <xdr:nvSpPr>
        <xdr:cNvPr id="71" name="Rectangle 70">
          <a:hlinkClick xmlns:r="http://schemas.openxmlformats.org/officeDocument/2006/relationships" r:id="rId3"/>
          <a:extLst>
            <a:ext uri="{FF2B5EF4-FFF2-40B4-BE49-F238E27FC236}">
              <a16:creationId xmlns:a16="http://schemas.microsoft.com/office/drawing/2014/main" id="{004F1FCE-A077-4DE6-B676-CBC822A8FA51}"/>
            </a:ext>
          </a:extLst>
        </xdr:cNvPr>
        <xdr:cNvSpPr/>
      </xdr:nvSpPr>
      <xdr:spPr>
        <a:xfrm>
          <a:off x="3646811" y="0"/>
          <a:ext cx="91323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9F9CBE-726B-4820-9127-9BFEB61EB63B}" type="TxLink">
            <a:rPr lang="en-US" sz="1200" b="0" i="0" u="none" strike="noStrike">
              <a:solidFill>
                <a:schemeClr val="bg1"/>
              </a:solidFill>
              <a:latin typeface="Calibri" panose="020F0502020204030204" pitchFamily="34" charset="0"/>
              <a:cs typeface="Calibri" panose="020F0502020204030204" pitchFamily="34" charset="0"/>
            </a:rPr>
            <a:pPr algn="ctr"/>
            <a:t>KCT_Curve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1822761</xdr:colOff>
      <xdr:row>0</xdr:row>
      <xdr:rowOff>0</xdr:rowOff>
    </xdr:from>
    <xdr:to>
      <xdr:col>2</xdr:col>
      <xdr:colOff>2738135</xdr:colOff>
      <xdr:row>0</xdr:row>
      <xdr:rowOff>274320</xdr:rowOff>
    </xdr:to>
    <xdr:sp macro="" textlink="#REF!">
      <xdr:nvSpPr>
        <xdr:cNvPr id="72" name="Rectangle 71">
          <a:hlinkClick xmlns:r="http://schemas.openxmlformats.org/officeDocument/2006/relationships" r:id="rId5"/>
          <a:extLst>
            <a:ext uri="{FF2B5EF4-FFF2-40B4-BE49-F238E27FC236}">
              <a16:creationId xmlns:a16="http://schemas.microsoft.com/office/drawing/2014/main" id="{B91CBB35-FF2D-4EC1-8FA4-916321F427C2}"/>
            </a:ext>
          </a:extLst>
        </xdr:cNvPr>
        <xdr:cNvSpPr/>
      </xdr:nvSpPr>
      <xdr:spPr>
        <a:xfrm>
          <a:off x="4556436" y="0"/>
          <a:ext cx="91537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EC4968A-67D4-43C6-A25C-FD0E75E9BD05}" type="TxLink">
            <a:rPr lang="en-US" sz="1200" b="0" i="0" u="none" strike="noStrike">
              <a:solidFill>
                <a:schemeClr val="bg1"/>
              </a:solidFill>
              <a:latin typeface="Calibri" panose="020F0502020204030204" pitchFamily="34" charset="0"/>
              <a:cs typeface="Calibri" panose="020F0502020204030204" pitchFamily="34" charset="0"/>
            </a:rPr>
            <a:pPr algn="ctr"/>
            <a:t>KCT_Pivot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2730251</xdr:colOff>
      <xdr:row>0</xdr:row>
      <xdr:rowOff>0</xdr:rowOff>
    </xdr:from>
    <xdr:to>
      <xdr:col>2</xdr:col>
      <xdr:colOff>3647373</xdr:colOff>
      <xdr:row>0</xdr:row>
      <xdr:rowOff>274320</xdr:rowOff>
    </xdr:to>
    <xdr:sp macro="" textlink="#REF!">
      <xdr:nvSpPr>
        <xdr:cNvPr id="73" name="Rectangle 72">
          <a:hlinkClick xmlns:r="http://schemas.openxmlformats.org/officeDocument/2006/relationships" r:id="rId6"/>
          <a:extLst>
            <a:ext uri="{FF2B5EF4-FFF2-40B4-BE49-F238E27FC236}">
              <a16:creationId xmlns:a16="http://schemas.microsoft.com/office/drawing/2014/main" id="{4214C955-7F9E-4364-A58F-ED7B86BB7B72}"/>
            </a:ext>
          </a:extLst>
        </xdr:cNvPr>
        <xdr:cNvSpPr/>
      </xdr:nvSpPr>
      <xdr:spPr>
        <a:xfrm>
          <a:off x="5463926"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7F627CC-32D4-4130-8C48-E1A5B0B97854}" type="TxLink">
            <a:rPr lang="en-US" sz="1200" b="0" i="0" u="none" strike="noStrike">
              <a:solidFill>
                <a:schemeClr val="bg1"/>
              </a:solidFill>
              <a:latin typeface="Calibri" panose="020F0502020204030204" pitchFamily="34" charset="0"/>
              <a:cs typeface="Calibri" panose="020F0502020204030204" pitchFamily="34" charset="0"/>
            </a:rPr>
            <a:pPr algn="ctr"/>
            <a:t>Key_Quality_Docs</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3646448</xdr:colOff>
      <xdr:row>0</xdr:row>
      <xdr:rowOff>0</xdr:rowOff>
    </xdr:from>
    <xdr:to>
      <xdr:col>2</xdr:col>
      <xdr:colOff>5018799</xdr:colOff>
      <xdr:row>0</xdr:row>
      <xdr:rowOff>274320</xdr:rowOff>
    </xdr:to>
    <xdr:sp macro="" textlink="#REF!">
      <xdr:nvSpPr>
        <xdr:cNvPr id="74" name="Rectangle 73">
          <a:hlinkClick xmlns:r="http://schemas.openxmlformats.org/officeDocument/2006/relationships" r:id="rId7"/>
          <a:extLst>
            <a:ext uri="{FF2B5EF4-FFF2-40B4-BE49-F238E27FC236}">
              <a16:creationId xmlns:a16="http://schemas.microsoft.com/office/drawing/2014/main" id="{3CB3EA66-5F9F-4399-A3F9-E664F0C38C92}"/>
            </a:ext>
          </a:extLst>
        </xdr:cNvPr>
        <xdr:cNvSpPr/>
      </xdr:nvSpPr>
      <xdr:spPr>
        <a:xfrm>
          <a:off x="6380123" y="0"/>
          <a:ext cx="137235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Q_commu._Matrix</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843626</xdr:rowOff>
    </xdr:from>
    <xdr:to>
      <xdr:col>1</xdr:col>
      <xdr:colOff>760096</xdr:colOff>
      <xdr:row>0</xdr:row>
      <xdr:rowOff>1117946</xdr:rowOff>
    </xdr:to>
    <xdr:sp macro="" textlink="#REF!">
      <xdr:nvSpPr>
        <xdr:cNvPr id="75" name="Rectangle 74">
          <a:hlinkClick xmlns:r="http://schemas.openxmlformats.org/officeDocument/2006/relationships" r:id="rId8"/>
          <a:extLst>
            <a:ext uri="{FF2B5EF4-FFF2-40B4-BE49-F238E27FC236}">
              <a16:creationId xmlns:a16="http://schemas.microsoft.com/office/drawing/2014/main" id="{3D67A0B4-790C-40A2-BC79-DB06AB652487}"/>
            </a:ext>
          </a:extLst>
        </xdr:cNvPr>
        <xdr:cNvSpPr/>
      </xdr:nvSpPr>
      <xdr:spPr>
        <a:xfrm>
          <a:off x="1" y="843626"/>
          <a:ext cx="119824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2AEF7F1-F48C-4FA1-A707-132A4EE8650E}" type="TxLink">
            <a:rPr lang="en-US" sz="1200" b="0" i="0" u="none" strike="noStrike">
              <a:solidFill>
                <a:schemeClr val="bg1"/>
              </a:solidFill>
              <a:latin typeface="Calibri" panose="020F0502020204030204" pitchFamily="34" charset="0"/>
              <a:cs typeface="Calibri" panose="020F0502020204030204" pitchFamily="34" charset="0"/>
            </a:rPr>
            <a:pPr algn="ctr"/>
            <a:t>ITP_Summary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1</xdr:col>
      <xdr:colOff>942295</xdr:colOff>
      <xdr:row>0</xdr:row>
      <xdr:rowOff>1491768</xdr:rowOff>
    </xdr:to>
    <xdr:sp macro="" textlink="#REF!">
      <xdr:nvSpPr>
        <xdr:cNvPr id="76" name="Rectangle 75">
          <a:hlinkClick xmlns:r="http://schemas.openxmlformats.org/officeDocument/2006/relationships" r:id="rId9"/>
          <a:extLst>
            <a:ext uri="{FF2B5EF4-FFF2-40B4-BE49-F238E27FC236}">
              <a16:creationId xmlns:a16="http://schemas.microsoft.com/office/drawing/2014/main" id="{94975850-0B66-4893-8A7F-EDAC26ADDFB8}"/>
            </a:ext>
          </a:extLst>
        </xdr:cNvPr>
        <xdr:cNvSpPr/>
      </xdr:nvSpPr>
      <xdr:spPr>
        <a:xfrm>
          <a:off x="1" y="1217448"/>
          <a:ext cx="13804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D99717-E26D-4349-956E-1203D01BE3F8}" type="TxLink">
            <a:rPr lang="en-US" sz="1200" b="0" i="0" u="none" strike="noStrike">
              <a:solidFill>
                <a:schemeClr val="bg1"/>
              </a:solidFill>
              <a:latin typeface="Calibri" panose="020F0502020204030204" pitchFamily="34" charset="0"/>
              <a:cs typeface="Calibri" panose="020F0502020204030204" pitchFamily="34" charset="0"/>
            </a:rPr>
            <a:pPr algn="ctr"/>
            <a:t>ITP_IAC_Hellenic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0</xdr:col>
      <xdr:colOff>1</xdr:colOff>
      <xdr:row>0</xdr:row>
      <xdr:rowOff>1491768</xdr:rowOff>
    </xdr:to>
    <xdr:sp macro="" textlink="$B$21">
      <xdr:nvSpPr>
        <xdr:cNvPr id="77" name="Rectangle 76">
          <a:extLst>
            <a:ext uri="{FF2B5EF4-FFF2-40B4-BE49-F238E27FC236}">
              <a16:creationId xmlns:a16="http://schemas.microsoft.com/office/drawing/2014/main" id="{D2DF15D7-1D4B-4116-80F9-F01566C02B98}"/>
            </a:ext>
          </a:extLst>
        </xdr:cNvPr>
        <xdr:cNvSpPr/>
      </xdr:nvSpPr>
      <xdr:spPr>
        <a:xfrm>
          <a:off x="1" y="1217448"/>
          <a:ext cx="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B2C5B66-F7E2-4187-B670-BF121381989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939624</xdr:colOff>
      <xdr:row>0</xdr:row>
      <xdr:rowOff>1217448</xdr:rowOff>
    </xdr:from>
    <xdr:to>
      <xdr:col>1</xdr:col>
      <xdr:colOff>1999992</xdr:colOff>
      <xdr:row>0</xdr:row>
      <xdr:rowOff>1491768</xdr:rowOff>
    </xdr:to>
    <xdr:sp macro="" textlink="#REF!">
      <xdr:nvSpPr>
        <xdr:cNvPr id="78" name="Rectangle 77">
          <a:hlinkClick xmlns:r="http://schemas.openxmlformats.org/officeDocument/2006/relationships" r:id="rId10"/>
          <a:extLst>
            <a:ext uri="{FF2B5EF4-FFF2-40B4-BE49-F238E27FC236}">
              <a16:creationId xmlns:a16="http://schemas.microsoft.com/office/drawing/2014/main" id="{50F95A5D-0284-4D8D-9602-3ECC4B008790}"/>
            </a:ext>
          </a:extLst>
        </xdr:cNvPr>
        <xdr:cNvSpPr/>
      </xdr:nvSpPr>
      <xdr:spPr>
        <a:xfrm>
          <a:off x="1377774" y="1217448"/>
          <a:ext cx="106036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A79F7F-4ADB-4ABC-9292-0F2B92307410}" type="TxLink">
            <a:rPr lang="en-US" altLang="zh-TW" sz="1200" b="0" i="0" u="none" strike="noStrike">
              <a:solidFill>
                <a:schemeClr val="bg1"/>
              </a:solidFill>
              <a:latin typeface="Calibri" panose="020F0502020204030204" pitchFamily="34" charset="0"/>
              <a:cs typeface="Calibri" panose="020F0502020204030204" pitchFamily="34" charset="0"/>
            </a:rPr>
            <a:pPr algn="ctr"/>
            <a:t>ITP_EXC_LSC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1999992</xdr:colOff>
      <xdr:row>0</xdr:row>
      <xdr:rowOff>1217448</xdr:rowOff>
    </xdr:from>
    <xdr:to>
      <xdr:col>2</xdr:col>
      <xdr:colOff>1086272</xdr:colOff>
      <xdr:row>0</xdr:row>
      <xdr:rowOff>1491768</xdr:rowOff>
    </xdr:to>
    <xdr:sp macro="" textlink="#REF!">
      <xdr:nvSpPr>
        <xdr:cNvPr id="79" name="Rectangle 78">
          <a:hlinkClick xmlns:r="http://schemas.openxmlformats.org/officeDocument/2006/relationships" r:id="rId11"/>
          <a:extLst>
            <a:ext uri="{FF2B5EF4-FFF2-40B4-BE49-F238E27FC236}">
              <a16:creationId xmlns:a16="http://schemas.microsoft.com/office/drawing/2014/main" id="{5E26734B-1544-4DC2-81D9-B74C1A04DD6A}"/>
            </a:ext>
          </a:extLst>
        </xdr:cNvPr>
        <xdr:cNvSpPr/>
      </xdr:nvSpPr>
      <xdr:spPr>
        <a:xfrm>
          <a:off x="2438142" y="1217448"/>
          <a:ext cx="138180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DAB4F40-9E56-424D-9D25-023E38A6DFEF}" type="TxLink">
            <a:rPr lang="en-US" altLang="zh-TW" sz="1200" b="0" i="0" u="none" strike="noStrike">
              <a:solidFill>
                <a:schemeClr val="bg1"/>
              </a:solidFill>
              <a:latin typeface="Calibri" panose="020F0502020204030204" pitchFamily="34" charset="0"/>
              <a:cs typeface="Calibri" panose="020F0502020204030204" pitchFamily="34" charset="0"/>
            </a:rPr>
            <a:pPr algn="ctr"/>
            <a:t>ITP_Cable_TNI_S7</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1082753</xdr:colOff>
      <xdr:row>0</xdr:row>
      <xdr:rowOff>1217448</xdr:rowOff>
    </xdr:from>
    <xdr:to>
      <xdr:col>2</xdr:col>
      <xdr:colOff>2450101</xdr:colOff>
      <xdr:row>0</xdr:row>
      <xdr:rowOff>1491768</xdr:rowOff>
    </xdr:to>
    <xdr:sp macro="" textlink="#REF!">
      <xdr:nvSpPr>
        <xdr:cNvPr id="80" name="Rectangle 79">
          <a:hlinkClick xmlns:r="http://schemas.openxmlformats.org/officeDocument/2006/relationships" r:id="rId12"/>
          <a:extLst>
            <a:ext uri="{FF2B5EF4-FFF2-40B4-BE49-F238E27FC236}">
              <a16:creationId xmlns:a16="http://schemas.microsoft.com/office/drawing/2014/main" id="{A6560BBD-CE4F-49AD-AA89-8264891D2631}"/>
            </a:ext>
          </a:extLst>
        </xdr:cNvPr>
        <xdr:cNvSpPr/>
      </xdr:nvSpPr>
      <xdr:spPr>
        <a:xfrm>
          <a:off x="3816428" y="1217448"/>
          <a:ext cx="136734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A6692E6-56B3-4FA0-B035-A27BEF5E821D}" type="TxLink">
            <a:rPr lang="en-US" sz="1200" b="0" i="0" u="none" strike="noStrike">
              <a:solidFill>
                <a:schemeClr val="bg1"/>
              </a:solidFill>
              <a:latin typeface="Calibri" panose="020F0502020204030204" pitchFamily="34" charset="0"/>
              <a:cs typeface="Calibri" panose="020F0502020204030204" pitchFamily="34" charset="0"/>
            </a:rPr>
            <a:pPr algn="ctr"/>
            <a:t>ITP_ONS_TECO</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5011080</xdr:colOff>
      <xdr:row>0</xdr:row>
      <xdr:rowOff>0</xdr:rowOff>
    </xdr:from>
    <xdr:to>
      <xdr:col>4</xdr:col>
      <xdr:colOff>415947</xdr:colOff>
      <xdr:row>0</xdr:row>
      <xdr:rowOff>274320</xdr:rowOff>
    </xdr:to>
    <xdr:sp macro="" textlink="#REF!">
      <xdr:nvSpPr>
        <xdr:cNvPr id="81" name="Rectangle 80">
          <a:hlinkClick xmlns:r="http://schemas.openxmlformats.org/officeDocument/2006/relationships" r:id="rId13"/>
          <a:extLst>
            <a:ext uri="{FF2B5EF4-FFF2-40B4-BE49-F238E27FC236}">
              <a16:creationId xmlns:a16="http://schemas.microsoft.com/office/drawing/2014/main" id="{6E8A0728-F972-4B59-AC40-05FC020463F8}"/>
            </a:ext>
          </a:extLst>
        </xdr:cNvPr>
        <xdr:cNvSpPr/>
      </xdr:nvSpPr>
      <xdr:spPr>
        <a:xfrm>
          <a:off x="7744755" y="0"/>
          <a:ext cx="137704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ED4B2CE-3865-4169-8EDE-4E9A4AD0300C}" type="TxLink">
            <a:rPr lang="en-US" sz="1200" b="0" i="0" u="none" strike="noStrike">
              <a:solidFill>
                <a:schemeClr val="bg1"/>
              </a:solidFill>
              <a:latin typeface="Calibri" panose="020F0502020204030204" pitchFamily="34" charset="0"/>
              <a:cs typeface="Calibri" panose="020F0502020204030204" pitchFamily="34" charset="0"/>
            </a:rPr>
            <a:pPr algn="ctr"/>
            <a:t>OBS_Summary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2444339</xdr:colOff>
      <xdr:row>0</xdr:row>
      <xdr:rowOff>1217448</xdr:rowOff>
    </xdr:from>
    <xdr:to>
      <xdr:col>2</xdr:col>
      <xdr:colOff>3364183</xdr:colOff>
      <xdr:row>0</xdr:row>
      <xdr:rowOff>1491768</xdr:rowOff>
    </xdr:to>
    <xdr:sp macro="" textlink="#REF!">
      <xdr:nvSpPr>
        <xdr:cNvPr id="82" name="Rectangle 81">
          <a:hlinkClick xmlns:r="http://schemas.openxmlformats.org/officeDocument/2006/relationships" r:id="rId14"/>
          <a:extLst>
            <a:ext uri="{FF2B5EF4-FFF2-40B4-BE49-F238E27FC236}">
              <a16:creationId xmlns:a16="http://schemas.microsoft.com/office/drawing/2014/main" id="{854FE2C9-77C6-4FAD-9407-F2A4D71DA269}"/>
            </a:ext>
          </a:extLst>
        </xdr:cNvPr>
        <xdr:cNvSpPr/>
      </xdr:nvSpPr>
      <xdr:spPr>
        <a:xfrm>
          <a:off x="5178014" y="1217448"/>
          <a:ext cx="9198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B7B64F5-264F-4267-A451-4ADD194C012B}" type="TxLink">
            <a:rPr lang="en-US" sz="1200" b="0" i="0" u="none" strike="noStrike">
              <a:solidFill>
                <a:schemeClr val="bg1"/>
              </a:solidFill>
              <a:latin typeface="Calibri" panose="020F0502020204030204" pitchFamily="34" charset="0"/>
              <a:cs typeface="Calibri" panose="020F0502020204030204" pitchFamily="34" charset="0"/>
            </a:rPr>
            <a:pPr algn="ctr"/>
            <a:t>ITP_CDWE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3356972</xdr:colOff>
      <xdr:row>0</xdr:row>
      <xdr:rowOff>1217448</xdr:rowOff>
    </xdr:from>
    <xdr:to>
      <xdr:col>2</xdr:col>
      <xdr:colOff>4728572</xdr:colOff>
      <xdr:row>0</xdr:row>
      <xdr:rowOff>1491768</xdr:rowOff>
    </xdr:to>
    <xdr:sp macro="" textlink="#REF!">
      <xdr:nvSpPr>
        <xdr:cNvPr id="83" name="Rectangle 82">
          <a:hlinkClick xmlns:r="http://schemas.openxmlformats.org/officeDocument/2006/relationships" r:id="rId15"/>
          <a:extLst>
            <a:ext uri="{FF2B5EF4-FFF2-40B4-BE49-F238E27FC236}">
              <a16:creationId xmlns:a16="http://schemas.microsoft.com/office/drawing/2014/main" id="{C7B6CCC0-96EC-4BB3-AFFC-2437E40BD6D1}"/>
            </a:ext>
          </a:extLst>
        </xdr:cNvPr>
        <xdr:cNvSpPr/>
      </xdr:nvSpPr>
      <xdr:spPr>
        <a:xfrm>
          <a:off x="6090647" y="1217448"/>
          <a:ext cx="13716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4BD5D57-9335-47BB-B5C1-827C5BAA4DE8}" type="TxLink">
            <a:rPr lang="en-US" sz="1200" b="0" i="0" u="none" strike="noStrike">
              <a:solidFill>
                <a:schemeClr val="bg1"/>
              </a:solidFill>
              <a:latin typeface="Calibri" panose="020F0502020204030204" pitchFamily="34" charset="0"/>
              <a:cs typeface="Calibri" panose="020F0502020204030204" pitchFamily="34" charset="0"/>
            </a:rPr>
            <a:pPr algn="ctr"/>
            <a:t>ITP_OSS_SMPTSC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277488</xdr:rowOff>
    </xdr:from>
    <xdr:to>
      <xdr:col>1</xdr:col>
      <xdr:colOff>53336</xdr:colOff>
      <xdr:row>0</xdr:row>
      <xdr:rowOff>551808</xdr:rowOff>
    </xdr:to>
    <xdr:sp macro="" textlink="#REF!">
      <xdr:nvSpPr>
        <xdr:cNvPr id="84" name="Rectangle 83">
          <a:hlinkClick xmlns:r="http://schemas.openxmlformats.org/officeDocument/2006/relationships" r:id="rId16"/>
          <a:extLst>
            <a:ext uri="{FF2B5EF4-FFF2-40B4-BE49-F238E27FC236}">
              <a16:creationId xmlns:a16="http://schemas.microsoft.com/office/drawing/2014/main" id="{B2EAFDC8-AE5A-462D-8BD8-97A122DBF70D}"/>
            </a:ext>
          </a:extLst>
        </xdr:cNvPr>
        <xdr:cNvSpPr/>
      </xdr:nvSpPr>
      <xdr:spPr>
        <a:xfrm>
          <a:off x="1" y="277488"/>
          <a:ext cx="49148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76DB0D7-CA15-4C84-BEF1-B2FE174253A5}" type="TxLink">
            <a:rPr lang="en-US" sz="1200" b="0" i="0" u="none" strike="noStrike">
              <a:solidFill>
                <a:schemeClr val="bg1"/>
              </a:solidFill>
              <a:latin typeface="Calibri" panose="020F0502020204030204" pitchFamily="34" charset="0"/>
              <a:cs typeface="Calibri" panose="020F0502020204030204" pitchFamily="34" charset="0"/>
            </a:rPr>
            <a:pPr algn="ctr"/>
            <a:t>PQP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37106</xdr:colOff>
      <xdr:row>0</xdr:row>
      <xdr:rowOff>277488</xdr:rowOff>
    </xdr:from>
    <xdr:to>
      <xdr:col>1</xdr:col>
      <xdr:colOff>1417890</xdr:colOff>
      <xdr:row>0</xdr:row>
      <xdr:rowOff>551808</xdr:rowOff>
    </xdr:to>
    <xdr:sp macro="" textlink="#REF!">
      <xdr:nvSpPr>
        <xdr:cNvPr id="85" name="Rectangle 84">
          <a:hlinkClick xmlns:r="http://schemas.openxmlformats.org/officeDocument/2006/relationships" r:id="rId17"/>
          <a:extLst>
            <a:ext uri="{FF2B5EF4-FFF2-40B4-BE49-F238E27FC236}">
              <a16:creationId xmlns:a16="http://schemas.microsoft.com/office/drawing/2014/main" id="{E34AD3D2-377B-4F27-9F8C-B7E97A835E65}"/>
            </a:ext>
          </a:extLst>
        </xdr:cNvPr>
        <xdr:cNvSpPr/>
      </xdr:nvSpPr>
      <xdr:spPr>
        <a:xfrm>
          <a:off x="475256" y="277488"/>
          <a:ext cx="138078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B67B7DE-3A73-4724-AD40-6EFDCB186502}" type="TxLink">
            <a:rPr lang="en-US" sz="1200" b="0" i="0" u="none" strike="noStrike">
              <a:solidFill>
                <a:schemeClr val="bg1"/>
              </a:solidFill>
              <a:latin typeface="Calibri" panose="020F0502020204030204" pitchFamily="34" charset="0"/>
              <a:cs typeface="Calibri" panose="020F0502020204030204" pitchFamily="34" charset="0"/>
            </a:rPr>
            <a:pPr algn="ctr"/>
            <a:t>NCR_Summary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1416983</xdr:colOff>
      <xdr:row>0</xdr:row>
      <xdr:rowOff>277488</xdr:rowOff>
    </xdr:from>
    <xdr:to>
      <xdr:col>2</xdr:col>
      <xdr:colOff>36199</xdr:colOff>
      <xdr:row>0</xdr:row>
      <xdr:rowOff>551808</xdr:rowOff>
    </xdr:to>
    <xdr:sp macro="" textlink="#REF!">
      <xdr:nvSpPr>
        <xdr:cNvPr id="86" name="Rectangle 85">
          <a:hlinkClick xmlns:r="http://schemas.openxmlformats.org/officeDocument/2006/relationships" r:id="rId18"/>
          <a:extLst>
            <a:ext uri="{FF2B5EF4-FFF2-40B4-BE49-F238E27FC236}">
              <a16:creationId xmlns:a16="http://schemas.microsoft.com/office/drawing/2014/main" id="{93D438C2-873C-4801-A808-DFAF543B367D}"/>
            </a:ext>
          </a:extLst>
        </xdr:cNvPr>
        <xdr:cNvSpPr/>
      </xdr:nvSpPr>
      <xdr:spPr>
        <a:xfrm>
          <a:off x="1855133" y="277488"/>
          <a:ext cx="91474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DF90472-98E3-4CD3-93C5-712192C887E4}" type="TxLink">
            <a:rPr lang="en-US" sz="1200" b="0" i="0" u="none" strike="noStrike">
              <a:solidFill>
                <a:schemeClr val="bg1"/>
              </a:solidFill>
              <a:latin typeface="Calibri" panose="020F0502020204030204" pitchFamily="34" charset="0"/>
              <a:cs typeface="Calibri" panose="020F0502020204030204" pitchFamily="34" charset="0"/>
            </a:rPr>
            <a:pPr algn="ctr"/>
            <a:t>NCR_Pivot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33305</xdr:colOff>
      <xdr:row>0</xdr:row>
      <xdr:rowOff>277488</xdr:rowOff>
    </xdr:from>
    <xdr:to>
      <xdr:col>2</xdr:col>
      <xdr:colOff>1249772</xdr:colOff>
      <xdr:row>0</xdr:row>
      <xdr:rowOff>551808</xdr:rowOff>
    </xdr:to>
    <xdr:sp macro="" textlink="#REF!">
      <xdr:nvSpPr>
        <xdr:cNvPr id="87" name="Rectangle 86">
          <a:hlinkClick xmlns:r="http://schemas.openxmlformats.org/officeDocument/2006/relationships" r:id="rId13"/>
          <a:extLst>
            <a:ext uri="{FF2B5EF4-FFF2-40B4-BE49-F238E27FC236}">
              <a16:creationId xmlns:a16="http://schemas.microsoft.com/office/drawing/2014/main" id="{85305CAA-88F7-498A-B1E5-F5BFB4CB30F0}"/>
            </a:ext>
          </a:extLst>
        </xdr:cNvPr>
        <xdr:cNvSpPr/>
      </xdr:nvSpPr>
      <xdr:spPr>
        <a:xfrm>
          <a:off x="2766980" y="277488"/>
          <a:ext cx="121646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1C13F6A-2AE7-4D10-B8FE-F91861D7E1CA}" type="TxLink">
            <a:rPr lang="en-US" sz="1200" b="0" i="0" u="none" strike="noStrike">
              <a:solidFill>
                <a:schemeClr val="bg1"/>
              </a:solidFill>
              <a:latin typeface="Calibri" panose="020F0502020204030204" pitchFamily="34" charset="0"/>
              <a:cs typeface="Calibri" panose="020F0502020204030204" pitchFamily="34" charset="0"/>
            </a:rPr>
            <a:pPr algn="ctr"/>
            <a:t>OBS_Pivot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1242968</xdr:colOff>
      <xdr:row>0</xdr:row>
      <xdr:rowOff>277488</xdr:rowOff>
    </xdr:from>
    <xdr:to>
      <xdr:col>2</xdr:col>
      <xdr:colOff>2146482</xdr:colOff>
      <xdr:row>0</xdr:row>
      <xdr:rowOff>551808</xdr:rowOff>
    </xdr:to>
    <xdr:sp macro="" textlink="#REF!">
      <xdr:nvSpPr>
        <xdr:cNvPr id="88" name="Rectangle 87">
          <a:hlinkClick xmlns:r="http://schemas.openxmlformats.org/officeDocument/2006/relationships" r:id="rId19"/>
          <a:extLst>
            <a:ext uri="{FF2B5EF4-FFF2-40B4-BE49-F238E27FC236}">
              <a16:creationId xmlns:a16="http://schemas.microsoft.com/office/drawing/2014/main" id="{E647768F-6FD2-4651-A65E-8299538C635F}"/>
            </a:ext>
          </a:extLst>
        </xdr:cNvPr>
        <xdr:cNvSpPr/>
      </xdr:nvSpPr>
      <xdr:spPr>
        <a:xfrm>
          <a:off x="3976643" y="277488"/>
          <a:ext cx="90351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42A3ED4-1362-4FEE-889B-CEFC97F9EB4C}" type="TxLink">
            <a:rPr lang="en-US" altLang="zh-TW" sz="1200" b="0" i="0" u="none" strike="noStrike">
              <a:solidFill>
                <a:schemeClr val="bg1"/>
              </a:solidFill>
              <a:latin typeface="Calibri" panose="020F0502020204030204" pitchFamily="34" charset="0"/>
              <a:cs typeface="Calibri" panose="020F0502020204030204" pitchFamily="34" charset="0"/>
            </a:rPr>
            <a:pPr algn="ctr"/>
            <a:t>Database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2146484</xdr:colOff>
      <xdr:row>0</xdr:row>
      <xdr:rowOff>277488</xdr:rowOff>
    </xdr:from>
    <xdr:to>
      <xdr:col>2</xdr:col>
      <xdr:colOff>3157767</xdr:colOff>
      <xdr:row>0</xdr:row>
      <xdr:rowOff>551808</xdr:rowOff>
    </xdr:to>
    <xdr:sp macro="" textlink="#REF!">
      <xdr:nvSpPr>
        <xdr:cNvPr id="89" name="Rectangle 88">
          <a:hlinkClick xmlns:r="http://schemas.openxmlformats.org/officeDocument/2006/relationships" r:id="rId20"/>
          <a:extLst>
            <a:ext uri="{FF2B5EF4-FFF2-40B4-BE49-F238E27FC236}">
              <a16:creationId xmlns:a16="http://schemas.microsoft.com/office/drawing/2014/main" id="{460D2621-965C-4F73-B817-4FE7B85ACF6A}"/>
            </a:ext>
          </a:extLst>
        </xdr:cNvPr>
        <xdr:cNvSpPr/>
      </xdr:nvSpPr>
      <xdr:spPr>
        <a:xfrm>
          <a:off x="4880159" y="277488"/>
          <a:ext cx="10112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A518611-076D-45B5-BAAD-2BD8D5A103C9}" type="TxLink">
            <a:rPr lang="en-US" sz="1200" b="0" i="0" u="none" strike="noStrike">
              <a:solidFill>
                <a:schemeClr val="bg1"/>
              </a:solidFill>
              <a:latin typeface="Calibri" panose="020F0502020204030204" pitchFamily="34" charset="0"/>
              <a:cs typeface="Calibri" panose="020F0502020204030204" pitchFamily="34" charset="0"/>
            </a:rPr>
            <a:pPr algn="ctr"/>
            <a:t>NOI_Tracker</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3158855</xdr:colOff>
      <xdr:row>0</xdr:row>
      <xdr:rowOff>277488</xdr:rowOff>
    </xdr:from>
    <xdr:to>
      <xdr:col>2</xdr:col>
      <xdr:colOff>4075976</xdr:colOff>
      <xdr:row>0</xdr:row>
      <xdr:rowOff>551808</xdr:rowOff>
    </xdr:to>
    <xdr:sp macro="" textlink="#REF!">
      <xdr:nvSpPr>
        <xdr:cNvPr id="90" name="Rectangle 89">
          <a:hlinkClick xmlns:r="http://schemas.openxmlformats.org/officeDocument/2006/relationships" r:id="rId21"/>
          <a:extLst>
            <a:ext uri="{FF2B5EF4-FFF2-40B4-BE49-F238E27FC236}">
              <a16:creationId xmlns:a16="http://schemas.microsoft.com/office/drawing/2014/main" id="{4C645DFB-0F3D-4D66-B095-FFAA2EB5C9E8}"/>
            </a:ext>
          </a:extLst>
        </xdr:cNvPr>
        <xdr:cNvSpPr/>
      </xdr:nvSpPr>
      <xdr:spPr>
        <a:xfrm>
          <a:off x="5892530" y="277488"/>
          <a:ext cx="91712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B07602-FD62-4EAF-B169-6BFDF1E5093F}" type="TxLink">
            <a:rPr lang="en-US" sz="1200" b="0" i="0" u="none" strike="noStrike">
              <a:solidFill>
                <a:schemeClr val="bg1"/>
              </a:solidFill>
              <a:latin typeface="Calibri" panose="020F0502020204030204" pitchFamily="34" charset="0"/>
              <a:cs typeface="Calibri" panose="020F0502020204030204" pitchFamily="34" charset="0"/>
            </a:rPr>
            <a:pPr algn="ctr"/>
            <a:t>NOI_Pivot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4073656</xdr:colOff>
      <xdr:row>0</xdr:row>
      <xdr:rowOff>277488</xdr:rowOff>
    </xdr:from>
    <xdr:to>
      <xdr:col>2</xdr:col>
      <xdr:colOff>5262376</xdr:colOff>
      <xdr:row>0</xdr:row>
      <xdr:rowOff>551808</xdr:rowOff>
    </xdr:to>
    <xdr:sp macro="" textlink="#REF!">
      <xdr:nvSpPr>
        <xdr:cNvPr id="91" name="Rectangle 90">
          <a:hlinkClick xmlns:r="http://schemas.openxmlformats.org/officeDocument/2006/relationships" r:id="rId22"/>
          <a:extLst>
            <a:ext uri="{FF2B5EF4-FFF2-40B4-BE49-F238E27FC236}">
              <a16:creationId xmlns:a16="http://schemas.microsoft.com/office/drawing/2014/main" id="{50DE570D-5F4A-4BFF-901C-45F6057753E3}"/>
            </a:ext>
          </a:extLst>
        </xdr:cNvPr>
        <xdr:cNvSpPr/>
      </xdr:nvSpPr>
      <xdr:spPr>
        <a:xfrm>
          <a:off x="6807331" y="277488"/>
          <a:ext cx="118872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E02AD9C-7FF4-4980-9A1F-06071A75B120}"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0</xdr:colOff>
      <xdr:row>0</xdr:row>
      <xdr:rowOff>1492278</xdr:rowOff>
    </xdr:from>
    <xdr:to>
      <xdr:col>1</xdr:col>
      <xdr:colOff>1404597</xdr:colOff>
      <xdr:row>0</xdr:row>
      <xdr:rowOff>1766598</xdr:rowOff>
    </xdr:to>
    <xdr:sp macro="" textlink="#REF!">
      <xdr:nvSpPr>
        <xdr:cNvPr id="92" name="Rectangle 91">
          <a:hlinkClick xmlns:r="http://schemas.openxmlformats.org/officeDocument/2006/relationships" r:id="rId23"/>
          <a:extLst>
            <a:ext uri="{FF2B5EF4-FFF2-40B4-BE49-F238E27FC236}">
              <a16:creationId xmlns:a16="http://schemas.microsoft.com/office/drawing/2014/main" id="{B3C2157F-FDAF-4DC3-BA7F-BA7DA17B8CCD}"/>
            </a:ext>
          </a:extLst>
        </xdr:cNvPr>
        <xdr:cNvSpPr/>
      </xdr:nvSpPr>
      <xdr:spPr>
        <a:xfrm>
          <a:off x="0" y="1492278"/>
          <a:ext cx="18427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446E702-EE70-4546-8C7E-382A6D1B064A}" type="TxLink">
            <a:rPr lang="en-US" sz="1200" b="0" i="0" u="none" strike="noStrike">
              <a:solidFill>
                <a:schemeClr val="bg1"/>
              </a:solidFill>
              <a:latin typeface="Calibri" panose="020F0502020204030204" pitchFamily="34" charset="0"/>
              <a:cs typeface="Calibri" panose="020F0502020204030204" pitchFamily="34" charset="0"/>
            </a:rPr>
            <a:pPr algn="ctr"/>
            <a:t>ITP_FOU_JKT_LOC_CWP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1321667</xdr:colOff>
      <xdr:row>0</xdr:row>
      <xdr:rowOff>1492278</xdr:rowOff>
    </xdr:from>
    <xdr:to>
      <xdr:col>2</xdr:col>
      <xdr:colOff>1053130</xdr:colOff>
      <xdr:row>0</xdr:row>
      <xdr:rowOff>1766598</xdr:rowOff>
    </xdr:to>
    <xdr:sp macro="" textlink="#REF!">
      <xdr:nvSpPr>
        <xdr:cNvPr id="93" name="Rectangle 92">
          <a:hlinkClick xmlns:r="http://schemas.openxmlformats.org/officeDocument/2006/relationships" r:id="rId24"/>
          <a:extLst>
            <a:ext uri="{FF2B5EF4-FFF2-40B4-BE49-F238E27FC236}">
              <a16:creationId xmlns:a16="http://schemas.microsoft.com/office/drawing/2014/main" id="{8ED00226-5221-4C8E-8DD6-3E4362F165DD}"/>
            </a:ext>
          </a:extLst>
        </xdr:cNvPr>
        <xdr:cNvSpPr/>
      </xdr:nvSpPr>
      <xdr:spPr>
        <a:xfrm>
          <a:off x="1759817" y="1492278"/>
          <a:ext cx="202698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EFA0B59-9336-4CB7-B37C-024F5B6F5E65}"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ITP_FOU_Pin_Pile_INT_EEW</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1049058</xdr:colOff>
      <xdr:row>0</xdr:row>
      <xdr:rowOff>1492278</xdr:rowOff>
    </xdr:from>
    <xdr:to>
      <xdr:col>2</xdr:col>
      <xdr:colOff>2778253</xdr:colOff>
      <xdr:row>0</xdr:row>
      <xdr:rowOff>1766598</xdr:rowOff>
    </xdr:to>
    <xdr:sp macro="" textlink="#REF!">
      <xdr:nvSpPr>
        <xdr:cNvPr id="94" name="Rectangle 93">
          <a:hlinkClick xmlns:r="http://schemas.openxmlformats.org/officeDocument/2006/relationships" r:id="rId25"/>
          <a:extLst>
            <a:ext uri="{FF2B5EF4-FFF2-40B4-BE49-F238E27FC236}">
              <a16:creationId xmlns:a16="http://schemas.microsoft.com/office/drawing/2014/main" id="{AB2B6A94-BDCC-4953-8B1B-11E49573B19E}"/>
            </a:ext>
          </a:extLst>
        </xdr:cNvPr>
        <xdr:cNvSpPr/>
      </xdr:nvSpPr>
      <xdr:spPr>
        <a:xfrm>
          <a:off x="3782733" y="1492278"/>
          <a:ext cx="172919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A4FDC92-BC37-46C0-8867-999F815AE370}" type="TxLink">
            <a:rPr lang="en-US" sz="1200" b="0" i="0" u="none" strike="noStrike">
              <a:solidFill>
                <a:schemeClr val="bg1"/>
              </a:solidFill>
              <a:latin typeface="Calibri" panose="020F0502020204030204" pitchFamily="34" charset="0"/>
              <a:cs typeface="Calibri" panose="020F0502020204030204" pitchFamily="34" charset="0"/>
            </a:rPr>
            <a:pPr algn="ctr"/>
            <a:t>ITP_FOU_JKT_INT_SKOP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2762882</xdr:colOff>
      <xdr:row>0</xdr:row>
      <xdr:rowOff>1492278</xdr:rowOff>
    </xdr:from>
    <xdr:to>
      <xdr:col>2</xdr:col>
      <xdr:colOff>4421729</xdr:colOff>
      <xdr:row>0</xdr:row>
      <xdr:rowOff>1766598</xdr:rowOff>
    </xdr:to>
    <xdr:sp macro="" textlink="#REF!">
      <xdr:nvSpPr>
        <xdr:cNvPr id="95" name="Rectangle 94">
          <a:hlinkClick xmlns:r="http://schemas.openxmlformats.org/officeDocument/2006/relationships" r:id="rId26"/>
          <a:extLst>
            <a:ext uri="{FF2B5EF4-FFF2-40B4-BE49-F238E27FC236}">
              <a16:creationId xmlns:a16="http://schemas.microsoft.com/office/drawing/2014/main" id="{77C8AA51-47CE-4DE8-8E41-D81D052D52F5}"/>
            </a:ext>
          </a:extLst>
        </xdr:cNvPr>
        <xdr:cNvSpPr/>
      </xdr:nvSpPr>
      <xdr:spPr>
        <a:xfrm>
          <a:off x="5496557" y="1492278"/>
          <a:ext cx="16588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ITP_TNI_JPG_SUP_IQIP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4414610</xdr:colOff>
      <xdr:row>0</xdr:row>
      <xdr:rowOff>1492278</xdr:rowOff>
    </xdr:from>
    <xdr:to>
      <xdr:col>4</xdr:col>
      <xdr:colOff>2018</xdr:colOff>
      <xdr:row>0</xdr:row>
      <xdr:rowOff>1766598</xdr:rowOff>
    </xdr:to>
    <xdr:sp macro="" textlink="#REF!">
      <xdr:nvSpPr>
        <xdr:cNvPr id="96" name="Rectangle 95">
          <a:hlinkClick xmlns:r="http://schemas.openxmlformats.org/officeDocument/2006/relationships" r:id="rId27"/>
          <a:extLst>
            <a:ext uri="{FF2B5EF4-FFF2-40B4-BE49-F238E27FC236}">
              <a16:creationId xmlns:a16="http://schemas.microsoft.com/office/drawing/2014/main" id="{17970EE2-5008-4073-835B-094B10DE7A56}"/>
            </a:ext>
          </a:extLst>
        </xdr:cNvPr>
        <xdr:cNvSpPr/>
      </xdr:nvSpPr>
      <xdr:spPr>
        <a:xfrm>
          <a:off x="7148285" y="1492278"/>
          <a:ext cx="15595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E6494932-2600-44D8-BC73-4BB21D4D3E92}" type="TxLink">
            <a:rPr lang="en-US" sz="1200" b="0" i="0" u="none" strike="noStrike">
              <a:solidFill>
                <a:schemeClr val="bg1"/>
              </a:solidFill>
              <a:latin typeface="Calibri" panose="020F0502020204030204" pitchFamily="34" charset="0"/>
              <a:cs typeface="Calibri" panose="020F0502020204030204" pitchFamily="34" charset="0"/>
            </a:rPr>
            <a:pPr algn="ctr"/>
            <a:t>ITP_WTG_SUP_SGRE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4731293</xdr:colOff>
      <xdr:row>0</xdr:row>
      <xdr:rowOff>1217448</xdr:rowOff>
    </xdr:from>
    <xdr:to>
      <xdr:col>4</xdr:col>
      <xdr:colOff>788487</xdr:colOff>
      <xdr:row>0</xdr:row>
      <xdr:rowOff>1491768</xdr:rowOff>
    </xdr:to>
    <xdr:sp macro="" textlink="#REF!">
      <xdr:nvSpPr>
        <xdr:cNvPr id="97" name="Rectangle 96">
          <a:hlinkClick xmlns:r="http://schemas.openxmlformats.org/officeDocument/2006/relationships" r:id="rId28"/>
          <a:extLst>
            <a:ext uri="{FF2B5EF4-FFF2-40B4-BE49-F238E27FC236}">
              <a16:creationId xmlns:a16="http://schemas.microsoft.com/office/drawing/2014/main" id="{F3CCC0D7-44CB-466E-8844-EF7A244262FA}"/>
            </a:ext>
          </a:extLst>
        </xdr:cNvPr>
        <xdr:cNvSpPr/>
      </xdr:nvSpPr>
      <xdr:spPr>
        <a:xfrm>
          <a:off x="7464968" y="1217448"/>
          <a:ext cx="202936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E8B9871-F308-4CC9-B597-6A76D72B2574}"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ITP_FOU_Pin_Pile_LOC_CSBC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109034</xdr:colOff>
      <xdr:row>0</xdr:row>
      <xdr:rowOff>1962978</xdr:rowOff>
    </xdr:to>
    <xdr:sp macro="" textlink="">
      <xdr:nvSpPr>
        <xdr:cNvPr id="65" name="Rectangle 64">
          <a:extLst>
            <a:ext uri="{FF2B5EF4-FFF2-40B4-BE49-F238E27FC236}">
              <a16:creationId xmlns:a16="http://schemas.microsoft.com/office/drawing/2014/main" id="{74570725-D405-4D26-B49C-B1717440732F}"/>
            </a:ext>
          </a:extLst>
        </xdr:cNvPr>
        <xdr:cNvSpPr/>
      </xdr:nvSpPr>
      <xdr:spPr>
        <a:xfrm>
          <a:off x="0" y="0"/>
          <a:ext cx="9605459" cy="1962978"/>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554933</xdr:colOff>
      <xdr:row>1</xdr:row>
      <xdr:rowOff>339584</xdr:rowOff>
    </xdr:from>
    <xdr:to>
      <xdr:col>6</xdr:col>
      <xdr:colOff>0</xdr:colOff>
      <xdr:row>20</xdr:row>
      <xdr:rowOff>101599</xdr:rowOff>
    </xdr:to>
    <xdr:sp macro="" textlink="">
      <xdr:nvSpPr>
        <xdr:cNvPr id="7" name="Rectangle 1">
          <a:extLst>
            <a:ext uri="{FF2B5EF4-FFF2-40B4-BE49-F238E27FC236}">
              <a16:creationId xmlns:a16="http://schemas.microsoft.com/office/drawing/2014/main" id="{09C3545C-CA04-471B-BE33-D07B579692A9}"/>
            </a:ext>
          </a:extLst>
        </xdr:cNvPr>
        <xdr:cNvSpPr/>
      </xdr:nvSpPr>
      <xdr:spPr>
        <a:xfrm>
          <a:off x="8676583" y="2625584"/>
          <a:ext cx="2531167" cy="2429015"/>
        </a:xfrm>
        <a:gradFill flip="none" rotWithShape="1">
          <a:gsLst>
            <a:gs pos="4000">
              <a:srgbClr val="FF0000">
                <a:lumMod val="100000"/>
                <a:alpha val="63000"/>
              </a:srgbClr>
            </a:gs>
            <a:gs pos="15000">
              <a:schemeClr val="bg1">
                <a:alpha val="0"/>
                <a:lumMod val="0"/>
                <a:lumOff val="100000"/>
              </a:schemeClr>
            </a:gs>
          </a:gsLst>
          <a:lin ang="5400000" scaled="0"/>
          <a:tileRect/>
        </a:gradFill>
        <a:ln w="38100" cap="flat">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1</xdr:colOff>
      <xdr:row>0</xdr:row>
      <xdr:rowOff>0</xdr:rowOff>
    </xdr:from>
    <xdr:to>
      <xdr:col>1</xdr:col>
      <xdr:colOff>483054</xdr:colOff>
      <xdr:row>0</xdr:row>
      <xdr:rowOff>274320</xdr:rowOff>
    </xdr:to>
    <xdr:sp macro="" textlink="#REF!">
      <xdr:nvSpPr>
        <xdr:cNvPr id="34" name="Rectangle 33">
          <a:hlinkClick xmlns:r="http://schemas.openxmlformats.org/officeDocument/2006/relationships" r:id="rId1"/>
          <a:extLst>
            <a:ext uri="{FF2B5EF4-FFF2-40B4-BE49-F238E27FC236}">
              <a16:creationId xmlns:a16="http://schemas.microsoft.com/office/drawing/2014/main" id="{BE738C01-3314-4B4A-B261-0EA259C4FA16}"/>
            </a:ext>
          </a:extLst>
        </xdr:cNvPr>
        <xdr:cNvSpPr/>
      </xdr:nvSpPr>
      <xdr:spPr>
        <a:xfrm>
          <a:off x="1" y="0"/>
          <a:ext cx="92120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9528BEB-F01F-4EC6-B89A-7F7E8AC2DFBF}" type="TxLink">
            <a:rPr lang="en-US" sz="1200" b="0" i="0" u="sng" strike="noStrike">
              <a:solidFill>
                <a:schemeClr val="bg1"/>
              </a:solidFill>
              <a:latin typeface="Calibri"/>
              <a:cs typeface="Calibri"/>
            </a:rPr>
            <a:pPr algn="ctr"/>
            <a:t>Menu</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479227</xdr:colOff>
      <xdr:row>0</xdr:row>
      <xdr:rowOff>0</xdr:rowOff>
    </xdr:from>
    <xdr:to>
      <xdr:col>1</xdr:col>
      <xdr:colOff>1393627</xdr:colOff>
      <xdr:row>0</xdr:row>
      <xdr:rowOff>274320</xdr:rowOff>
    </xdr:to>
    <xdr:sp macro="" textlink="#REF!">
      <xdr:nvSpPr>
        <xdr:cNvPr id="35" name="Rectangle 34">
          <a:hlinkClick xmlns:r="http://schemas.openxmlformats.org/officeDocument/2006/relationships" r:id="rId2"/>
          <a:extLst>
            <a:ext uri="{FF2B5EF4-FFF2-40B4-BE49-F238E27FC236}">
              <a16:creationId xmlns:a16="http://schemas.microsoft.com/office/drawing/2014/main" id="{A0955378-AC5F-43AB-81F9-D6C2F345A923}"/>
            </a:ext>
          </a:extLst>
        </xdr:cNvPr>
        <xdr:cNvSpPr/>
      </xdr:nvSpPr>
      <xdr:spPr>
        <a:xfrm>
          <a:off x="917377" y="0"/>
          <a:ext cx="9144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B90C343-06CC-455D-B8AB-0CE137FCD3E7}" type="TxLink">
            <a:rPr lang="en-US" sz="1200" b="0" i="0" u="sng" strike="noStrike">
              <a:solidFill>
                <a:schemeClr val="bg1"/>
              </a:solidFill>
              <a:latin typeface="Calibri"/>
              <a:cs typeface="Calibri"/>
            </a:rPr>
            <a:pPr algn="ctr"/>
            <a:t>Dashboard</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1392503</xdr:colOff>
      <xdr:row>0</xdr:row>
      <xdr:rowOff>0</xdr:rowOff>
    </xdr:from>
    <xdr:to>
      <xdr:col>2</xdr:col>
      <xdr:colOff>14100</xdr:colOff>
      <xdr:row>0</xdr:row>
      <xdr:rowOff>274320</xdr:rowOff>
    </xdr:to>
    <xdr:sp macro="" textlink="#REF!">
      <xdr:nvSpPr>
        <xdr:cNvPr id="36" name="Rectangle 35">
          <a:hlinkClick xmlns:r="http://schemas.openxmlformats.org/officeDocument/2006/relationships" r:id="rId3"/>
          <a:extLst>
            <a:ext uri="{FF2B5EF4-FFF2-40B4-BE49-F238E27FC236}">
              <a16:creationId xmlns:a16="http://schemas.microsoft.com/office/drawing/2014/main" id="{B06BABA5-4A41-4336-97B0-804AABAC417C}"/>
            </a:ext>
          </a:extLst>
        </xdr:cNvPr>
        <xdr:cNvSpPr/>
      </xdr:nvSpPr>
      <xdr:spPr>
        <a:xfrm>
          <a:off x="1830653"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D0E54A7-B214-4607-8826-8942D59FE2D4}" type="TxLink">
            <a:rPr lang="en-US" sz="1200" b="0" i="0" u="none" strike="noStrike">
              <a:solidFill>
                <a:schemeClr val="bg1"/>
              </a:solidFill>
              <a:latin typeface="Calibri" panose="020F0502020204030204" pitchFamily="34" charset="0"/>
              <a:cs typeface="Calibri" panose="020F0502020204030204" pitchFamily="34" charset="0"/>
            </a:rPr>
            <a:pPr algn="ctr"/>
            <a:t>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2290788</xdr:colOff>
      <xdr:row>0</xdr:row>
      <xdr:rowOff>0</xdr:rowOff>
    </xdr:from>
    <xdr:to>
      <xdr:col>2</xdr:col>
      <xdr:colOff>913792</xdr:colOff>
      <xdr:row>0</xdr:row>
      <xdr:rowOff>274320</xdr:rowOff>
    </xdr:to>
    <xdr:sp macro="" textlink="#REF!">
      <xdr:nvSpPr>
        <xdr:cNvPr id="37" name="Rectangle 36">
          <a:hlinkClick xmlns:r="http://schemas.openxmlformats.org/officeDocument/2006/relationships" r:id="rId4"/>
          <a:extLst>
            <a:ext uri="{FF2B5EF4-FFF2-40B4-BE49-F238E27FC236}">
              <a16:creationId xmlns:a16="http://schemas.microsoft.com/office/drawing/2014/main" id="{48B8F4C0-4928-4BDD-9EF0-27BFDBC47CDF}"/>
            </a:ext>
          </a:extLst>
        </xdr:cNvPr>
        <xdr:cNvSpPr/>
      </xdr:nvSpPr>
      <xdr:spPr>
        <a:xfrm>
          <a:off x="2728938" y="0"/>
          <a:ext cx="91852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74DC379-5DB9-4A59-9F32-EF7537C03342}" type="TxLink">
            <a:rPr lang="en-US" altLang="zh-TW" sz="1200" b="0" i="0" u="none" strike="noStrike">
              <a:solidFill>
                <a:schemeClr val="bg1"/>
              </a:solidFill>
              <a:latin typeface="Calibri" panose="020F0502020204030204" pitchFamily="34" charset="0"/>
              <a:cs typeface="Calibri" panose="020F0502020204030204" pitchFamily="34" charset="0"/>
            </a:rPr>
            <a:pPr algn="ctr"/>
            <a:t>KCT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913136</xdr:colOff>
      <xdr:row>0</xdr:row>
      <xdr:rowOff>0</xdr:rowOff>
    </xdr:from>
    <xdr:to>
      <xdr:col>2</xdr:col>
      <xdr:colOff>1826374</xdr:colOff>
      <xdr:row>0</xdr:row>
      <xdr:rowOff>274320</xdr:rowOff>
    </xdr:to>
    <xdr:sp macro="" textlink="#REF!">
      <xdr:nvSpPr>
        <xdr:cNvPr id="38" name="Rectangle 37">
          <a:hlinkClick xmlns:r="http://schemas.openxmlformats.org/officeDocument/2006/relationships" r:id="rId3"/>
          <a:extLst>
            <a:ext uri="{FF2B5EF4-FFF2-40B4-BE49-F238E27FC236}">
              <a16:creationId xmlns:a16="http://schemas.microsoft.com/office/drawing/2014/main" id="{E0CFF31B-B672-40AE-9B3C-6B4F1A322D30}"/>
            </a:ext>
          </a:extLst>
        </xdr:cNvPr>
        <xdr:cNvSpPr/>
      </xdr:nvSpPr>
      <xdr:spPr>
        <a:xfrm>
          <a:off x="3646811" y="0"/>
          <a:ext cx="91323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9F9CBE-726B-4820-9127-9BFEB61EB63B}" type="TxLink">
            <a:rPr lang="en-US" sz="1200" b="0" i="0" u="none" strike="noStrike">
              <a:solidFill>
                <a:schemeClr val="bg1"/>
              </a:solidFill>
              <a:latin typeface="Calibri" panose="020F0502020204030204" pitchFamily="34" charset="0"/>
              <a:cs typeface="Calibri" panose="020F0502020204030204" pitchFamily="34" charset="0"/>
            </a:rPr>
            <a:pPr algn="ctr"/>
            <a:t>KCT_Curve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1822761</xdr:colOff>
      <xdr:row>0</xdr:row>
      <xdr:rowOff>0</xdr:rowOff>
    </xdr:from>
    <xdr:to>
      <xdr:col>2</xdr:col>
      <xdr:colOff>2738135</xdr:colOff>
      <xdr:row>0</xdr:row>
      <xdr:rowOff>274320</xdr:rowOff>
    </xdr:to>
    <xdr:sp macro="" textlink="#REF!">
      <xdr:nvSpPr>
        <xdr:cNvPr id="39" name="Rectangle 38">
          <a:hlinkClick xmlns:r="http://schemas.openxmlformats.org/officeDocument/2006/relationships" r:id="rId5"/>
          <a:extLst>
            <a:ext uri="{FF2B5EF4-FFF2-40B4-BE49-F238E27FC236}">
              <a16:creationId xmlns:a16="http://schemas.microsoft.com/office/drawing/2014/main" id="{ED1A7CB2-28EE-423B-A50D-4836C0AD813A}"/>
            </a:ext>
          </a:extLst>
        </xdr:cNvPr>
        <xdr:cNvSpPr/>
      </xdr:nvSpPr>
      <xdr:spPr>
        <a:xfrm>
          <a:off x="4556436" y="0"/>
          <a:ext cx="91537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EC4968A-67D4-43C6-A25C-FD0E75E9BD05}" type="TxLink">
            <a:rPr lang="en-US" sz="1200" b="0" i="0" u="none" strike="noStrike">
              <a:solidFill>
                <a:schemeClr val="bg1"/>
              </a:solidFill>
              <a:latin typeface="Calibri" panose="020F0502020204030204" pitchFamily="34" charset="0"/>
              <a:cs typeface="Calibri" panose="020F0502020204030204" pitchFamily="34" charset="0"/>
            </a:rPr>
            <a:pPr algn="ctr"/>
            <a:t>KCT_Pivot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2730251</xdr:colOff>
      <xdr:row>0</xdr:row>
      <xdr:rowOff>0</xdr:rowOff>
    </xdr:from>
    <xdr:to>
      <xdr:col>2</xdr:col>
      <xdr:colOff>3647373</xdr:colOff>
      <xdr:row>0</xdr:row>
      <xdr:rowOff>274320</xdr:rowOff>
    </xdr:to>
    <xdr:sp macro="" textlink="#REF!">
      <xdr:nvSpPr>
        <xdr:cNvPr id="40" name="Rectangle 39">
          <a:hlinkClick xmlns:r="http://schemas.openxmlformats.org/officeDocument/2006/relationships" r:id="rId6"/>
          <a:extLst>
            <a:ext uri="{FF2B5EF4-FFF2-40B4-BE49-F238E27FC236}">
              <a16:creationId xmlns:a16="http://schemas.microsoft.com/office/drawing/2014/main" id="{262D5ABC-CBB5-4E75-B548-D375FA2DE83F}"/>
            </a:ext>
          </a:extLst>
        </xdr:cNvPr>
        <xdr:cNvSpPr/>
      </xdr:nvSpPr>
      <xdr:spPr>
        <a:xfrm>
          <a:off x="5463926"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7F627CC-32D4-4130-8C48-E1A5B0B97854}" type="TxLink">
            <a:rPr lang="en-US" sz="1200" b="0" i="0" u="none" strike="noStrike">
              <a:solidFill>
                <a:schemeClr val="bg1"/>
              </a:solidFill>
              <a:latin typeface="Calibri" panose="020F0502020204030204" pitchFamily="34" charset="0"/>
              <a:cs typeface="Calibri" panose="020F0502020204030204" pitchFamily="34" charset="0"/>
            </a:rPr>
            <a:pPr algn="ctr"/>
            <a:t>Key_Quality_Docs</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3646448</xdr:colOff>
      <xdr:row>0</xdr:row>
      <xdr:rowOff>0</xdr:rowOff>
    </xdr:from>
    <xdr:to>
      <xdr:col>2</xdr:col>
      <xdr:colOff>5018799</xdr:colOff>
      <xdr:row>0</xdr:row>
      <xdr:rowOff>274320</xdr:rowOff>
    </xdr:to>
    <xdr:sp macro="" textlink="#REF!">
      <xdr:nvSpPr>
        <xdr:cNvPr id="41" name="Rectangle 40">
          <a:hlinkClick xmlns:r="http://schemas.openxmlformats.org/officeDocument/2006/relationships" r:id="rId7"/>
          <a:extLst>
            <a:ext uri="{FF2B5EF4-FFF2-40B4-BE49-F238E27FC236}">
              <a16:creationId xmlns:a16="http://schemas.microsoft.com/office/drawing/2014/main" id="{6E02FFAE-86DD-4F88-B732-C302C88F7184}"/>
            </a:ext>
          </a:extLst>
        </xdr:cNvPr>
        <xdr:cNvSpPr/>
      </xdr:nvSpPr>
      <xdr:spPr>
        <a:xfrm>
          <a:off x="6380123" y="0"/>
          <a:ext cx="137235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Q_commu._Matrix</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843626</xdr:rowOff>
    </xdr:from>
    <xdr:to>
      <xdr:col>1</xdr:col>
      <xdr:colOff>760096</xdr:colOff>
      <xdr:row>0</xdr:row>
      <xdr:rowOff>1117946</xdr:rowOff>
    </xdr:to>
    <xdr:sp macro="" textlink="#REF!">
      <xdr:nvSpPr>
        <xdr:cNvPr id="42" name="Rectangle 41">
          <a:hlinkClick xmlns:r="http://schemas.openxmlformats.org/officeDocument/2006/relationships" r:id="rId8"/>
          <a:extLst>
            <a:ext uri="{FF2B5EF4-FFF2-40B4-BE49-F238E27FC236}">
              <a16:creationId xmlns:a16="http://schemas.microsoft.com/office/drawing/2014/main" id="{6B1CA8C7-A0C6-49F8-B6B1-B11D430D6CA0}"/>
            </a:ext>
          </a:extLst>
        </xdr:cNvPr>
        <xdr:cNvSpPr/>
      </xdr:nvSpPr>
      <xdr:spPr>
        <a:xfrm>
          <a:off x="1" y="843626"/>
          <a:ext cx="119824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2AEF7F1-F48C-4FA1-A707-132A4EE8650E}" type="TxLink">
            <a:rPr lang="en-US" sz="1200" b="0" i="0" u="none" strike="noStrike">
              <a:solidFill>
                <a:schemeClr val="bg1"/>
              </a:solidFill>
              <a:latin typeface="Calibri" panose="020F0502020204030204" pitchFamily="34" charset="0"/>
              <a:cs typeface="Calibri" panose="020F0502020204030204" pitchFamily="34" charset="0"/>
            </a:rPr>
            <a:pPr algn="ctr"/>
            <a:t>ITP_Summary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1</xdr:col>
      <xdr:colOff>942295</xdr:colOff>
      <xdr:row>0</xdr:row>
      <xdr:rowOff>1491768</xdr:rowOff>
    </xdr:to>
    <xdr:sp macro="" textlink="#REF!">
      <xdr:nvSpPr>
        <xdr:cNvPr id="43" name="Rectangle 42">
          <a:hlinkClick xmlns:r="http://schemas.openxmlformats.org/officeDocument/2006/relationships" r:id="rId9"/>
          <a:extLst>
            <a:ext uri="{FF2B5EF4-FFF2-40B4-BE49-F238E27FC236}">
              <a16:creationId xmlns:a16="http://schemas.microsoft.com/office/drawing/2014/main" id="{1853078D-059A-4BD3-85F2-ECAA5328008B}"/>
            </a:ext>
          </a:extLst>
        </xdr:cNvPr>
        <xdr:cNvSpPr/>
      </xdr:nvSpPr>
      <xdr:spPr>
        <a:xfrm>
          <a:off x="1" y="1217448"/>
          <a:ext cx="13804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D99717-E26D-4349-956E-1203D01BE3F8}" type="TxLink">
            <a:rPr lang="en-US" sz="1200" b="0" i="0" u="none" strike="noStrike">
              <a:solidFill>
                <a:schemeClr val="bg1"/>
              </a:solidFill>
              <a:latin typeface="Calibri" panose="020F0502020204030204" pitchFamily="34" charset="0"/>
              <a:cs typeface="Calibri" panose="020F0502020204030204" pitchFamily="34" charset="0"/>
            </a:rPr>
            <a:pPr algn="ctr"/>
            <a:t>ITP_IAC_Hellenic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0</xdr:col>
      <xdr:colOff>1</xdr:colOff>
      <xdr:row>0</xdr:row>
      <xdr:rowOff>1491768</xdr:rowOff>
    </xdr:to>
    <xdr:sp macro="" textlink="$B$27">
      <xdr:nvSpPr>
        <xdr:cNvPr id="44" name="Rectangle 43">
          <a:extLst>
            <a:ext uri="{FF2B5EF4-FFF2-40B4-BE49-F238E27FC236}">
              <a16:creationId xmlns:a16="http://schemas.microsoft.com/office/drawing/2014/main" id="{A71A023C-7C3D-4D36-B0F4-D57E5CC174BC}"/>
            </a:ext>
          </a:extLst>
        </xdr:cNvPr>
        <xdr:cNvSpPr/>
      </xdr:nvSpPr>
      <xdr:spPr>
        <a:xfrm>
          <a:off x="1" y="1217448"/>
          <a:ext cx="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B2C5B66-F7E2-4187-B670-BF121381989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939624</xdr:colOff>
      <xdr:row>0</xdr:row>
      <xdr:rowOff>1217448</xdr:rowOff>
    </xdr:from>
    <xdr:to>
      <xdr:col>1</xdr:col>
      <xdr:colOff>1999992</xdr:colOff>
      <xdr:row>0</xdr:row>
      <xdr:rowOff>1491768</xdr:rowOff>
    </xdr:to>
    <xdr:sp macro="" textlink="#REF!">
      <xdr:nvSpPr>
        <xdr:cNvPr id="45" name="Rectangle 44">
          <a:hlinkClick xmlns:r="http://schemas.openxmlformats.org/officeDocument/2006/relationships" r:id="rId10"/>
          <a:extLst>
            <a:ext uri="{FF2B5EF4-FFF2-40B4-BE49-F238E27FC236}">
              <a16:creationId xmlns:a16="http://schemas.microsoft.com/office/drawing/2014/main" id="{6E127FF7-328F-4C34-ADCC-6E0B3DF1F15C}"/>
            </a:ext>
          </a:extLst>
        </xdr:cNvPr>
        <xdr:cNvSpPr/>
      </xdr:nvSpPr>
      <xdr:spPr>
        <a:xfrm>
          <a:off x="1377774" y="1217448"/>
          <a:ext cx="106036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A79F7F-4ADB-4ABC-9292-0F2B92307410}" type="TxLink">
            <a:rPr lang="en-US" altLang="zh-TW" sz="1200" b="0" i="0" u="none" strike="noStrike">
              <a:solidFill>
                <a:schemeClr val="bg1"/>
              </a:solidFill>
              <a:latin typeface="Calibri" panose="020F0502020204030204" pitchFamily="34" charset="0"/>
              <a:cs typeface="Calibri" panose="020F0502020204030204" pitchFamily="34" charset="0"/>
            </a:rPr>
            <a:pPr algn="ctr"/>
            <a:t>ITP_EXC_LSC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1999992</xdr:colOff>
      <xdr:row>0</xdr:row>
      <xdr:rowOff>1217448</xdr:rowOff>
    </xdr:from>
    <xdr:to>
      <xdr:col>2</xdr:col>
      <xdr:colOff>1086272</xdr:colOff>
      <xdr:row>0</xdr:row>
      <xdr:rowOff>1491768</xdr:rowOff>
    </xdr:to>
    <xdr:sp macro="" textlink="#REF!">
      <xdr:nvSpPr>
        <xdr:cNvPr id="46" name="Rectangle 45">
          <a:hlinkClick xmlns:r="http://schemas.openxmlformats.org/officeDocument/2006/relationships" r:id="rId11"/>
          <a:extLst>
            <a:ext uri="{FF2B5EF4-FFF2-40B4-BE49-F238E27FC236}">
              <a16:creationId xmlns:a16="http://schemas.microsoft.com/office/drawing/2014/main" id="{44FD5BA2-6F33-49B6-9616-71A0BF998BB1}"/>
            </a:ext>
          </a:extLst>
        </xdr:cNvPr>
        <xdr:cNvSpPr/>
      </xdr:nvSpPr>
      <xdr:spPr>
        <a:xfrm>
          <a:off x="2438142" y="1217448"/>
          <a:ext cx="138180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DAB4F40-9E56-424D-9D25-023E38A6DFEF}" type="TxLink">
            <a:rPr lang="en-US" altLang="zh-TW" sz="1200" b="0" i="0" u="none" strike="noStrike">
              <a:solidFill>
                <a:schemeClr val="bg1"/>
              </a:solidFill>
              <a:latin typeface="Calibri" panose="020F0502020204030204" pitchFamily="34" charset="0"/>
              <a:cs typeface="Calibri" panose="020F0502020204030204" pitchFamily="34" charset="0"/>
            </a:rPr>
            <a:pPr algn="ctr"/>
            <a:t>ITP_Cable_TNI_S7</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1082753</xdr:colOff>
      <xdr:row>0</xdr:row>
      <xdr:rowOff>1217448</xdr:rowOff>
    </xdr:from>
    <xdr:to>
      <xdr:col>2</xdr:col>
      <xdr:colOff>2450101</xdr:colOff>
      <xdr:row>0</xdr:row>
      <xdr:rowOff>1491768</xdr:rowOff>
    </xdr:to>
    <xdr:sp macro="" textlink="#REF!">
      <xdr:nvSpPr>
        <xdr:cNvPr id="47" name="Rectangle 46">
          <a:hlinkClick xmlns:r="http://schemas.openxmlformats.org/officeDocument/2006/relationships" r:id="rId12"/>
          <a:extLst>
            <a:ext uri="{FF2B5EF4-FFF2-40B4-BE49-F238E27FC236}">
              <a16:creationId xmlns:a16="http://schemas.microsoft.com/office/drawing/2014/main" id="{410A9043-9199-40BC-A577-D86319FADE9E}"/>
            </a:ext>
          </a:extLst>
        </xdr:cNvPr>
        <xdr:cNvSpPr/>
      </xdr:nvSpPr>
      <xdr:spPr>
        <a:xfrm>
          <a:off x="3816428" y="1217448"/>
          <a:ext cx="136734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A6692E6-56B3-4FA0-B035-A27BEF5E821D}" type="TxLink">
            <a:rPr lang="en-US" sz="1200" b="0" i="0" u="none" strike="noStrike">
              <a:solidFill>
                <a:schemeClr val="bg1"/>
              </a:solidFill>
              <a:latin typeface="Calibri" panose="020F0502020204030204" pitchFamily="34" charset="0"/>
              <a:cs typeface="Calibri" panose="020F0502020204030204" pitchFamily="34" charset="0"/>
            </a:rPr>
            <a:pPr algn="ctr"/>
            <a:t>ITP_ONS_TECO</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5011080</xdr:colOff>
      <xdr:row>0</xdr:row>
      <xdr:rowOff>0</xdr:rowOff>
    </xdr:from>
    <xdr:to>
      <xdr:col>4</xdr:col>
      <xdr:colOff>415947</xdr:colOff>
      <xdr:row>0</xdr:row>
      <xdr:rowOff>274320</xdr:rowOff>
    </xdr:to>
    <xdr:sp macro="" textlink="#REF!">
      <xdr:nvSpPr>
        <xdr:cNvPr id="48" name="Rectangle 47">
          <a:hlinkClick xmlns:r="http://schemas.openxmlformats.org/officeDocument/2006/relationships" r:id="rId13"/>
          <a:extLst>
            <a:ext uri="{FF2B5EF4-FFF2-40B4-BE49-F238E27FC236}">
              <a16:creationId xmlns:a16="http://schemas.microsoft.com/office/drawing/2014/main" id="{22E0D387-161E-4604-A46A-E32B70086147}"/>
            </a:ext>
          </a:extLst>
        </xdr:cNvPr>
        <xdr:cNvSpPr/>
      </xdr:nvSpPr>
      <xdr:spPr>
        <a:xfrm>
          <a:off x="7744755" y="0"/>
          <a:ext cx="137704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ED4B2CE-3865-4169-8EDE-4E9A4AD0300C}" type="TxLink">
            <a:rPr lang="en-US" sz="1200" b="0" i="0" u="none" strike="noStrike">
              <a:solidFill>
                <a:schemeClr val="bg1"/>
              </a:solidFill>
              <a:latin typeface="Calibri" panose="020F0502020204030204" pitchFamily="34" charset="0"/>
              <a:cs typeface="Calibri" panose="020F0502020204030204" pitchFamily="34" charset="0"/>
            </a:rPr>
            <a:pPr algn="ctr"/>
            <a:t>OBS_Summary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2444339</xdr:colOff>
      <xdr:row>0</xdr:row>
      <xdr:rowOff>1217448</xdr:rowOff>
    </xdr:from>
    <xdr:to>
      <xdr:col>2</xdr:col>
      <xdr:colOff>3364183</xdr:colOff>
      <xdr:row>0</xdr:row>
      <xdr:rowOff>1491768</xdr:rowOff>
    </xdr:to>
    <xdr:sp macro="" textlink="#REF!">
      <xdr:nvSpPr>
        <xdr:cNvPr id="49" name="Rectangle 48">
          <a:hlinkClick xmlns:r="http://schemas.openxmlformats.org/officeDocument/2006/relationships" r:id="rId14"/>
          <a:extLst>
            <a:ext uri="{FF2B5EF4-FFF2-40B4-BE49-F238E27FC236}">
              <a16:creationId xmlns:a16="http://schemas.microsoft.com/office/drawing/2014/main" id="{B5490279-6156-4426-B0E8-47C05779612E}"/>
            </a:ext>
          </a:extLst>
        </xdr:cNvPr>
        <xdr:cNvSpPr/>
      </xdr:nvSpPr>
      <xdr:spPr>
        <a:xfrm>
          <a:off x="5178014" y="1217448"/>
          <a:ext cx="9198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B7B64F5-264F-4267-A451-4ADD194C012B}" type="TxLink">
            <a:rPr lang="en-US" sz="1200" b="0" i="0" u="none" strike="noStrike">
              <a:solidFill>
                <a:schemeClr val="bg1"/>
              </a:solidFill>
              <a:latin typeface="Calibri" panose="020F0502020204030204" pitchFamily="34" charset="0"/>
              <a:cs typeface="Calibri" panose="020F0502020204030204" pitchFamily="34" charset="0"/>
            </a:rPr>
            <a:pPr algn="ctr"/>
            <a:t>ITP_CDWE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3356972</xdr:colOff>
      <xdr:row>0</xdr:row>
      <xdr:rowOff>1217448</xdr:rowOff>
    </xdr:from>
    <xdr:to>
      <xdr:col>2</xdr:col>
      <xdr:colOff>4728572</xdr:colOff>
      <xdr:row>0</xdr:row>
      <xdr:rowOff>1491768</xdr:rowOff>
    </xdr:to>
    <xdr:sp macro="" textlink="#REF!">
      <xdr:nvSpPr>
        <xdr:cNvPr id="50" name="Rectangle 49">
          <a:hlinkClick xmlns:r="http://schemas.openxmlformats.org/officeDocument/2006/relationships" r:id="rId15"/>
          <a:extLst>
            <a:ext uri="{FF2B5EF4-FFF2-40B4-BE49-F238E27FC236}">
              <a16:creationId xmlns:a16="http://schemas.microsoft.com/office/drawing/2014/main" id="{61AE34D5-6769-4C0B-B397-37AA2ECA2421}"/>
            </a:ext>
          </a:extLst>
        </xdr:cNvPr>
        <xdr:cNvSpPr/>
      </xdr:nvSpPr>
      <xdr:spPr>
        <a:xfrm>
          <a:off x="6090647" y="1217448"/>
          <a:ext cx="13716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4BD5D57-9335-47BB-B5C1-827C5BAA4DE8}" type="TxLink">
            <a:rPr lang="en-US" sz="1200" b="0" i="0" u="none" strike="noStrike">
              <a:solidFill>
                <a:schemeClr val="bg1"/>
              </a:solidFill>
              <a:latin typeface="Calibri" panose="020F0502020204030204" pitchFamily="34" charset="0"/>
              <a:cs typeface="Calibri" panose="020F0502020204030204" pitchFamily="34" charset="0"/>
            </a:rPr>
            <a:pPr algn="ctr"/>
            <a:t>ITP_OSS_SMPTSC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277488</xdr:rowOff>
    </xdr:from>
    <xdr:to>
      <xdr:col>1</xdr:col>
      <xdr:colOff>53336</xdr:colOff>
      <xdr:row>0</xdr:row>
      <xdr:rowOff>551808</xdr:rowOff>
    </xdr:to>
    <xdr:sp macro="" textlink="#REF!">
      <xdr:nvSpPr>
        <xdr:cNvPr id="51" name="Rectangle 50">
          <a:hlinkClick xmlns:r="http://schemas.openxmlformats.org/officeDocument/2006/relationships" r:id="rId16"/>
          <a:extLst>
            <a:ext uri="{FF2B5EF4-FFF2-40B4-BE49-F238E27FC236}">
              <a16:creationId xmlns:a16="http://schemas.microsoft.com/office/drawing/2014/main" id="{2F97BFAC-DC4F-4D89-8335-D4FAAECC00C2}"/>
            </a:ext>
          </a:extLst>
        </xdr:cNvPr>
        <xdr:cNvSpPr/>
      </xdr:nvSpPr>
      <xdr:spPr>
        <a:xfrm>
          <a:off x="1" y="277488"/>
          <a:ext cx="49148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76DB0D7-CA15-4C84-BEF1-B2FE174253A5}" type="TxLink">
            <a:rPr lang="en-US" sz="1200" b="0" i="0" u="none" strike="noStrike">
              <a:solidFill>
                <a:schemeClr val="bg1"/>
              </a:solidFill>
              <a:latin typeface="Calibri" panose="020F0502020204030204" pitchFamily="34" charset="0"/>
              <a:cs typeface="Calibri" panose="020F0502020204030204" pitchFamily="34" charset="0"/>
            </a:rPr>
            <a:pPr algn="ctr"/>
            <a:t>PQP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37106</xdr:colOff>
      <xdr:row>0</xdr:row>
      <xdr:rowOff>277488</xdr:rowOff>
    </xdr:from>
    <xdr:to>
      <xdr:col>1</xdr:col>
      <xdr:colOff>1417890</xdr:colOff>
      <xdr:row>0</xdr:row>
      <xdr:rowOff>551808</xdr:rowOff>
    </xdr:to>
    <xdr:sp macro="" textlink="#REF!">
      <xdr:nvSpPr>
        <xdr:cNvPr id="52" name="Rectangle 51">
          <a:hlinkClick xmlns:r="http://schemas.openxmlformats.org/officeDocument/2006/relationships" r:id="rId17"/>
          <a:extLst>
            <a:ext uri="{FF2B5EF4-FFF2-40B4-BE49-F238E27FC236}">
              <a16:creationId xmlns:a16="http://schemas.microsoft.com/office/drawing/2014/main" id="{250191C9-5F1F-44F6-8EED-319D2069CF25}"/>
            </a:ext>
          </a:extLst>
        </xdr:cNvPr>
        <xdr:cNvSpPr/>
      </xdr:nvSpPr>
      <xdr:spPr>
        <a:xfrm>
          <a:off x="475256" y="277488"/>
          <a:ext cx="138078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B67B7DE-3A73-4724-AD40-6EFDCB186502}" type="TxLink">
            <a:rPr lang="en-US" sz="1200" b="0" i="0" u="none" strike="noStrike">
              <a:solidFill>
                <a:schemeClr val="bg1"/>
              </a:solidFill>
              <a:latin typeface="Calibri" panose="020F0502020204030204" pitchFamily="34" charset="0"/>
              <a:cs typeface="Calibri" panose="020F0502020204030204" pitchFamily="34" charset="0"/>
            </a:rPr>
            <a:pPr algn="ctr"/>
            <a:t>NCR_Summary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1416983</xdr:colOff>
      <xdr:row>0</xdr:row>
      <xdr:rowOff>277488</xdr:rowOff>
    </xdr:from>
    <xdr:to>
      <xdr:col>2</xdr:col>
      <xdr:colOff>36199</xdr:colOff>
      <xdr:row>0</xdr:row>
      <xdr:rowOff>551808</xdr:rowOff>
    </xdr:to>
    <xdr:sp macro="" textlink="#REF!">
      <xdr:nvSpPr>
        <xdr:cNvPr id="53" name="Rectangle 52">
          <a:hlinkClick xmlns:r="http://schemas.openxmlformats.org/officeDocument/2006/relationships" r:id="rId18"/>
          <a:extLst>
            <a:ext uri="{FF2B5EF4-FFF2-40B4-BE49-F238E27FC236}">
              <a16:creationId xmlns:a16="http://schemas.microsoft.com/office/drawing/2014/main" id="{58C4BD5E-AAE5-4A11-BE44-D410167039CD}"/>
            </a:ext>
          </a:extLst>
        </xdr:cNvPr>
        <xdr:cNvSpPr/>
      </xdr:nvSpPr>
      <xdr:spPr>
        <a:xfrm>
          <a:off x="1855133" y="277488"/>
          <a:ext cx="91474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DF90472-98E3-4CD3-93C5-712192C887E4}" type="TxLink">
            <a:rPr lang="en-US" sz="1200" b="0" i="0" u="none" strike="noStrike">
              <a:solidFill>
                <a:schemeClr val="bg1"/>
              </a:solidFill>
              <a:latin typeface="Calibri" panose="020F0502020204030204" pitchFamily="34" charset="0"/>
              <a:cs typeface="Calibri" panose="020F0502020204030204" pitchFamily="34" charset="0"/>
            </a:rPr>
            <a:pPr algn="ctr"/>
            <a:t>NCR_Pivot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33305</xdr:colOff>
      <xdr:row>0</xdr:row>
      <xdr:rowOff>277488</xdr:rowOff>
    </xdr:from>
    <xdr:to>
      <xdr:col>2</xdr:col>
      <xdr:colOff>1249772</xdr:colOff>
      <xdr:row>0</xdr:row>
      <xdr:rowOff>551808</xdr:rowOff>
    </xdr:to>
    <xdr:sp macro="" textlink="#REF!">
      <xdr:nvSpPr>
        <xdr:cNvPr id="54" name="Rectangle 53">
          <a:hlinkClick xmlns:r="http://schemas.openxmlformats.org/officeDocument/2006/relationships" r:id="rId13"/>
          <a:extLst>
            <a:ext uri="{FF2B5EF4-FFF2-40B4-BE49-F238E27FC236}">
              <a16:creationId xmlns:a16="http://schemas.microsoft.com/office/drawing/2014/main" id="{0D21FF03-9CC9-4EA9-8BA3-B41BDBE5A032}"/>
            </a:ext>
          </a:extLst>
        </xdr:cNvPr>
        <xdr:cNvSpPr/>
      </xdr:nvSpPr>
      <xdr:spPr>
        <a:xfrm>
          <a:off x="2766980" y="277488"/>
          <a:ext cx="121646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1C13F6A-2AE7-4D10-B8FE-F91861D7E1CA}" type="TxLink">
            <a:rPr lang="en-US" sz="1200" b="0" i="0" u="none" strike="noStrike">
              <a:solidFill>
                <a:schemeClr val="bg1"/>
              </a:solidFill>
              <a:latin typeface="Calibri" panose="020F0502020204030204" pitchFamily="34" charset="0"/>
              <a:cs typeface="Calibri" panose="020F0502020204030204" pitchFamily="34" charset="0"/>
            </a:rPr>
            <a:pPr algn="ctr"/>
            <a:t>OBS_Pivot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1242968</xdr:colOff>
      <xdr:row>0</xdr:row>
      <xdr:rowOff>277488</xdr:rowOff>
    </xdr:from>
    <xdr:to>
      <xdr:col>2</xdr:col>
      <xdr:colOff>2146482</xdr:colOff>
      <xdr:row>0</xdr:row>
      <xdr:rowOff>551808</xdr:rowOff>
    </xdr:to>
    <xdr:sp macro="" textlink="#REF!">
      <xdr:nvSpPr>
        <xdr:cNvPr id="55" name="Rectangle 54">
          <a:hlinkClick xmlns:r="http://schemas.openxmlformats.org/officeDocument/2006/relationships" r:id="rId19"/>
          <a:extLst>
            <a:ext uri="{FF2B5EF4-FFF2-40B4-BE49-F238E27FC236}">
              <a16:creationId xmlns:a16="http://schemas.microsoft.com/office/drawing/2014/main" id="{33F6A9C8-AAA8-4E0C-8062-4AABC4BF5400}"/>
            </a:ext>
          </a:extLst>
        </xdr:cNvPr>
        <xdr:cNvSpPr/>
      </xdr:nvSpPr>
      <xdr:spPr>
        <a:xfrm>
          <a:off x="3976643" y="277488"/>
          <a:ext cx="90351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42A3ED4-1362-4FEE-889B-CEFC97F9EB4C}" type="TxLink">
            <a:rPr lang="en-US" altLang="zh-TW" sz="1200" b="0" i="0" u="none" strike="noStrike">
              <a:solidFill>
                <a:schemeClr val="bg1"/>
              </a:solidFill>
              <a:latin typeface="Calibri" panose="020F0502020204030204" pitchFamily="34" charset="0"/>
              <a:cs typeface="Calibri" panose="020F0502020204030204" pitchFamily="34" charset="0"/>
            </a:rPr>
            <a:pPr algn="ctr"/>
            <a:t>Database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2146484</xdr:colOff>
      <xdr:row>0</xdr:row>
      <xdr:rowOff>277488</xdr:rowOff>
    </xdr:from>
    <xdr:to>
      <xdr:col>2</xdr:col>
      <xdr:colOff>3157767</xdr:colOff>
      <xdr:row>0</xdr:row>
      <xdr:rowOff>551808</xdr:rowOff>
    </xdr:to>
    <xdr:sp macro="" textlink="#REF!">
      <xdr:nvSpPr>
        <xdr:cNvPr id="56" name="Rectangle 55">
          <a:hlinkClick xmlns:r="http://schemas.openxmlformats.org/officeDocument/2006/relationships" r:id="rId20"/>
          <a:extLst>
            <a:ext uri="{FF2B5EF4-FFF2-40B4-BE49-F238E27FC236}">
              <a16:creationId xmlns:a16="http://schemas.microsoft.com/office/drawing/2014/main" id="{7AA13487-BBE1-45B4-968A-4E2B3E80B0E7}"/>
            </a:ext>
          </a:extLst>
        </xdr:cNvPr>
        <xdr:cNvSpPr/>
      </xdr:nvSpPr>
      <xdr:spPr>
        <a:xfrm>
          <a:off x="4880159" y="277488"/>
          <a:ext cx="10112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A518611-076D-45B5-BAAD-2BD8D5A103C9}" type="TxLink">
            <a:rPr lang="en-US" sz="1200" b="0" i="0" u="none" strike="noStrike">
              <a:solidFill>
                <a:schemeClr val="bg1"/>
              </a:solidFill>
              <a:latin typeface="Calibri" panose="020F0502020204030204" pitchFamily="34" charset="0"/>
              <a:cs typeface="Calibri" panose="020F0502020204030204" pitchFamily="34" charset="0"/>
            </a:rPr>
            <a:pPr algn="ctr"/>
            <a:t>NOI_Tracker</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3158855</xdr:colOff>
      <xdr:row>0</xdr:row>
      <xdr:rowOff>277488</xdr:rowOff>
    </xdr:from>
    <xdr:to>
      <xdr:col>2</xdr:col>
      <xdr:colOff>4075976</xdr:colOff>
      <xdr:row>0</xdr:row>
      <xdr:rowOff>551808</xdr:rowOff>
    </xdr:to>
    <xdr:sp macro="" textlink="#REF!">
      <xdr:nvSpPr>
        <xdr:cNvPr id="57" name="Rectangle 56">
          <a:hlinkClick xmlns:r="http://schemas.openxmlformats.org/officeDocument/2006/relationships" r:id="rId21"/>
          <a:extLst>
            <a:ext uri="{FF2B5EF4-FFF2-40B4-BE49-F238E27FC236}">
              <a16:creationId xmlns:a16="http://schemas.microsoft.com/office/drawing/2014/main" id="{FB2A57A7-898C-44EB-92F1-251189BA521F}"/>
            </a:ext>
          </a:extLst>
        </xdr:cNvPr>
        <xdr:cNvSpPr/>
      </xdr:nvSpPr>
      <xdr:spPr>
        <a:xfrm>
          <a:off x="5892530" y="277488"/>
          <a:ext cx="91712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B07602-FD62-4EAF-B169-6BFDF1E5093F}" type="TxLink">
            <a:rPr lang="en-US" sz="1200" b="0" i="0" u="none" strike="noStrike">
              <a:solidFill>
                <a:schemeClr val="bg1"/>
              </a:solidFill>
              <a:latin typeface="Calibri" panose="020F0502020204030204" pitchFamily="34" charset="0"/>
              <a:cs typeface="Calibri" panose="020F0502020204030204" pitchFamily="34" charset="0"/>
            </a:rPr>
            <a:pPr algn="ctr"/>
            <a:t>NOI_Pivot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4073656</xdr:colOff>
      <xdr:row>0</xdr:row>
      <xdr:rowOff>277488</xdr:rowOff>
    </xdr:from>
    <xdr:to>
      <xdr:col>2</xdr:col>
      <xdr:colOff>5262376</xdr:colOff>
      <xdr:row>0</xdr:row>
      <xdr:rowOff>551808</xdr:rowOff>
    </xdr:to>
    <xdr:sp macro="" textlink="#REF!">
      <xdr:nvSpPr>
        <xdr:cNvPr id="58" name="Rectangle 57">
          <a:hlinkClick xmlns:r="http://schemas.openxmlformats.org/officeDocument/2006/relationships" r:id="rId22"/>
          <a:extLst>
            <a:ext uri="{FF2B5EF4-FFF2-40B4-BE49-F238E27FC236}">
              <a16:creationId xmlns:a16="http://schemas.microsoft.com/office/drawing/2014/main" id="{FACEACD8-0CFA-4CBC-A508-E990A92A683C}"/>
            </a:ext>
          </a:extLst>
        </xdr:cNvPr>
        <xdr:cNvSpPr/>
      </xdr:nvSpPr>
      <xdr:spPr>
        <a:xfrm>
          <a:off x="6807331" y="277488"/>
          <a:ext cx="118872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E02AD9C-7FF4-4980-9A1F-06071A75B120}"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0</xdr:colOff>
      <xdr:row>0</xdr:row>
      <xdr:rowOff>1492278</xdr:rowOff>
    </xdr:from>
    <xdr:to>
      <xdr:col>1</xdr:col>
      <xdr:colOff>1404597</xdr:colOff>
      <xdr:row>0</xdr:row>
      <xdr:rowOff>1766598</xdr:rowOff>
    </xdr:to>
    <xdr:sp macro="" textlink="#REF!">
      <xdr:nvSpPr>
        <xdr:cNvPr id="59" name="Rectangle 58">
          <a:hlinkClick xmlns:r="http://schemas.openxmlformats.org/officeDocument/2006/relationships" r:id="rId23"/>
          <a:extLst>
            <a:ext uri="{FF2B5EF4-FFF2-40B4-BE49-F238E27FC236}">
              <a16:creationId xmlns:a16="http://schemas.microsoft.com/office/drawing/2014/main" id="{1F94701A-AE2A-404D-A797-4E669C7BEB63}"/>
            </a:ext>
          </a:extLst>
        </xdr:cNvPr>
        <xdr:cNvSpPr/>
      </xdr:nvSpPr>
      <xdr:spPr>
        <a:xfrm>
          <a:off x="0" y="1492278"/>
          <a:ext cx="18427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446E702-EE70-4546-8C7E-382A6D1B064A}" type="TxLink">
            <a:rPr lang="en-US" sz="1200" b="0" i="0" u="none" strike="noStrike">
              <a:solidFill>
                <a:schemeClr val="bg1"/>
              </a:solidFill>
              <a:latin typeface="Calibri" panose="020F0502020204030204" pitchFamily="34" charset="0"/>
              <a:cs typeface="Calibri" panose="020F0502020204030204" pitchFamily="34" charset="0"/>
            </a:rPr>
            <a:pPr algn="ctr"/>
            <a:t>ITP_FOU_JKT_LOC_CWP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1321667</xdr:colOff>
      <xdr:row>0</xdr:row>
      <xdr:rowOff>1492278</xdr:rowOff>
    </xdr:from>
    <xdr:to>
      <xdr:col>2</xdr:col>
      <xdr:colOff>1053130</xdr:colOff>
      <xdr:row>0</xdr:row>
      <xdr:rowOff>1766598</xdr:rowOff>
    </xdr:to>
    <xdr:sp macro="" textlink="#REF!">
      <xdr:nvSpPr>
        <xdr:cNvPr id="60" name="Rectangle 59">
          <a:hlinkClick xmlns:r="http://schemas.openxmlformats.org/officeDocument/2006/relationships" r:id="rId24"/>
          <a:extLst>
            <a:ext uri="{FF2B5EF4-FFF2-40B4-BE49-F238E27FC236}">
              <a16:creationId xmlns:a16="http://schemas.microsoft.com/office/drawing/2014/main" id="{CEDC61D5-832A-450B-B96C-65F548E7B700}"/>
            </a:ext>
          </a:extLst>
        </xdr:cNvPr>
        <xdr:cNvSpPr/>
      </xdr:nvSpPr>
      <xdr:spPr>
        <a:xfrm>
          <a:off x="1759817" y="1492278"/>
          <a:ext cx="202698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EFA0B59-9336-4CB7-B37C-024F5B6F5E65}"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ITP_FOU_Pin_Pile_INT_EEW</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1049058</xdr:colOff>
      <xdr:row>0</xdr:row>
      <xdr:rowOff>1492278</xdr:rowOff>
    </xdr:from>
    <xdr:to>
      <xdr:col>2</xdr:col>
      <xdr:colOff>2778253</xdr:colOff>
      <xdr:row>0</xdr:row>
      <xdr:rowOff>1766598</xdr:rowOff>
    </xdr:to>
    <xdr:sp macro="" textlink="#REF!">
      <xdr:nvSpPr>
        <xdr:cNvPr id="61" name="Rectangle 60">
          <a:hlinkClick xmlns:r="http://schemas.openxmlformats.org/officeDocument/2006/relationships" r:id="rId25"/>
          <a:extLst>
            <a:ext uri="{FF2B5EF4-FFF2-40B4-BE49-F238E27FC236}">
              <a16:creationId xmlns:a16="http://schemas.microsoft.com/office/drawing/2014/main" id="{1F99A2D2-98E5-44C2-A505-AE215F641C13}"/>
            </a:ext>
          </a:extLst>
        </xdr:cNvPr>
        <xdr:cNvSpPr/>
      </xdr:nvSpPr>
      <xdr:spPr>
        <a:xfrm>
          <a:off x="3782733" y="1492278"/>
          <a:ext cx="172919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A4FDC92-BC37-46C0-8867-999F815AE370}" type="TxLink">
            <a:rPr lang="en-US" sz="1200" b="0" i="0" u="none" strike="noStrike">
              <a:solidFill>
                <a:schemeClr val="bg1"/>
              </a:solidFill>
              <a:latin typeface="Calibri" panose="020F0502020204030204" pitchFamily="34" charset="0"/>
              <a:cs typeface="Calibri" panose="020F0502020204030204" pitchFamily="34" charset="0"/>
            </a:rPr>
            <a:pPr algn="ctr"/>
            <a:t>ITP_FOU_JKT_INT_SKOP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2762882</xdr:colOff>
      <xdr:row>0</xdr:row>
      <xdr:rowOff>1492278</xdr:rowOff>
    </xdr:from>
    <xdr:to>
      <xdr:col>2</xdr:col>
      <xdr:colOff>4421729</xdr:colOff>
      <xdr:row>0</xdr:row>
      <xdr:rowOff>1766598</xdr:rowOff>
    </xdr:to>
    <xdr:sp macro="" textlink="#REF!">
      <xdr:nvSpPr>
        <xdr:cNvPr id="62" name="Rectangle 61">
          <a:hlinkClick xmlns:r="http://schemas.openxmlformats.org/officeDocument/2006/relationships" r:id="rId26"/>
          <a:extLst>
            <a:ext uri="{FF2B5EF4-FFF2-40B4-BE49-F238E27FC236}">
              <a16:creationId xmlns:a16="http://schemas.microsoft.com/office/drawing/2014/main" id="{A0CE86B0-7E03-4231-A98E-0F706F0C6D30}"/>
            </a:ext>
          </a:extLst>
        </xdr:cNvPr>
        <xdr:cNvSpPr/>
      </xdr:nvSpPr>
      <xdr:spPr>
        <a:xfrm>
          <a:off x="5496557" y="1492278"/>
          <a:ext cx="16588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ITP_TNI_JPG_SUP_IQIP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4414610</xdr:colOff>
      <xdr:row>0</xdr:row>
      <xdr:rowOff>1492278</xdr:rowOff>
    </xdr:from>
    <xdr:to>
      <xdr:col>4</xdr:col>
      <xdr:colOff>2018</xdr:colOff>
      <xdr:row>0</xdr:row>
      <xdr:rowOff>1766598</xdr:rowOff>
    </xdr:to>
    <xdr:sp macro="" textlink="#REF!">
      <xdr:nvSpPr>
        <xdr:cNvPr id="63" name="Rectangle 62">
          <a:hlinkClick xmlns:r="http://schemas.openxmlformats.org/officeDocument/2006/relationships" r:id="rId27"/>
          <a:extLst>
            <a:ext uri="{FF2B5EF4-FFF2-40B4-BE49-F238E27FC236}">
              <a16:creationId xmlns:a16="http://schemas.microsoft.com/office/drawing/2014/main" id="{CBD59561-C9F1-49F7-B776-6AB5D883A660}"/>
            </a:ext>
          </a:extLst>
        </xdr:cNvPr>
        <xdr:cNvSpPr/>
      </xdr:nvSpPr>
      <xdr:spPr>
        <a:xfrm>
          <a:off x="7148285" y="1492278"/>
          <a:ext cx="15595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E6494932-2600-44D8-BC73-4BB21D4D3E92}" type="TxLink">
            <a:rPr lang="en-US" sz="1200" b="0" i="0" u="none" strike="noStrike">
              <a:solidFill>
                <a:schemeClr val="bg1"/>
              </a:solidFill>
              <a:latin typeface="Calibri" panose="020F0502020204030204" pitchFamily="34" charset="0"/>
              <a:cs typeface="Calibri" panose="020F0502020204030204" pitchFamily="34" charset="0"/>
            </a:rPr>
            <a:pPr algn="ctr"/>
            <a:t>ITP_WTG_SUP_SGRE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4731293</xdr:colOff>
      <xdr:row>0</xdr:row>
      <xdr:rowOff>1217448</xdr:rowOff>
    </xdr:from>
    <xdr:to>
      <xdr:col>4</xdr:col>
      <xdr:colOff>788487</xdr:colOff>
      <xdr:row>0</xdr:row>
      <xdr:rowOff>1491768</xdr:rowOff>
    </xdr:to>
    <xdr:sp macro="" textlink="#REF!">
      <xdr:nvSpPr>
        <xdr:cNvPr id="64" name="Rectangle 63">
          <a:hlinkClick xmlns:r="http://schemas.openxmlformats.org/officeDocument/2006/relationships" r:id="rId28"/>
          <a:extLst>
            <a:ext uri="{FF2B5EF4-FFF2-40B4-BE49-F238E27FC236}">
              <a16:creationId xmlns:a16="http://schemas.microsoft.com/office/drawing/2014/main" id="{35D3E63D-4F4F-48F7-8ED9-D3629CBAC6D6}"/>
            </a:ext>
          </a:extLst>
        </xdr:cNvPr>
        <xdr:cNvSpPr/>
      </xdr:nvSpPr>
      <xdr:spPr>
        <a:xfrm>
          <a:off x="7464968" y="1217448"/>
          <a:ext cx="202936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E8B9871-F308-4CC9-B597-6A76D72B2574}"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ITP_FOU_Pin_Pile_LOC_CSBC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5</xdr:col>
      <xdr:colOff>3646448</xdr:colOff>
      <xdr:row>0</xdr:row>
      <xdr:rowOff>0</xdr:rowOff>
    </xdr:from>
    <xdr:to>
      <xdr:col>5</xdr:col>
      <xdr:colOff>5018799</xdr:colOff>
      <xdr:row>0</xdr:row>
      <xdr:rowOff>274320</xdr:rowOff>
    </xdr:to>
    <xdr:sp macro="" textlink="#REF!">
      <xdr:nvSpPr>
        <xdr:cNvPr id="2" name="Rectangle 1">
          <a:hlinkClick xmlns:r="http://schemas.openxmlformats.org/officeDocument/2006/relationships" r:id="rId7"/>
          <a:extLst>
            <a:ext uri="{FF2B5EF4-FFF2-40B4-BE49-F238E27FC236}">
              <a16:creationId xmlns:a16="http://schemas.microsoft.com/office/drawing/2014/main" id="{B0D065BD-D9E6-465D-9D47-B080A3F88868}"/>
            </a:ext>
          </a:extLst>
        </xdr:cNvPr>
        <xdr:cNvSpPr/>
      </xdr:nvSpPr>
      <xdr:spPr>
        <a:xfrm>
          <a:off x="6516648" y="0"/>
          <a:ext cx="496051" cy="277495"/>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Q_commu._Matrix</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5</xdr:col>
      <xdr:colOff>2762882</xdr:colOff>
      <xdr:row>0</xdr:row>
      <xdr:rowOff>1492278</xdr:rowOff>
    </xdr:from>
    <xdr:to>
      <xdr:col>5</xdr:col>
      <xdr:colOff>4421729</xdr:colOff>
      <xdr:row>0</xdr:row>
      <xdr:rowOff>1766598</xdr:rowOff>
    </xdr:to>
    <xdr:sp macro="" textlink="#REF!">
      <xdr:nvSpPr>
        <xdr:cNvPr id="3" name="Rectangle 2">
          <a:hlinkClick xmlns:r="http://schemas.openxmlformats.org/officeDocument/2006/relationships" r:id="rId26"/>
          <a:extLst>
            <a:ext uri="{FF2B5EF4-FFF2-40B4-BE49-F238E27FC236}">
              <a16:creationId xmlns:a16="http://schemas.microsoft.com/office/drawing/2014/main" id="{C6956750-E775-4597-BA62-DD7A21812C1C}"/>
            </a:ext>
          </a:extLst>
        </xdr:cNvPr>
        <xdr:cNvSpPr/>
      </xdr:nvSpPr>
      <xdr:spPr>
        <a:xfrm>
          <a:off x="5629907" y="1495453"/>
          <a:ext cx="1382622" cy="26797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ITP_TNI_JPG_SUP_IQIP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3</xdr:col>
      <xdr:colOff>571501</xdr:colOff>
      <xdr:row>1</xdr:row>
      <xdr:rowOff>182471</xdr:rowOff>
    </xdr:from>
    <xdr:to>
      <xdr:col>5</xdr:col>
      <xdr:colOff>67236</xdr:colOff>
      <xdr:row>4</xdr:row>
      <xdr:rowOff>67237</xdr:rowOff>
    </xdr:to>
    <xdr:sp macro="" textlink="">
      <xdr:nvSpPr>
        <xdr:cNvPr id="4" name="Rectangle 3">
          <a:extLst>
            <a:ext uri="{FF2B5EF4-FFF2-40B4-BE49-F238E27FC236}">
              <a16:creationId xmlns:a16="http://schemas.microsoft.com/office/drawing/2014/main" id="{55160A05-D1AA-4F55-84C6-985FDF5B9F8D}"/>
            </a:ext>
          </a:extLst>
        </xdr:cNvPr>
        <xdr:cNvSpPr/>
      </xdr:nvSpPr>
      <xdr:spPr>
        <a:xfrm>
          <a:off x="7586383" y="2468471"/>
          <a:ext cx="941294" cy="613148"/>
        </a:xfrm>
        <a:prstGeom prst="rect">
          <a:avLst/>
        </a:prstGeom>
        <a:solidFill>
          <a:srgbClr val="FFFFFF">
            <a:alpha val="0"/>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109034</xdr:colOff>
      <xdr:row>0</xdr:row>
      <xdr:rowOff>1962978</xdr:rowOff>
    </xdr:to>
    <xdr:sp macro="" textlink="">
      <xdr:nvSpPr>
        <xdr:cNvPr id="65" name="Rectangle 64">
          <a:extLst>
            <a:ext uri="{FF2B5EF4-FFF2-40B4-BE49-F238E27FC236}">
              <a16:creationId xmlns:a16="http://schemas.microsoft.com/office/drawing/2014/main" id="{C930CF25-4B5F-4EA2-A5CC-32E31FB41BC5}"/>
            </a:ext>
          </a:extLst>
        </xdr:cNvPr>
        <xdr:cNvSpPr/>
      </xdr:nvSpPr>
      <xdr:spPr>
        <a:xfrm>
          <a:off x="0" y="0"/>
          <a:ext cx="9605459" cy="1962978"/>
        </a:xfrm>
        <a:prstGeom prst="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552450</xdr:colOff>
      <xdr:row>2</xdr:row>
      <xdr:rowOff>28575</xdr:rowOff>
    </xdr:from>
    <xdr:to>
      <xdr:col>5</xdr:col>
      <xdr:colOff>47625</xdr:colOff>
      <xdr:row>6</xdr:row>
      <xdr:rowOff>85725</xdr:rowOff>
    </xdr:to>
    <xdr:sp macro="" textlink="">
      <xdr:nvSpPr>
        <xdr:cNvPr id="2" name="Rectangle 1">
          <a:extLst>
            <a:ext uri="{FF2B5EF4-FFF2-40B4-BE49-F238E27FC236}">
              <a16:creationId xmlns:a16="http://schemas.microsoft.com/office/drawing/2014/main" id="{286A2783-E873-417C-9A6F-659BF28A8A84}"/>
            </a:ext>
          </a:extLst>
        </xdr:cNvPr>
        <xdr:cNvSpPr/>
      </xdr:nvSpPr>
      <xdr:spPr>
        <a:xfrm>
          <a:off x="8667750" y="419100"/>
          <a:ext cx="876300" cy="628650"/>
        </a:xfrm>
        <a:prstGeom prst="rect">
          <a:avLst/>
        </a:prstGeom>
        <a:solidFill>
          <a:srgbClr val="FFFFFF">
            <a:alpha val="0"/>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xdr:colOff>
      <xdr:row>0</xdr:row>
      <xdr:rowOff>0</xdr:rowOff>
    </xdr:from>
    <xdr:to>
      <xdr:col>1</xdr:col>
      <xdr:colOff>483054</xdr:colOff>
      <xdr:row>0</xdr:row>
      <xdr:rowOff>274320</xdr:rowOff>
    </xdr:to>
    <xdr:sp macro="" textlink="#REF!">
      <xdr:nvSpPr>
        <xdr:cNvPr id="34" name="Rectangle 33">
          <a:hlinkClick xmlns:r="http://schemas.openxmlformats.org/officeDocument/2006/relationships" r:id="rId1"/>
          <a:extLst>
            <a:ext uri="{FF2B5EF4-FFF2-40B4-BE49-F238E27FC236}">
              <a16:creationId xmlns:a16="http://schemas.microsoft.com/office/drawing/2014/main" id="{2E4B5645-DB19-4D93-AE80-CC2ADE524795}"/>
            </a:ext>
          </a:extLst>
        </xdr:cNvPr>
        <xdr:cNvSpPr/>
      </xdr:nvSpPr>
      <xdr:spPr>
        <a:xfrm>
          <a:off x="1" y="0"/>
          <a:ext cx="92120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3EF358C-1D90-4A4A-A0B9-88015FF6D45F}" type="TxLink">
            <a:rPr lang="en-US" sz="1200" b="0" i="0" u="sng" strike="noStrike">
              <a:solidFill>
                <a:schemeClr val="bg1"/>
              </a:solidFill>
              <a:latin typeface="Calibri"/>
              <a:cs typeface="Calibri"/>
            </a:rPr>
            <a:pPr algn="ctr"/>
            <a:t>Menu</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479227</xdr:colOff>
      <xdr:row>0</xdr:row>
      <xdr:rowOff>0</xdr:rowOff>
    </xdr:from>
    <xdr:to>
      <xdr:col>1</xdr:col>
      <xdr:colOff>1393627</xdr:colOff>
      <xdr:row>0</xdr:row>
      <xdr:rowOff>274320</xdr:rowOff>
    </xdr:to>
    <xdr:sp macro="" textlink="#REF!">
      <xdr:nvSpPr>
        <xdr:cNvPr id="35" name="Rectangle 34">
          <a:hlinkClick xmlns:r="http://schemas.openxmlformats.org/officeDocument/2006/relationships" r:id="rId2"/>
          <a:extLst>
            <a:ext uri="{FF2B5EF4-FFF2-40B4-BE49-F238E27FC236}">
              <a16:creationId xmlns:a16="http://schemas.microsoft.com/office/drawing/2014/main" id="{EEC96C07-D16A-4547-86D5-E708B254D2C1}"/>
            </a:ext>
          </a:extLst>
        </xdr:cNvPr>
        <xdr:cNvSpPr/>
      </xdr:nvSpPr>
      <xdr:spPr>
        <a:xfrm>
          <a:off x="917377" y="0"/>
          <a:ext cx="9144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D08C50A-B6AF-4E70-B12C-FCBDBEA56A02}" type="TxLink">
            <a:rPr lang="en-US" sz="1200" b="0" i="0" u="sng" strike="noStrike">
              <a:solidFill>
                <a:schemeClr val="bg1"/>
              </a:solidFill>
              <a:latin typeface="Calibri"/>
              <a:cs typeface="Calibri"/>
            </a:rPr>
            <a:pPr algn="ctr"/>
            <a:t>Dashboard</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1392503</xdr:colOff>
      <xdr:row>0</xdr:row>
      <xdr:rowOff>0</xdr:rowOff>
    </xdr:from>
    <xdr:to>
      <xdr:col>2</xdr:col>
      <xdr:colOff>14100</xdr:colOff>
      <xdr:row>0</xdr:row>
      <xdr:rowOff>274320</xdr:rowOff>
    </xdr:to>
    <xdr:sp macro="" textlink="#REF!">
      <xdr:nvSpPr>
        <xdr:cNvPr id="36" name="Rectangle 35">
          <a:hlinkClick xmlns:r="http://schemas.openxmlformats.org/officeDocument/2006/relationships" r:id="rId3"/>
          <a:extLst>
            <a:ext uri="{FF2B5EF4-FFF2-40B4-BE49-F238E27FC236}">
              <a16:creationId xmlns:a16="http://schemas.microsoft.com/office/drawing/2014/main" id="{0B183E7C-E2A8-4BD7-8448-A912D01162C6}"/>
            </a:ext>
          </a:extLst>
        </xdr:cNvPr>
        <xdr:cNvSpPr/>
      </xdr:nvSpPr>
      <xdr:spPr>
        <a:xfrm>
          <a:off x="1830653"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4D0E54A7-B214-4607-8826-8942D59FE2D4}" type="TxLink">
            <a:rPr lang="en-US" sz="1200" b="0" i="0" u="none" strike="noStrike">
              <a:solidFill>
                <a:schemeClr val="bg1"/>
              </a:solidFill>
              <a:latin typeface="Calibri" panose="020F0502020204030204" pitchFamily="34" charset="0"/>
              <a:cs typeface="Calibri" panose="020F0502020204030204" pitchFamily="34" charset="0"/>
            </a:rPr>
            <a:pPr algn="ctr"/>
            <a:t>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2290788</xdr:colOff>
      <xdr:row>0</xdr:row>
      <xdr:rowOff>0</xdr:rowOff>
    </xdr:from>
    <xdr:to>
      <xdr:col>2</xdr:col>
      <xdr:colOff>913792</xdr:colOff>
      <xdr:row>0</xdr:row>
      <xdr:rowOff>274320</xdr:rowOff>
    </xdr:to>
    <xdr:sp macro="" textlink="#REF!">
      <xdr:nvSpPr>
        <xdr:cNvPr id="37" name="Rectangle 36">
          <a:hlinkClick xmlns:r="http://schemas.openxmlformats.org/officeDocument/2006/relationships" r:id="rId4"/>
          <a:extLst>
            <a:ext uri="{FF2B5EF4-FFF2-40B4-BE49-F238E27FC236}">
              <a16:creationId xmlns:a16="http://schemas.microsoft.com/office/drawing/2014/main" id="{E733D3FA-5923-4293-834F-37FF984436C0}"/>
            </a:ext>
          </a:extLst>
        </xdr:cNvPr>
        <xdr:cNvSpPr/>
      </xdr:nvSpPr>
      <xdr:spPr>
        <a:xfrm>
          <a:off x="2728938" y="0"/>
          <a:ext cx="91852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74DC379-5DB9-4A59-9F32-EF7537C03342}" type="TxLink">
            <a:rPr lang="en-US" altLang="zh-TW" sz="1200" b="0" i="0" u="none" strike="noStrike">
              <a:solidFill>
                <a:schemeClr val="bg1"/>
              </a:solidFill>
              <a:latin typeface="Calibri" panose="020F0502020204030204" pitchFamily="34" charset="0"/>
              <a:cs typeface="Calibri" panose="020F0502020204030204" pitchFamily="34" charset="0"/>
            </a:rPr>
            <a:pPr algn="ctr"/>
            <a:t>KCT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913136</xdr:colOff>
      <xdr:row>0</xdr:row>
      <xdr:rowOff>0</xdr:rowOff>
    </xdr:from>
    <xdr:to>
      <xdr:col>2</xdr:col>
      <xdr:colOff>1826374</xdr:colOff>
      <xdr:row>0</xdr:row>
      <xdr:rowOff>274320</xdr:rowOff>
    </xdr:to>
    <xdr:sp macro="" textlink="#REF!">
      <xdr:nvSpPr>
        <xdr:cNvPr id="38" name="Rectangle 37">
          <a:hlinkClick xmlns:r="http://schemas.openxmlformats.org/officeDocument/2006/relationships" r:id="rId3"/>
          <a:extLst>
            <a:ext uri="{FF2B5EF4-FFF2-40B4-BE49-F238E27FC236}">
              <a16:creationId xmlns:a16="http://schemas.microsoft.com/office/drawing/2014/main" id="{002B96DC-512E-4028-AF2D-073CF45E436C}"/>
            </a:ext>
          </a:extLst>
        </xdr:cNvPr>
        <xdr:cNvSpPr/>
      </xdr:nvSpPr>
      <xdr:spPr>
        <a:xfrm>
          <a:off x="3646811" y="0"/>
          <a:ext cx="91323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9F9CBE-726B-4820-9127-9BFEB61EB63B}" type="TxLink">
            <a:rPr lang="en-US" sz="1200" b="0" i="0" u="none" strike="noStrike">
              <a:solidFill>
                <a:schemeClr val="bg1"/>
              </a:solidFill>
              <a:latin typeface="Calibri" panose="020F0502020204030204" pitchFamily="34" charset="0"/>
              <a:cs typeface="Calibri" panose="020F0502020204030204" pitchFamily="34" charset="0"/>
            </a:rPr>
            <a:pPr algn="ctr"/>
            <a:t>KCT_Curve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1822761</xdr:colOff>
      <xdr:row>0</xdr:row>
      <xdr:rowOff>0</xdr:rowOff>
    </xdr:from>
    <xdr:to>
      <xdr:col>2</xdr:col>
      <xdr:colOff>2738135</xdr:colOff>
      <xdr:row>0</xdr:row>
      <xdr:rowOff>274320</xdr:rowOff>
    </xdr:to>
    <xdr:sp macro="" textlink="#REF!">
      <xdr:nvSpPr>
        <xdr:cNvPr id="39" name="Rectangle 38">
          <a:hlinkClick xmlns:r="http://schemas.openxmlformats.org/officeDocument/2006/relationships" r:id="rId5"/>
          <a:extLst>
            <a:ext uri="{FF2B5EF4-FFF2-40B4-BE49-F238E27FC236}">
              <a16:creationId xmlns:a16="http://schemas.microsoft.com/office/drawing/2014/main" id="{9515BD72-3EC1-4092-AE27-F3E516C1D448}"/>
            </a:ext>
          </a:extLst>
        </xdr:cNvPr>
        <xdr:cNvSpPr/>
      </xdr:nvSpPr>
      <xdr:spPr>
        <a:xfrm>
          <a:off x="4556436" y="0"/>
          <a:ext cx="91537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1EC4968A-67D4-43C6-A25C-FD0E75E9BD05}" type="TxLink">
            <a:rPr lang="en-US" sz="1200" b="0" i="0" u="none" strike="noStrike">
              <a:solidFill>
                <a:schemeClr val="bg1"/>
              </a:solidFill>
              <a:latin typeface="Calibri" panose="020F0502020204030204" pitchFamily="34" charset="0"/>
              <a:cs typeface="Calibri" panose="020F0502020204030204" pitchFamily="34" charset="0"/>
            </a:rPr>
            <a:pPr algn="ctr"/>
            <a:t>KCT_Pivot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2730251</xdr:colOff>
      <xdr:row>0</xdr:row>
      <xdr:rowOff>0</xdr:rowOff>
    </xdr:from>
    <xdr:to>
      <xdr:col>2</xdr:col>
      <xdr:colOff>3647373</xdr:colOff>
      <xdr:row>0</xdr:row>
      <xdr:rowOff>274320</xdr:rowOff>
    </xdr:to>
    <xdr:sp macro="" textlink="#REF!">
      <xdr:nvSpPr>
        <xdr:cNvPr id="40" name="Rectangle 39">
          <a:hlinkClick xmlns:r="http://schemas.openxmlformats.org/officeDocument/2006/relationships" r:id="rId6"/>
          <a:extLst>
            <a:ext uri="{FF2B5EF4-FFF2-40B4-BE49-F238E27FC236}">
              <a16:creationId xmlns:a16="http://schemas.microsoft.com/office/drawing/2014/main" id="{3E032A6A-8749-4C99-AF7B-0642201E97E7}"/>
            </a:ext>
          </a:extLst>
        </xdr:cNvPr>
        <xdr:cNvSpPr/>
      </xdr:nvSpPr>
      <xdr:spPr>
        <a:xfrm>
          <a:off x="5463926" y="0"/>
          <a:ext cx="91712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7F627CC-32D4-4130-8C48-E1A5B0B97854}" type="TxLink">
            <a:rPr lang="en-US" sz="1200" b="0" i="0" u="none" strike="noStrike">
              <a:solidFill>
                <a:schemeClr val="bg1"/>
              </a:solidFill>
              <a:latin typeface="Calibri" panose="020F0502020204030204" pitchFamily="34" charset="0"/>
              <a:cs typeface="Calibri" panose="020F0502020204030204" pitchFamily="34" charset="0"/>
            </a:rPr>
            <a:pPr algn="ctr"/>
            <a:t>Key_Quality_Docs</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3646448</xdr:colOff>
      <xdr:row>0</xdr:row>
      <xdr:rowOff>0</xdr:rowOff>
    </xdr:from>
    <xdr:to>
      <xdr:col>2</xdr:col>
      <xdr:colOff>5018799</xdr:colOff>
      <xdr:row>0</xdr:row>
      <xdr:rowOff>274320</xdr:rowOff>
    </xdr:to>
    <xdr:sp macro="" textlink="#REF!">
      <xdr:nvSpPr>
        <xdr:cNvPr id="41" name="Rectangle 40">
          <a:hlinkClick xmlns:r="http://schemas.openxmlformats.org/officeDocument/2006/relationships" r:id="rId7"/>
          <a:extLst>
            <a:ext uri="{FF2B5EF4-FFF2-40B4-BE49-F238E27FC236}">
              <a16:creationId xmlns:a16="http://schemas.microsoft.com/office/drawing/2014/main" id="{99519218-B00B-43BB-9928-413CC1761FB8}"/>
            </a:ext>
          </a:extLst>
        </xdr:cNvPr>
        <xdr:cNvSpPr/>
      </xdr:nvSpPr>
      <xdr:spPr>
        <a:xfrm>
          <a:off x="6380123" y="0"/>
          <a:ext cx="137235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97139F7-6A4D-4569-9DE3-42FF0752A477}" type="TxLink">
            <a:rPr lang="en-US" sz="1200" b="0" i="0" u="none" strike="noStrike">
              <a:solidFill>
                <a:schemeClr val="bg1"/>
              </a:solidFill>
              <a:latin typeface="Calibri" panose="020F0502020204030204" pitchFamily="34" charset="0"/>
              <a:cs typeface="Calibri" panose="020F0502020204030204" pitchFamily="34" charset="0"/>
            </a:rPr>
            <a:pPr algn="ctr"/>
            <a:t>Q_commu._Matrix</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843626</xdr:rowOff>
    </xdr:from>
    <xdr:to>
      <xdr:col>1</xdr:col>
      <xdr:colOff>760096</xdr:colOff>
      <xdr:row>0</xdr:row>
      <xdr:rowOff>1117946</xdr:rowOff>
    </xdr:to>
    <xdr:sp macro="" textlink="#REF!">
      <xdr:nvSpPr>
        <xdr:cNvPr id="42" name="Rectangle 41">
          <a:hlinkClick xmlns:r="http://schemas.openxmlformats.org/officeDocument/2006/relationships" r:id="rId8"/>
          <a:extLst>
            <a:ext uri="{FF2B5EF4-FFF2-40B4-BE49-F238E27FC236}">
              <a16:creationId xmlns:a16="http://schemas.microsoft.com/office/drawing/2014/main" id="{CF9F0C58-D134-4A56-863C-B86E9E4CD76D}"/>
            </a:ext>
          </a:extLst>
        </xdr:cNvPr>
        <xdr:cNvSpPr/>
      </xdr:nvSpPr>
      <xdr:spPr>
        <a:xfrm>
          <a:off x="1" y="843626"/>
          <a:ext cx="119824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2AEF7F1-F48C-4FA1-A707-132A4EE8650E}" type="TxLink">
            <a:rPr lang="en-US" sz="1200" b="0" i="0" u="none" strike="noStrike">
              <a:solidFill>
                <a:schemeClr val="bg1"/>
              </a:solidFill>
              <a:latin typeface="Calibri" panose="020F0502020204030204" pitchFamily="34" charset="0"/>
              <a:cs typeface="Calibri" panose="020F0502020204030204" pitchFamily="34" charset="0"/>
            </a:rPr>
            <a:pPr algn="ctr"/>
            <a:t>ITP_Summary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1</xdr:col>
      <xdr:colOff>942295</xdr:colOff>
      <xdr:row>0</xdr:row>
      <xdr:rowOff>1491768</xdr:rowOff>
    </xdr:to>
    <xdr:sp macro="" textlink="#REF!">
      <xdr:nvSpPr>
        <xdr:cNvPr id="43" name="Rectangle 42">
          <a:hlinkClick xmlns:r="http://schemas.openxmlformats.org/officeDocument/2006/relationships" r:id="rId9"/>
          <a:extLst>
            <a:ext uri="{FF2B5EF4-FFF2-40B4-BE49-F238E27FC236}">
              <a16:creationId xmlns:a16="http://schemas.microsoft.com/office/drawing/2014/main" id="{EF7B3553-44B9-4407-B056-2961B59DA6EC}"/>
            </a:ext>
          </a:extLst>
        </xdr:cNvPr>
        <xdr:cNvSpPr/>
      </xdr:nvSpPr>
      <xdr:spPr>
        <a:xfrm>
          <a:off x="1" y="1217448"/>
          <a:ext cx="13804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DD99717-E26D-4349-956E-1203D01BE3F8}" type="TxLink">
            <a:rPr lang="en-US" sz="1200" b="0" i="0" u="none" strike="noStrike">
              <a:solidFill>
                <a:schemeClr val="bg1"/>
              </a:solidFill>
              <a:latin typeface="Calibri" panose="020F0502020204030204" pitchFamily="34" charset="0"/>
              <a:cs typeface="Calibri" panose="020F0502020204030204" pitchFamily="34" charset="0"/>
            </a:rPr>
            <a:pPr algn="ctr"/>
            <a:t>ITP_IAC_Hellenic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1217448</xdr:rowOff>
    </xdr:from>
    <xdr:to>
      <xdr:col>0</xdr:col>
      <xdr:colOff>1</xdr:colOff>
      <xdr:row>0</xdr:row>
      <xdr:rowOff>1491768</xdr:rowOff>
    </xdr:to>
    <xdr:sp macro="" textlink="$B$22">
      <xdr:nvSpPr>
        <xdr:cNvPr id="44" name="Rectangle 43">
          <a:extLst>
            <a:ext uri="{FF2B5EF4-FFF2-40B4-BE49-F238E27FC236}">
              <a16:creationId xmlns:a16="http://schemas.microsoft.com/office/drawing/2014/main" id="{5C22A0B2-7CE6-461C-A607-EB6CC5D7F133}"/>
            </a:ext>
          </a:extLst>
        </xdr:cNvPr>
        <xdr:cNvSpPr/>
      </xdr:nvSpPr>
      <xdr:spPr>
        <a:xfrm>
          <a:off x="1" y="1217448"/>
          <a:ext cx="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B2C5B66-F7E2-4187-B670-BF1213819895}"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939624</xdr:colOff>
      <xdr:row>0</xdr:row>
      <xdr:rowOff>1217448</xdr:rowOff>
    </xdr:from>
    <xdr:to>
      <xdr:col>1</xdr:col>
      <xdr:colOff>1999992</xdr:colOff>
      <xdr:row>0</xdr:row>
      <xdr:rowOff>1491768</xdr:rowOff>
    </xdr:to>
    <xdr:sp macro="" textlink="#REF!">
      <xdr:nvSpPr>
        <xdr:cNvPr id="45" name="Rectangle 44">
          <a:hlinkClick xmlns:r="http://schemas.openxmlformats.org/officeDocument/2006/relationships" r:id="rId10"/>
          <a:extLst>
            <a:ext uri="{FF2B5EF4-FFF2-40B4-BE49-F238E27FC236}">
              <a16:creationId xmlns:a16="http://schemas.microsoft.com/office/drawing/2014/main" id="{A3C9E274-A1D7-403F-864E-E8DD1F8C9AFC}"/>
            </a:ext>
          </a:extLst>
        </xdr:cNvPr>
        <xdr:cNvSpPr/>
      </xdr:nvSpPr>
      <xdr:spPr>
        <a:xfrm>
          <a:off x="1377774" y="1217448"/>
          <a:ext cx="106036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8A79F7F-4ADB-4ABC-9292-0F2B92307410}" type="TxLink">
            <a:rPr lang="en-US" altLang="zh-TW" sz="1200" b="0" i="0" u="none" strike="noStrike">
              <a:solidFill>
                <a:schemeClr val="bg1"/>
              </a:solidFill>
              <a:latin typeface="Calibri" panose="020F0502020204030204" pitchFamily="34" charset="0"/>
              <a:cs typeface="Calibri" panose="020F0502020204030204" pitchFamily="34" charset="0"/>
            </a:rPr>
            <a:pPr algn="ctr"/>
            <a:t>ITP_EXC_LSC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1999992</xdr:colOff>
      <xdr:row>0</xdr:row>
      <xdr:rowOff>1217448</xdr:rowOff>
    </xdr:from>
    <xdr:to>
      <xdr:col>2</xdr:col>
      <xdr:colOff>1086272</xdr:colOff>
      <xdr:row>0</xdr:row>
      <xdr:rowOff>1491768</xdr:rowOff>
    </xdr:to>
    <xdr:sp macro="" textlink="#REF!">
      <xdr:nvSpPr>
        <xdr:cNvPr id="46" name="Rectangle 45">
          <a:hlinkClick xmlns:r="http://schemas.openxmlformats.org/officeDocument/2006/relationships" r:id="rId11"/>
          <a:extLst>
            <a:ext uri="{FF2B5EF4-FFF2-40B4-BE49-F238E27FC236}">
              <a16:creationId xmlns:a16="http://schemas.microsoft.com/office/drawing/2014/main" id="{3F583FF7-D7EA-4BA0-968D-3122793D4DFC}"/>
            </a:ext>
          </a:extLst>
        </xdr:cNvPr>
        <xdr:cNvSpPr/>
      </xdr:nvSpPr>
      <xdr:spPr>
        <a:xfrm>
          <a:off x="2438142" y="1217448"/>
          <a:ext cx="138180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DAB4F40-9E56-424D-9D25-023E38A6DFEF}" type="TxLink">
            <a:rPr lang="en-US" altLang="zh-TW" sz="1200" b="0" i="0" u="none" strike="noStrike">
              <a:solidFill>
                <a:schemeClr val="bg1"/>
              </a:solidFill>
              <a:latin typeface="Calibri" panose="020F0502020204030204" pitchFamily="34" charset="0"/>
              <a:cs typeface="Calibri" panose="020F0502020204030204" pitchFamily="34" charset="0"/>
            </a:rPr>
            <a:pPr algn="ctr"/>
            <a:t>ITP_Cable_TNI_S7</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1082753</xdr:colOff>
      <xdr:row>0</xdr:row>
      <xdr:rowOff>1217448</xdr:rowOff>
    </xdr:from>
    <xdr:to>
      <xdr:col>2</xdr:col>
      <xdr:colOff>2450101</xdr:colOff>
      <xdr:row>0</xdr:row>
      <xdr:rowOff>1491768</xdr:rowOff>
    </xdr:to>
    <xdr:sp macro="" textlink="#REF!">
      <xdr:nvSpPr>
        <xdr:cNvPr id="47" name="Rectangle 46">
          <a:hlinkClick xmlns:r="http://schemas.openxmlformats.org/officeDocument/2006/relationships" r:id="rId12"/>
          <a:extLst>
            <a:ext uri="{FF2B5EF4-FFF2-40B4-BE49-F238E27FC236}">
              <a16:creationId xmlns:a16="http://schemas.microsoft.com/office/drawing/2014/main" id="{688A586A-9E0B-4363-A4B4-34BD7440318F}"/>
            </a:ext>
          </a:extLst>
        </xdr:cNvPr>
        <xdr:cNvSpPr/>
      </xdr:nvSpPr>
      <xdr:spPr>
        <a:xfrm>
          <a:off x="3816428" y="1217448"/>
          <a:ext cx="136734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A6692E6-56B3-4FA0-B035-A27BEF5E821D}" type="TxLink">
            <a:rPr lang="en-US" sz="1200" b="0" i="0" u="none" strike="noStrike">
              <a:solidFill>
                <a:schemeClr val="bg1"/>
              </a:solidFill>
              <a:latin typeface="Calibri" panose="020F0502020204030204" pitchFamily="34" charset="0"/>
              <a:cs typeface="Calibri" panose="020F0502020204030204" pitchFamily="34" charset="0"/>
            </a:rPr>
            <a:pPr algn="ctr"/>
            <a:t>ITP_ONS_TECO</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5011080</xdr:colOff>
      <xdr:row>0</xdr:row>
      <xdr:rowOff>0</xdr:rowOff>
    </xdr:from>
    <xdr:to>
      <xdr:col>4</xdr:col>
      <xdr:colOff>415947</xdr:colOff>
      <xdr:row>0</xdr:row>
      <xdr:rowOff>274320</xdr:rowOff>
    </xdr:to>
    <xdr:sp macro="" textlink="#REF!">
      <xdr:nvSpPr>
        <xdr:cNvPr id="48" name="Rectangle 47">
          <a:hlinkClick xmlns:r="http://schemas.openxmlformats.org/officeDocument/2006/relationships" r:id="rId13"/>
          <a:extLst>
            <a:ext uri="{FF2B5EF4-FFF2-40B4-BE49-F238E27FC236}">
              <a16:creationId xmlns:a16="http://schemas.microsoft.com/office/drawing/2014/main" id="{38B618F7-2C00-4B8D-A31C-D0E6195285E4}"/>
            </a:ext>
          </a:extLst>
        </xdr:cNvPr>
        <xdr:cNvSpPr/>
      </xdr:nvSpPr>
      <xdr:spPr>
        <a:xfrm>
          <a:off x="7744755" y="0"/>
          <a:ext cx="1377042"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ED4B2CE-3865-4169-8EDE-4E9A4AD0300C}" type="TxLink">
            <a:rPr lang="en-US" sz="1200" b="0" i="0" u="none" strike="noStrike">
              <a:solidFill>
                <a:schemeClr val="bg1"/>
              </a:solidFill>
              <a:latin typeface="Calibri" panose="020F0502020204030204" pitchFamily="34" charset="0"/>
              <a:cs typeface="Calibri" panose="020F0502020204030204" pitchFamily="34" charset="0"/>
            </a:rPr>
            <a:pPr algn="ctr"/>
            <a:t>OBS_Summary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2444339</xdr:colOff>
      <xdr:row>0</xdr:row>
      <xdr:rowOff>1217448</xdr:rowOff>
    </xdr:from>
    <xdr:to>
      <xdr:col>2</xdr:col>
      <xdr:colOff>3364183</xdr:colOff>
      <xdr:row>0</xdr:row>
      <xdr:rowOff>1491768</xdr:rowOff>
    </xdr:to>
    <xdr:sp macro="" textlink="#REF!">
      <xdr:nvSpPr>
        <xdr:cNvPr id="49" name="Rectangle 48">
          <a:hlinkClick xmlns:r="http://schemas.openxmlformats.org/officeDocument/2006/relationships" r:id="rId14"/>
          <a:extLst>
            <a:ext uri="{FF2B5EF4-FFF2-40B4-BE49-F238E27FC236}">
              <a16:creationId xmlns:a16="http://schemas.microsoft.com/office/drawing/2014/main" id="{7FB660BD-5C6F-46B8-B63B-4D86C470BA8B}"/>
            </a:ext>
          </a:extLst>
        </xdr:cNvPr>
        <xdr:cNvSpPr/>
      </xdr:nvSpPr>
      <xdr:spPr>
        <a:xfrm>
          <a:off x="5178014" y="1217448"/>
          <a:ext cx="91984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B7B64F5-264F-4267-A451-4ADD194C012B}" type="TxLink">
            <a:rPr lang="en-US" sz="1200" b="0" i="0" u="none" strike="noStrike">
              <a:solidFill>
                <a:schemeClr val="bg1"/>
              </a:solidFill>
              <a:latin typeface="Calibri" panose="020F0502020204030204" pitchFamily="34" charset="0"/>
              <a:cs typeface="Calibri" panose="020F0502020204030204" pitchFamily="34" charset="0"/>
            </a:rPr>
            <a:pPr algn="ctr"/>
            <a:t>ITP_CDWE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3356972</xdr:colOff>
      <xdr:row>0</xdr:row>
      <xdr:rowOff>1217448</xdr:rowOff>
    </xdr:from>
    <xdr:to>
      <xdr:col>2</xdr:col>
      <xdr:colOff>4728572</xdr:colOff>
      <xdr:row>0</xdr:row>
      <xdr:rowOff>1491768</xdr:rowOff>
    </xdr:to>
    <xdr:sp macro="" textlink="#REF!">
      <xdr:nvSpPr>
        <xdr:cNvPr id="50" name="Rectangle 49">
          <a:hlinkClick xmlns:r="http://schemas.openxmlformats.org/officeDocument/2006/relationships" r:id="rId15"/>
          <a:extLst>
            <a:ext uri="{FF2B5EF4-FFF2-40B4-BE49-F238E27FC236}">
              <a16:creationId xmlns:a16="http://schemas.microsoft.com/office/drawing/2014/main" id="{0C33C4C6-2080-4EE0-B9C4-AC9F5744BA54}"/>
            </a:ext>
          </a:extLst>
        </xdr:cNvPr>
        <xdr:cNvSpPr/>
      </xdr:nvSpPr>
      <xdr:spPr>
        <a:xfrm>
          <a:off x="6090647" y="1217448"/>
          <a:ext cx="137160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4BD5D57-9335-47BB-B5C1-827C5BAA4DE8}" type="TxLink">
            <a:rPr lang="en-US" sz="1200" b="0" i="0" u="none" strike="noStrike">
              <a:solidFill>
                <a:schemeClr val="bg1"/>
              </a:solidFill>
              <a:latin typeface="Calibri" panose="020F0502020204030204" pitchFamily="34" charset="0"/>
              <a:cs typeface="Calibri" panose="020F0502020204030204" pitchFamily="34" charset="0"/>
            </a:rPr>
            <a:pPr algn="ctr"/>
            <a:t>ITP_OSS_SMPTSC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1</xdr:colOff>
      <xdr:row>0</xdr:row>
      <xdr:rowOff>277488</xdr:rowOff>
    </xdr:from>
    <xdr:to>
      <xdr:col>1</xdr:col>
      <xdr:colOff>53336</xdr:colOff>
      <xdr:row>0</xdr:row>
      <xdr:rowOff>551808</xdr:rowOff>
    </xdr:to>
    <xdr:sp macro="" textlink="#REF!">
      <xdr:nvSpPr>
        <xdr:cNvPr id="51" name="Rectangle 50">
          <a:hlinkClick xmlns:r="http://schemas.openxmlformats.org/officeDocument/2006/relationships" r:id="rId16"/>
          <a:extLst>
            <a:ext uri="{FF2B5EF4-FFF2-40B4-BE49-F238E27FC236}">
              <a16:creationId xmlns:a16="http://schemas.microsoft.com/office/drawing/2014/main" id="{7A100BD5-4E8B-487F-BAA0-5E45C5724C66}"/>
            </a:ext>
          </a:extLst>
        </xdr:cNvPr>
        <xdr:cNvSpPr/>
      </xdr:nvSpPr>
      <xdr:spPr>
        <a:xfrm>
          <a:off x="1" y="277488"/>
          <a:ext cx="49148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76DB0D7-CA15-4C84-BEF1-B2FE174253A5}" type="TxLink">
            <a:rPr lang="en-US" sz="1200" b="0" i="0" u="none" strike="noStrike">
              <a:solidFill>
                <a:schemeClr val="bg1"/>
              </a:solidFill>
              <a:latin typeface="Calibri" panose="020F0502020204030204" pitchFamily="34" charset="0"/>
              <a:cs typeface="Calibri" panose="020F0502020204030204" pitchFamily="34" charset="0"/>
            </a:rPr>
            <a:pPr algn="ctr"/>
            <a:t>PQP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37106</xdr:colOff>
      <xdr:row>0</xdr:row>
      <xdr:rowOff>277488</xdr:rowOff>
    </xdr:from>
    <xdr:to>
      <xdr:col>1</xdr:col>
      <xdr:colOff>1417890</xdr:colOff>
      <xdr:row>0</xdr:row>
      <xdr:rowOff>551808</xdr:rowOff>
    </xdr:to>
    <xdr:sp macro="" textlink="#REF!">
      <xdr:nvSpPr>
        <xdr:cNvPr id="52" name="Rectangle 51">
          <a:hlinkClick xmlns:r="http://schemas.openxmlformats.org/officeDocument/2006/relationships" r:id="rId17"/>
          <a:extLst>
            <a:ext uri="{FF2B5EF4-FFF2-40B4-BE49-F238E27FC236}">
              <a16:creationId xmlns:a16="http://schemas.microsoft.com/office/drawing/2014/main" id="{DC2CF840-6345-41D8-A21C-773D761F2EEC}"/>
            </a:ext>
          </a:extLst>
        </xdr:cNvPr>
        <xdr:cNvSpPr/>
      </xdr:nvSpPr>
      <xdr:spPr>
        <a:xfrm>
          <a:off x="475256" y="277488"/>
          <a:ext cx="138078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B67B7DE-3A73-4724-AD40-6EFDCB186502}" type="TxLink">
            <a:rPr lang="en-US" sz="1200" b="0" i="0" u="none" strike="noStrike">
              <a:solidFill>
                <a:schemeClr val="bg1"/>
              </a:solidFill>
              <a:latin typeface="Calibri" panose="020F0502020204030204" pitchFamily="34" charset="0"/>
              <a:cs typeface="Calibri" panose="020F0502020204030204" pitchFamily="34" charset="0"/>
            </a:rPr>
            <a:pPr algn="ctr"/>
            <a:t>NCR_Summary</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1416983</xdr:colOff>
      <xdr:row>0</xdr:row>
      <xdr:rowOff>277488</xdr:rowOff>
    </xdr:from>
    <xdr:to>
      <xdr:col>2</xdr:col>
      <xdr:colOff>36199</xdr:colOff>
      <xdr:row>0</xdr:row>
      <xdr:rowOff>551808</xdr:rowOff>
    </xdr:to>
    <xdr:sp macro="" textlink="#REF!">
      <xdr:nvSpPr>
        <xdr:cNvPr id="53" name="Rectangle 52">
          <a:hlinkClick xmlns:r="http://schemas.openxmlformats.org/officeDocument/2006/relationships" r:id="rId18"/>
          <a:extLst>
            <a:ext uri="{FF2B5EF4-FFF2-40B4-BE49-F238E27FC236}">
              <a16:creationId xmlns:a16="http://schemas.microsoft.com/office/drawing/2014/main" id="{E5679AC3-433C-438A-A4FA-25B94941B2D3}"/>
            </a:ext>
          </a:extLst>
        </xdr:cNvPr>
        <xdr:cNvSpPr/>
      </xdr:nvSpPr>
      <xdr:spPr>
        <a:xfrm>
          <a:off x="1855133" y="277488"/>
          <a:ext cx="91474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8DF90472-98E3-4CD3-93C5-712192C887E4}" type="TxLink">
            <a:rPr lang="en-US" sz="1200" b="0" i="0" u="none" strike="noStrike">
              <a:solidFill>
                <a:schemeClr val="bg1"/>
              </a:solidFill>
              <a:latin typeface="Calibri" panose="020F0502020204030204" pitchFamily="34" charset="0"/>
              <a:cs typeface="Calibri" panose="020F0502020204030204" pitchFamily="34" charset="0"/>
            </a:rPr>
            <a:pPr algn="ctr"/>
            <a:t>NCR_Pivot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33305</xdr:colOff>
      <xdr:row>0</xdr:row>
      <xdr:rowOff>277488</xdr:rowOff>
    </xdr:from>
    <xdr:to>
      <xdr:col>2</xdr:col>
      <xdr:colOff>1249772</xdr:colOff>
      <xdr:row>0</xdr:row>
      <xdr:rowOff>551808</xdr:rowOff>
    </xdr:to>
    <xdr:sp macro="" textlink="#REF!">
      <xdr:nvSpPr>
        <xdr:cNvPr id="54" name="Rectangle 53">
          <a:hlinkClick xmlns:r="http://schemas.openxmlformats.org/officeDocument/2006/relationships" r:id="rId13"/>
          <a:extLst>
            <a:ext uri="{FF2B5EF4-FFF2-40B4-BE49-F238E27FC236}">
              <a16:creationId xmlns:a16="http://schemas.microsoft.com/office/drawing/2014/main" id="{67F4BDB0-DAD4-48AF-BAC9-A86520C97D84}"/>
            </a:ext>
          </a:extLst>
        </xdr:cNvPr>
        <xdr:cNvSpPr/>
      </xdr:nvSpPr>
      <xdr:spPr>
        <a:xfrm>
          <a:off x="2766980" y="277488"/>
          <a:ext cx="121646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1C13F6A-2AE7-4D10-B8FE-F91861D7E1CA}" type="TxLink">
            <a:rPr lang="en-US" sz="1200" b="0" i="0" u="none" strike="noStrike">
              <a:solidFill>
                <a:schemeClr val="bg1"/>
              </a:solidFill>
              <a:latin typeface="Calibri" panose="020F0502020204030204" pitchFamily="34" charset="0"/>
              <a:cs typeface="Calibri" panose="020F0502020204030204" pitchFamily="34" charset="0"/>
            </a:rPr>
            <a:pPr algn="ctr"/>
            <a:t>OBS_Pivot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1242968</xdr:colOff>
      <xdr:row>0</xdr:row>
      <xdr:rowOff>277488</xdr:rowOff>
    </xdr:from>
    <xdr:to>
      <xdr:col>2</xdr:col>
      <xdr:colOff>2146482</xdr:colOff>
      <xdr:row>0</xdr:row>
      <xdr:rowOff>551808</xdr:rowOff>
    </xdr:to>
    <xdr:sp macro="" textlink="#REF!">
      <xdr:nvSpPr>
        <xdr:cNvPr id="55" name="Rectangle 54">
          <a:hlinkClick xmlns:r="http://schemas.openxmlformats.org/officeDocument/2006/relationships" r:id="rId19"/>
          <a:extLst>
            <a:ext uri="{FF2B5EF4-FFF2-40B4-BE49-F238E27FC236}">
              <a16:creationId xmlns:a16="http://schemas.microsoft.com/office/drawing/2014/main" id="{6FCC3A7E-6999-4681-8376-69C248F72A21}"/>
            </a:ext>
          </a:extLst>
        </xdr:cNvPr>
        <xdr:cNvSpPr/>
      </xdr:nvSpPr>
      <xdr:spPr>
        <a:xfrm>
          <a:off x="3976643" y="277488"/>
          <a:ext cx="903514"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542A3ED4-1362-4FEE-889B-CEFC97F9EB4C}" type="TxLink">
            <a:rPr lang="en-US" altLang="zh-TW" sz="1200" b="0" i="0" u="none" strike="noStrike">
              <a:solidFill>
                <a:schemeClr val="bg1"/>
              </a:solidFill>
              <a:latin typeface="Calibri" panose="020F0502020204030204" pitchFamily="34" charset="0"/>
              <a:cs typeface="Calibri" panose="020F0502020204030204" pitchFamily="34" charset="0"/>
            </a:rPr>
            <a:pPr algn="ctr"/>
            <a:t>Database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2146484</xdr:colOff>
      <xdr:row>0</xdr:row>
      <xdr:rowOff>277488</xdr:rowOff>
    </xdr:from>
    <xdr:to>
      <xdr:col>2</xdr:col>
      <xdr:colOff>3157767</xdr:colOff>
      <xdr:row>0</xdr:row>
      <xdr:rowOff>551808</xdr:rowOff>
    </xdr:to>
    <xdr:sp macro="" textlink="#REF!">
      <xdr:nvSpPr>
        <xdr:cNvPr id="56" name="Rectangle 55">
          <a:hlinkClick xmlns:r="http://schemas.openxmlformats.org/officeDocument/2006/relationships" r:id="rId20"/>
          <a:extLst>
            <a:ext uri="{FF2B5EF4-FFF2-40B4-BE49-F238E27FC236}">
              <a16:creationId xmlns:a16="http://schemas.microsoft.com/office/drawing/2014/main" id="{D52F967B-31FA-40B2-A3FF-D404F4A41AE9}"/>
            </a:ext>
          </a:extLst>
        </xdr:cNvPr>
        <xdr:cNvSpPr/>
      </xdr:nvSpPr>
      <xdr:spPr>
        <a:xfrm>
          <a:off x="4880159" y="277488"/>
          <a:ext cx="10112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A518611-076D-45B5-BAAD-2BD8D5A103C9}" type="TxLink">
            <a:rPr lang="en-US" sz="1200" b="0" i="0" u="none" strike="noStrike">
              <a:solidFill>
                <a:schemeClr val="bg1"/>
              </a:solidFill>
              <a:latin typeface="Calibri" panose="020F0502020204030204" pitchFamily="34" charset="0"/>
              <a:cs typeface="Calibri" panose="020F0502020204030204" pitchFamily="34" charset="0"/>
            </a:rPr>
            <a:pPr algn="ctr"/>
            <a:t>NOI_Tracker</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3158855</xdr:colOff>
      <xdr:row>0</xdr:row>
      <xdr:rowOff>277488</xdr:rowOff>
    </xdr:from>
    <xdr:to>
      <xdr:col>2</xdr:col>
      <xdr:colOff>4075976</xdr:colOff>
      <xdr:row>0</xdr:row>
      <xdr:rowOff>551808</xdr:rowOff>
    </xdr:to>
    <xdr:sp macro="" textlink="#REF!">
      <xdr:nvSpPr>
        <xdr:cNvPr id="57" name="Rectangle 56">
          <a:hlinkClick xmlns:r="http://schemas.openxmlformats.org/officeDocument/2006/relationships" r:id="rId21"/>
          <a:extLst>
            <a:ext uri="{FF2B5EF4-FFF2-40B4-BE49-F238E27FC236}">
              <a16:creationId xmlns:a16="http://schemas.microsoft.com/office/drawing/2014/main" id="{AD0D78AF-C014-4B5E-8844-128AE1DD1CA8}"/>
            </a:ext>
          </a:extLst>
        </xdr:cNvPr>
        <xdr:cNvSpPr/>
      </xdr:nvSpPr>
      <xdr:spPr>
        <a:xfrm>
          <a:off x="5892530" y="277488"/>
          <a:ext cx="917121"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B07602-FD62-4EAF-B169-6BFDF1E5093F}" type="TxLink">
            <a:rPr lang="en-US" sz="1200" b="0" i="0" u="none" strike="noStrike">
              <a:solidFill>
                <a:schemeClr val="bg1"/>
              </a:solidFill>
              <a:latin typeface="Calibri" panose="020F0502020204030204" pitchFamily="34" charset="0"/>
              <a:cs typeface="Calibri" panose="020F0502020204030204" pitchFamily="34" charset="0"/>
            </a:rPr>
            <a:pPr algn="ctr"/>
            <a:t>NOI_Pivot</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4073656</xdr:colOff>
      <xdr:row>0</xdr:row>
      <xdr:rowOff>277488</xdr:rowOff>
    </xdr:from>
    <xdr:to>
      <xdr:col>2</xdr:col>
      <xdr:colOff>5262376</xdr:colOff>
      <xdr:row>0</xdr:row>
      <xdr:rowOff>551808</xdr:rowOff>
    </xdr:to>
    <xdr:sp macro="" textlink="#REF!">
      <xdr:nvSpPr>
        <xdr:cNvPr id="58" name="Rectangle 57">
          <a:hlinkClick xmlns:r="http://schemas.openxmlformats.org/officeDocument/2006/relationships" r:id="rId22"/>
          <a:extLst>
            <a:ext uri="{FF2B5EF4-FFF2-40B4-BE49-F238E27FC236}">
              <a16:creationId xmlns:a16="http://schemas.microsoft.com/office/drawing/2014/main" id="{6D4CE5EC-6289-4D22-858B-50F2B16653D6}"/>
            </a:ext>
          </a:extLst>
        </xdr:cNvPr>
        <xdr:cNvSpPr/>
      </xdr:nvSpPr>
      <xdr:spPr>
        <a:xfrm>
          <a:off x="6807331" y="277488"/>
          <a:ext cx="1188720"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E02AD9C-7FF4-4980-9A1F-06071A75B120}" type="TxLink">
            <a:rPr lang="en-US" sz="1200" b="0" i="0" u="none" strike="noStrike">
              <a:solidFill>
                <a:schemeClr val="bg1"/>
              </a:solidFill>
              <a:latin typeface="Calibri" panose="020F0502020204030204" pitchFamily="34" charset="0"/>
              <a:cs typeface="Calibri" panose="020F0502020204030204" pitchFamily="34" charset="0"/>
            </a:rPr>
            <a:pPr algn="ctr"/>
            <a:t> </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0</xdr:col>
      <xdr:colOff>0</xdr:colOff>
      <xdr:row>0</xdr:row>
      <xdr:rowOff>1492278</xdr:rowOff>
    </xdr:from>
    <xdr:to>
      <xdr:col>1</xdr:col>
      <xdr:colOff>1404597</xdr:colOff>
      <xdr:row>0</xdr:row>
      <xdr:rowOff>1766598</xdr:rowOff>
    </xdr:to>
    <xdr:sp macro="" textlink="#REF!">
      <xdr:nvSpPr>
        <xdr:cNvPr id="59" name="Rectangle 58">
          <a:hlinkClick xmlns:r="http://schemas.openxmlformats.org/officeDocument/2006/relationships" r:id="rId23"/>
          <a:extLst>
            <a:ext uri="{FF2B5EF4-FFF2-40B4-BE49-F238E27FC236}">
              <a16:creationId xmlns:a16="http://schemas.microsoft.com/office/drawing/2014/main" id="{66658C00-543E-4F1D-B204-54E02823D35E}"/>
            </a:ext>
          </a:extLst>
        </xdr:cNvPr>
        <xdr:cNvSpPr/>
      </xdr:nvSpPr>
      <xdr:spPr>
        <a:xfrm>
          <a:off x="0" y="1492278"/>
          <a:ext cx="18427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6446E702-EE70-4546-8C7E-382A6D1B064A}" type="TxLink">
            <a:rPr lang="en-US" sz="1200" b="0" i="0" u="none" strike="noStrike">
              <a:solidFill>
                <a:schemeClr val="bg1"/>
              </a:solidFill>
              <a:latin typeface="Calibri" panose="020F0502020204030204" pitchFamily="34" charset="0"/>
              <a:cs typeface="Calibri" panose="020F0502020204030204" pitchFamily="34" charset="0"/>
            </a:rPr>
            <a:pPr algn="ctr"/>
            <a:t>ITP_FOU_JKT_LOC_CWP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1</xdr:col>
      <xdr:colOff>1321667</xdr:colOff>
      <xdr:row>0</xdr:row>
      <xdr:rowOff>1492278</xdr:rowOff>
    </xdr:from>
    <xdr:to>
      <xdr:col>2</xdr:col>
      <xdr:colOff>1053130</xdr:colOff>
      <xdr:row>0</xdr:row>
      <xdr:rowOff>1766598</xdr:rowOff>
    </xdr:to>
    <xdr:sp macro="" textlink="#REF!">
      <xdr:nvSpPr>
        <xdr:cNvPr id="60" name="Rectangle 59">
          <a:hlinkClick xmlns:r="http://schemas.openxmlformats.org/officeDocument/2006/relationships" r:id="rId24"/>
          <a:extLst>
            <a:ext uri="{FF2B5EF4-FFF2-40B4-BE49-F238E27FC236}">
              <a16:creationId xmlns:a16="http://schemas.microsoft.com/office/drawing/2014/main" id="{AA524642-F9D9-4FEF-9DE0-DF89F4B6A31B}"/>
            </a:ext>
          </a:extLst>
        </xdr:cNvPr>
        <xdr:cNvSpPr/>
      </xdr:nvSpPr>
      <xdr:spPr>
        <a:xfrm>
          <a:off x="1759817" y="1492278"/>
          <a:ext cx="2026988"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EFA0B59-9336-4CB7-B37C-024F5B6F5E65}"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ITP_FOU_Pin_Pile_INT_EEW</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1049058</xdr:colOff>
      <xdr:row>0</xdr:row>
      <xdr:rowOff>1492278</xdr:rowOff>
    </xdr:from>
    <xdr:to>
      <xdr:col>2</xdr:col>
      <xdr:colOff>2778253</xdr:colOff>
      <xdr:row>0</xdr:row>
      <xdr:rowOff>1766598</xdr:rowOff>
    </xdr:to>
    <xdr:sp macro="" textlink="#REF!">
      <xdr:nvSpPr>
        <xdr:cNvPr id="61" name="Rectangle 60">
          <a:hlinkClick xmlns:r="http://schemas.openxmlformats.org/officeDocument/2006/relationships" r:id="rId25"/>
          <a:extLst>
            <a:ext uri="{FF2B5EF4-FFF2-40B4-BE49-F238E27FC236}">
              <a16:creationId xmlns:a16="http://schemas.microsoft.com/office/drawing/2014/main" id="{9902B913-F571-44AB-848E-FC47BEC3DE2F}"/>
            </a:ext>
          </a:extLst>
        </xdr:cNvPr>
        <xdr:cNvSpPr/>
      </xdr:nvSpPr>
      <xdr:spPr>
        <a:xfrm>
          <a:off x="3782733" y="1492278"/>
          <a:ext cx="1729195"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BA4FDC92-BC37-46C0-8867-999F815AE370}" type="TxLink">
            <a:rPr lang="en-US" sz="1200" b="0" i="0" u="none" strike="noStrike">
              <a:solidFill>
                <a:schemeClr val="bg1"/>
              </a:solidFill>
              <a:latin typeface="Calibri" panose="020F0502020204030204" pitchFamily="34" charset="0"/>
              <a:cs typeface="Calibri" panose="020F0502020204030204" pitchFamily="34" charset="0"/>
            </a:rPr>
            <a:pPr algn="ctr"/>
            <a:t>ITP_FOU_JKT_INT_SKOP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2762882</xdr:colOff>
      <xdr:row>0</xdr:row>
      <xdr:rowOff>1492278</xdr:rowOff>
    </xdr:from>
    <xdr:to>
      <xdr:col>2</xdr:col>
      <xdr:colOff>4421729</xdr:colOff>
      <xdr:row>0</xdr:row>
      <xdr:rowOff>1766598</xdr:rowOff>
    </xdr:to>
    <xdr:sp macro="" textlink="#REF!">
      <xdr:nvSpPr>
        <xdr:cNvPr id="62" name="Rectangle 61">
          <a:hlinkClick xmlns:r="http://schemas.openxmlformats.org/officeDocument/2006/relationships" r:id="rId26"/>
          <a:extLst>
            <a:ext uri="{FF2B5EF4-FFF2-40B4-BE49-F238E27FC236}">
              <a16:creationId xmlns:a16="http://schemas.microsoft.com/office/drawing/2014/main" id="{C48DEC9D-75BF-4347-89E8-7EF39F8C11F3}"/>
            </a:ext>
          </a:extLst>
        </xdr:cNvPr>
        <xdr:cNvSpPr/>
      </xdr:nvSpPr>
      <xdr:spPr>
        <a:xfrm>
          <a:off x="5496557" y="1492278"/>
          <a:ext cx="1658847"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9923F230-39F1-4D29-8847-5677CC591C91}" type="TxLink">
            <a:rPr lang="en-US" sz="1200" b="0" i="0" u="none" strike="noStrike">
              <a:solidFill>
                <a:schemeClr val="bg1"/>
              </a:solidFill>
              <a:latin typeface="Calibri" panose="020F0502020204030204" pitchFamily="34" charset="0"/>
              <a:cs typeface="Calibri" panose="020F0502020204030204" pitchFamily="34" charset="0"/>
            </a:rPr>
            <a:pPr algn="ctr"/>
            <a:t>ITP_TNI_JPG_SUP_IQIP</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4414610</xdr:colOff>
      <xdr:row>0</xdr:row>
      <xdr:rowOff>1492278</xdr:rowOff>
    </xdr:from>
    <xdr:to>
      <xdr:col>4</xdr:col>
      <xdr:colOff>2018</xdr:colOff>
      <xdr:row>0</xdr:row>
      <xdr:rowOff>1766598</xdr:rowOff>
    </xdr:to>
    <xdr:sp macro="" textlink="#REF!">
      <xdr:nvSpPr>
        <xdr:cNvPr id="63" name="Rectangle 62">
          <a:hlinkClick xmlns:r="http://schemas.openxmlformats.org/officeDocument/2006/relationships" r:id="rId27"/>
          <a:extLst>
            <a:ext uri="{FF2B5EF4-FFF2-40B4-BE49-F238E27FC236}">
              <a16:creationId xmlns:a16="http://schemas.microsoft.com/office/drawing/2014/main" id="{F9FAA0A5-EB0F-4D1F-AF79-6908E9E5E405}"/>
            </a:ext>
          </a:extLst>
        </xdr:cNvPr>
        <xdr:cNvSpPr/>
      </xdr:nvSpPr>
      <xdr:spPr>
        <a:xfrm>
          <a:off x="7148285" y="1492278"/>
          <a:ext cx="1559583"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E6494932-2600-44D8-BC73-4BB21D4D3E92}" type="TxLink">
            <a:rPr lang="en-US" sz="1200" b="0" i="0" u="none" strike="noStrike">
              <a:solidFill>
                <a:schemeClr val="bg1"/>
              </a:solidFill>
              <a:latin typeface="Calibri" panose="020F0502020204030204" pitchFamily="34" charset="0"/>
              <a:cs typeface="Calibri" panose="020F0502020204030204" pitchFamily="34" charset="0"/>
            </a:rPr>
            <a:pPr algn="ctr"/>
            <a:t>ITP_WTG_SUP_SGRE</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twoCellAnchor>
    <xdr:from>
      <xdr:col>2</xdr:col>
      <xdr:colOff>4731293</xdr:colOff>
      <xdr:row>0</xdr:row>
      <xdr:rowOff>1217448</xdr:rowOff>
    </xdr:from>
    <xdr:to>
      <xdr:col>4</xdr:col>
      <xdr:colOff>788487</xdr:colOff>
      <xdr:row>0</xdr:row>
      <xdr:rowOff>1491768</xdr:rowOff>
    </xdr:to>
    <xdr:sp macro="" textlink="#REF!">
      <xdr:nvSpPr>
        <xdr:cNvPr id="64" name="Rectangle 63">
          <a:hlinkClick xmlns:r="http://schemas.openxmlformats.org/officeDocument/2006/relationships" r:id="rId28"/>
          <a:extLst>
            <a:ext uri="{FF2B5EF4-FFF2-40B4-BE49-F238E27FC236}">
              <a16:creationId xmlns:a16="http://schemas.microsoft.com/office/drawing/2014/main" id="{39558EDF-4CD7-4799-A277-710B07360F87}"/>
            </a:ext>
          </a:extLst>
        </xdr:cNvPr>
        <xdr:cNvSpPr/>
      </xdr:nvSpPr>
      <xdr:spPr>
        <a:xfrm>
          <a:off x="7464968" y="1217448"/>
          <a:ext cx="2029369" cy="274320"/>
        </a:xfrm>
        <a:prstGeom prst="rect">
          <a:avLst/>
        </a:prstGeom>
        <a:solidFill>
          <a:schemeClr val="tx1"/>
        </a:solidFill>
        <a:ln>
          <a:solidFill>
            <a:schemeClr val="bg1">
              <a:alpha val="9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E8B9871-F308-4CC9-B597-6A76D72B2574}" type="TxLink">
            <a:rPr lang="en-US" sz="1200" b="0" i="0" u="none" strike="noStrike">
              <a:solidFill>
                <a:schemeClr val="bg1"/>
              </a:solidFill>
              <a:latin typeface="Calibri" panose="020F0502020204030204" pitchFamily="34" charset="0"/>
              <a:cs typeface="Calibri" panose="020F0502020204030204" pitchFamily="34" charset="0"/>
            </a:rPr>
            <a:pPr algn="ctr"/>
            <a:t>ITP_FOU_Pin_Pile_LOC_CSBC</a:t>
          </a:fld>
          <a:endParaRPr lang="en-US" sz="1200" b="0">
            <a:solidFill>
              <a:schemeClr val="bg1"/>
            </a:solidFill>
            <a:latin typeface="Calibri" panose="020F0502020204030204" pitchFamily="34" charset="0"/>
            <a:cs typeface="Calibri" panose="020F0502020204030204" pitchFamily="34" charset="0"/>
          </a:endParaRP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1083869</xdr:colOff>
      <xdr:row>493</xdr:row>
      <xdr:rowOff>0</xdr:rowOff>
    </xdr:from>
    <xdr:to>
      <xdr:col>7</xdr:col>
      <xdr:colOff>0</xdr:colOff>
      <xdr:row>493</xdr:row>
      <xdr:rowOff>184805</xdr:rowOff>
    </xdr:to>
    <xdr:sp macro="" textlink="">
      <xdr:nvSpPr>
        <xdr:cNvPr id="3" name="TextBox 1">
          <a:extLst>
            <a:ext uri="{FF2B5EF4-FFF2-40B4-BE49-F238E27FC236}">
              <a16:creationId xmlns:a16="http://schemas.microsoft.com/office/drawing/2014/main" id="{FB7AB56E-C0BE-75A9-5157-DEEA57179473}"/>
            </a:ext>
          </a:extLst>
        </xdr:cNvPr>
        <xdr:cNvSpPr txBox="1"/>
      </xdr:nvSpPr>
      <xdr:spPr>
        <a:xfrm rot="20878013">
          <a:off x="10504094" y="46326658"/>
          <a:ext cx="10413713" cy="100689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4400" spc="500" baseline="0">
              <a:solidFill>
                <a:srgbClr val="FF0000"/>
              </a:solidFill>
            </a:rPr>
            <a:t>Daniel Drafting</a:t>
          </a:r>
        </a:p>
      </xdr:txBody>
    </xdr:sp>
    <xdr:clientData/>
  </xdr:twoCellAnchor>
</xdr:wsDr>
</file>

<file path=xl/drawings/drawing40.xml><?xml version="1.0" encoding="utf-8"?>
<xdr:wsDr xmlns:xdr="http://schemas.openxmlformats.org/drawingml/2006/spreadsheetDrawing" xmlns:a="http://schemas.openxmlformats.org/drawingml/2006/main">
  <xdr:absoluteAnchor>
    <xdr:pos x="0" y="0"/>
    <xdr:ext cx="12996612" cy="9437270"/>
    <xdr:graphicFrame macro="">
      <xdr:nvGraphicFramePr>
        <xdr:cNvPr id="2" name="Chart 1">
          <a:extLst>
            <a:ext uri="{FF2B5EF4-FFF2-40B4-BE49-F238E27FC236}">
              <a16:creationId xmlns:a16="http://schemas.microsoft.com/office/drawing/2014/main" id="{9F691ECB-F327-0A15-0B20-863626840195}"/>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person displayName="Justin Green" id="{D521C699-0237-47A9-B066-B9240D61DC39}" userId="S::Justin.green@hailongoffshorewind.com::1dd4c0d7-f37a-448c-85a4-23fa845452c9" providerId="AD"/>
  <person displayName="Daniel Huang" id="{B4CF2184-5EBC-4E40-B8E5-E02B7165016A}" userId="S::daniel.huang@hailongoffshorewind.com::3d1799bc-c7ac-405a-8577-dcae542c535e" providerId="AD"/>
  <person displayName="Justin Green" id="{4E1087FE-9A35-49EF-B37D-325A7F0933A0}" userId="S::justin.green_hailongoffshorewind.com#ext#@northlandpower.onmicrosoft.com::3fee35cd-8175-474b-b485-52b16dd69507"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iel Huang" refreshedDate="45993.481388425927" createdVersion="8" refreshedVersion="8" minRefreshableVersion="3" recordCount="6" xr:uid="{DFADBE84-AEEB-49A6-A3B1-668F9AD5D979}">
  <cacheSource type="worksheet">
    <worksheetSource name="Query_Overall"/>
  </cacheSource>
  <cacheFields count="37">
    <cacheField name="#" numFmtId="0">
      <sharedItems containsSemiMixedTypes="0" containsString="0" containsNumber="1" containsInteger="1" minValue="1" maxValue="6"/>
    </cacheField>
    <cacheField name="Contractor" numFmtId="0">
      <sharedItems containsBlank="1" count="7">
        <s v="Hellenic Cable"/>
        <s v="LS Cable"/>
        <s v="BMS"/>
        <s v="Seaway7"/>
        <s v="CDWE"/>
        <s v="JDN"/>
        <m u="1"/>
      </sharedItems>
    </cacheField>
    <cacheField name="Scope" numFmtId="0">
      <sharedItems/>
    </cacheField>
    <cacheField name="PQP_Total" numFmtId="0">
      <sharedItems containsSemiMixedTypes="0" containsString="0" containsNumber="1" containsInteger="1" minValue="1" maxValue="1"/>
    </cacheField>
    <cacheField name="PQP_Submission" numFmtId="0">
      <sharedItems containsSemiMixedTypes="0" containsString="0" containsNumber="1" containsInteger="1" minValue="1" maxValue="1"/>
    </cacheField>
    <cacheField name="PQP_Approved" numFmtId="0">
      <sharedItems containsSemiMixedTypes="0" containsString="0" containsNumber="1" containsInteger="1" minValue="1" maxValue="1"/>
    </cacheField>
    <cacheField name="ITP_Total" numFmtId="0">
      <sharedItems containsSemiMixedTypes="0" containsString="0" containsNumber="1" containsInteger="1" minValue="1" maxValue="25"/>
    </cacheField>
    <cacheField name="ITP_Submission" numFmtId="0">
      <sharedItems containsSemiMixedTypes="0" containsString="0" containsNumber="1" containsInteger="1" minValue="1" maxValue="25"/>
    </cacheField>
    <cacheField name="ITP_Approved" numFmtId="0">
      <sharedItems containsSemiMixedTypes="0" containsString="0" containsNumber="1" containsInteger="1" minValue="1" maxValue="25"/>
    </cacheField>
    <cacheField name="OBS_Total" numFmtId="0">
      <sharedItems containsMixedTypes="1" containsNumber="1" containsInteger="1" minValue="1" maxValue="1"/>
    </cacheField>
    <cacheField name="OBS_Opening" numFmtId="0">
      <sharedItems/>
    </cacheField>
    <cacheField name="OBS_Closed" numFmtId="0">
      <sharedItems containsMixedTypes="1" containsNumber="1" containsInteger="1" minValue="1" maxValue="1"/>
    </cacheField>
    <cacheField name="RFOBS_Opening" numFmtId="0">
      <sharedItems/>
    </cacheField>
    <cacheField name="RFOBS_Closed" numFmtId="0">
      <sharedItems/>
    </cacheField>
    <cacheField name="NCR_Total" numFmtId="0">
      <sharedItems containsMixedTypes="1" containsNumber="1" containsInteger="1" minValue="1" maxValue="36"/>
    </cacheField>
    <cacheField name="NCR_Opening" numFmtId="0">
      <sharedItems containsMixedTypes="1" containsNumber="1" containsInteger="1" minValue="4" maxValue="4"/>
    </cacheField>
    <cacheField name="NCR_Closed" numFmtId="0">
      <sharedItems containsMixedTypes="1" containsNumber="1" containsInteger="1" minValue="1" maxValue="36"/>
    </cacheField>
    <cacheField name="RFNCR_Opening" numFmtId="0">
      <sharedItems containsMixedTypes="1" containsNumber="1" containsInteger="1" minValue="5" maxValue="5"/>
    </cacheField>
    <cacheField name="RFNCR_Closed" numFmtId="0">
      <sharedItems containsMixedTypes="1" containsNumber="1" containsInteger="1" minValue="1" maxValue="4"/>
    </cacheField>
    <cacheField name="KPI_PQPClose_out20" numFmtId="0">
      <sharedItems containsSemiMixedTypes="0" containsString="0" containsNumber="1" containsInteger="1" minValue="1" maxValue="1"/>
    </cacheField>
    <cacheField name="KPI_ITPClose_out_30" numFmtId="0">
      <sharedItems containsSemiMixedTypes="0" containsString="0" containsNumber="1" containsInteger="1" minValue="1" maxValue="1"/>
    </cacheField>
    <cacheField name="KPI_OBS_Close_out_15" numFmtId="0">
      <sharedItems containsSemiMixedTypes="0" containsString="0" containsNumber="1" containsInteger="1" minValue="1" maxValue="1"/>
    </cacheField>
    <cacheField name="KPI_NCR_Close_out_35" numFmtId="0">
      <sharedItems containsSemiMixedTypes="0" containsString="0" containsNumber="1" minValue="0.62962962962962965" maxValue="1"/>
    </cacheField>
    <cacheField name="KPI_Last_Month" numFmtId="0">
      <sharedItems containsSemiMixedTypes="0" containsString="0" containsNumber="1" minValue="0.8653846153846152" maxValue="1"/>
    </cacheField>
    <cacheField name="KPI_This_Month" numFmtId="0">
      <sharedItems containsSemiMixedTypes="0" containsString="0" containsNumber="1" minValue="0.87037037037037046" maxValue="1"/>
    </cacheField>
    <cacheField name="KPI_Trend" numFmtId="0">
      <sharedItems containsSemiMixedTypes="0" containsString="0" containsNumber="1" minValue="0" maxValue="4.9857549857552641E-3"/>
    </cacheField>
    <cacheField name="KPI_Variance" numFmtId="0">
      <sharedItems containsSemiMixedTypes="0" containsString="0" containsNumber="1" minValue="0" maxValue="4.9857549857552641E-3"/>
    </cacheField>
    <cacheField name="KPI_2025_02" numFmtId="0">
      <sharedItems containsSemiMixedTypes="0" containsString="0" containsNumber="1" minValue="0.8" maxValue="1"/>
    </cacheField>
    <cacheField name="KPI_2025_03" numFmtId="0">
      <sharedItems containsSemiMixedTypes="0" containsString="0" containsNumber="1" minValue="0.81333333333333335" maxValue="1"/>
    </cacheField>
    <cacheField name="KPI_2025_04" numFmtId="0">
      <sharedItems containsSemiMixedTypes="0" containsString="0" containsNumber="1" minValue="0.86" maxValue="1"/>
    </cacheField>
    <cacheField name="KPI_2025_05" numFmtId="0">
      <sharedItems containsSemiMixedTypes="0" containsString="0" containsNumber="1" minValue="0.82500000000000007" maxValue="1"/>
    </cacheField>
    <cacheField name="KPI_2025_06" numFmtId="0">
      <sharedItems containsSemiMixedTypes="0" containsString="0" containsNumber="1" minValue="0.84444444444444444" maxValue="1"/>
    </cacheField>
    <cacheField name="KPI_2025_07" numFmtId="0">
      <sharedItems containsSemiMixedTypes="0" containsString="0" containsNumber="1" minValue="0.85" maxValue="1"/>
    </cacheField>
    <cacheField name="KPI_2025_08" numFmtId="0">
      <sharedItems containsSemiMixedTypes="0" containsString="0" containsNumber="1" minValue="0.83" maxValue="1"/>
    </cacheField>
    <cacheField name="KPI_2025_09" numFmtId="0">
      <sharedItems containsSemiMixedTypes="0" containsString="0" containsNumber="1" minValue="0.83" maxValue="1"/>
    </cacheField>
    <cacheField name="KPI_2025_10" numFmtId="0">
      <sharedItems containsSemiMixedTypes="0" containsString="0" containsNumber="1" minValue="0.8653846153846152" maxValue="1"/>
    </cacheField>
    <cacheField name="KPI_2025_11" numFmtId="0">
      <sharedItems containsSemiMixedTypes="0" containsString="0" containsNumber="1" minValue="0.8653846153846152" maxValue="1"/>
    </cacheField>
  </cacheFields>
  <extLst>
    <ext xmlns:x14="http://schemas.microsoft.com/office/spreadsheetml/2009/9/main" uri="{725AE2AE-9491-48be-B2B4-4EB974FC3084}">
      <x14:pivotCacheDefinition pivotCacheId="70964699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iel Huang" refreshedDate="45993.48138946759" createdVersion="8" refreshedVersion="8" minRefreshableVersion="3" recordCount="175" xr:uid="{BB3B988F-5ADD-46F3-BE6C-AA54B1FBF6C4}">
  <cacheSource type="worksheet">
    <worksheetSource ref="H2:K177" sheet="KCT"/>
  </cacheSource>
  <cacheFields count="4">
    <cacheField name="Month" numFmtId="0">
      <sharedItems containsNonDate="0" containsDate="1" containsString="0" containsBlank="1" minDate="2023-12-01T00:00:00" maxDate="2026-08-02T00:00:00" count="34">
        <m/>
        <d v="2024-03-01T00:00:00"/>
        <d v="2024-04-01T00:00:00"/>
        <d v="2024-05-01T00:00:00"/>
        <d v="2024-06-01T00:00:00"/>
        <d v="2024-07-01T00:00:00"/>
        <d v="2025-01-01T00:00:00"/>
        <d v="2025-02-01T00:00:00"/>
        <d v="2025-03-01T00:00:00"/>
        <d v="2025-04-01T00:00:00"/>
        <d v="2025-05-01T00:00:00"/>
        <d v="2025-06-01T00:00:00"/>
        <d v="2024-08-01T00:00:00"/>
        <d v="2024-09-01T00:00:00"/>
        <d v="2024-10-01T00:00:00"/>
        <d v="2024-11-01T00:00:00"/>
        <d v="2025-07-01T00:00:00"/>
        <d v="2025-08-01T00:00:00"/>
        <d v="2025-09-01T00:00:00"/>
        <d v="2025-10-01T00:00:00"/>
        <d v="2026-03-01T00:00:00"/>
        <d v="2026-04-01T00:00:00"/>
        <d v="2025-12-01T00:00:00"/>
        <d v="2026-02-01T00:00:00"/>
        <d v="2026-06-01T00:00:00"/>
        <d v="2026-05-01T00:00:00"/>
        <d v="2026-07-01T00:00:00"/>
        <d v="2026-01-01T00:00:00"/>
        <d v="2025-11-01T00:00:00"/>
        <d v="2026-08-01T00:00:00"/>
        <d v="2023-12-01T00:00:00" u="1"/>
        <d v="2024-01-01T00:00:00" u="1"/>
        <d v="2024-02-01T00:00:00" u="1"/>
        <d v="2024-12-01T00:00:00" u="1"/>
      </sharedItems>
    </cacheField>
    <cacheField name="Forecast" numFmtId="0">
      <sharedItems containsString="0" containsBlank="1" containsNumber="1" containsInteger="1" minValue="1" maxValue="23"/>
    </cacheField>
    <cacheField name="Complete" numFmtId="0">
      <sharedItems containsString="0" containsBlank="1" containsNumber="1" containsInteger="1" minValue="0" maxValue="23"/>
    </cacheField>
    <cacheField name="ASB Q'ty " numFmtId="0">
      <sharedItems containsString="0" containsBlank="1" containsNumber="1" containsInteger="1" minValue="1" maxValue="2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n v="1"/>
    <x v="0"/>
    <s v="SUP_Inter Array Cable"/>
    <n v="1"/>
    <n v="1"/>
    <n v="1"/>
    <n v="10"/>
    <n v="10"/>
    <n v="10"/>
    <s v="-"/>
    <s v="-"/>
    <s v="-"/>
    <s v="-"/>
    <s v="-"/>
    <n v="6"/>
    <s v="-"/>
    <n v="6"/>
    <s v="-"/>
    <s v="-"/>
    <n v="1"/>
    <n v="1"/>
    <n v="1"/>
    <n v="1"/>
    <n v="1"/>
    <n v="1"/>
    <n v="0"/>
    <n v="0"/>
    <n v="1"/>
    <n v="1"/>
    <n v="1"/>
    <n v="1"/>
    <n v="1"/>
    <n v="1"/>
    <n v="1"/>
    <n v="1"/>
    <n v="1"/>
    <n v="1"/>
  </r>
  <r>
    <n v="2"/>
    <x v="1"/>
    <s v="SUP_Export Cable "/>
    <n v="1"/>
    <n v="1"/>
    <n v="1"/>
    <n v="10"/>
    <n v="10"/>
    <n v="10"/>
    <n v="1"/>
    <s v="-"/>
    <n v="1"/>
    <s v="-"/>
    <s v="-"/>
    <n v="36"/>
    <s v="-"/>
    <n v="36"/>
    <s v="-"/>
    <s v="-"/>
    <n v="1"/>
    <n v="1"/>
    <n v="1"/>
    <n v="1"/>
    <n v="1"/>
    <n v="1"/>
    <n v="0"/>
    <n v="0"/>
    <n v="0.97741935483870968"/>
    <n v="0.98906250000000007"/>
    <n v="0.97941176470588232"/>
    <n v="0.97083333333333333"/>
    <n v="0.9902777777777777"/>
    <n v="0.9902777777777777"/>
    <n v="1"/>
    <n v="1"/>
    <n v="1"/>
    <n v="1"/>
  </r>
  <r>
    <n v="3"/>
    <x v="2"/>
    <s v="T&amp;I_Rockbag"/>
    <n v="1"/>
    <n v="1"/>
    <n v="1"/>
    <n v="1"/>
    <n v="1"/>
    <n v="1"/>
    <s v="-"/>
    <s v="-"/>
    <s v="-"/>
    <s v="-"/>
    <s v="-"/>
    <n v="1"/>
    <s v="-"/>
    <n v="1"/>
    <s v="-"/>
    <s v="-"/>
    <n v="1"/>
    <n v="1"/>
    <n v="1"/>
    <n v="1"/>
    <n v="1"/>
    <n v="1"/>
    <n v="0"/>
    <n v="0"/>
    <n v="1"/>
    <n v="1"/>
    <n v="1"/>
    <n v="1"/>
    <n v="1"/>
    <n v="1"/>
    <n v="1"/>
    <n v="1"/>
    <n v="1"/>
    <n v="1"/>
  </r>
  <r>
    <n v="4"/>
    <x v="3"/>
    <s v="T&amp;I_Cable"/>
    <n v="1"/>
    <n v="1"/>
    <n v="1"/>
    <n v="24"/>
    <n v="24"/>
    <n v="24"/>
    <s v="-"/>
    <s v="-"/>
    <s v="-"/>
    <s v="-"/>
    <s v="-"/>
    <n v="27"/>
    <n v="4"/>
    <n v="13"/>
    <n v="5"/>
    <n v="4"/>
    <n v="1"/>
    <n v="1"/>
    <n v="1"/>
    <n v="0.62962962962962965"/>
    <n v="0.8653846153846152"/>
    <n v="0.87037037037037046"/>
    <n v="4.9857549857552641E-3"/>
    <n v="4.9857549857552641E-3"/>
    <n v="0.83666666666666667"/>
    <n v="0.81333333333333335"/>
    <n v="0.86"/>
    <n v="0.82500000000000007"/>
    <n v="0.84444444444444444"/>
    <n v="0.85"/>
    <n v="0.83"/>
    <n v="0.83"/>
    <n v="0.8653846153846152"/>
    <n v="0.8653846153846152"/>
  </r>
  <r>
    <n v="5"/>
    <x v="4"/>
    <s v="T&amp;I_FOU_OSS"/>
    <n v="1"/>
    <n v="1"/>
    <n v="1"/>
    <n v="25"/>
    <n v="25"/>
    <n v="25"/>
    <s v="-"/>
    <s v="-"/>
    <s v="-"/>
    <s v="-"/>
    <s v="-"/>
    <n v="29"/>
    <s v="-"/>
    <n v="28"/>
    <s v="-"/>
    <n v="1"/>
    <n v="1"/>
    <n v="1"/>
    <n v="1"/>
    <n v="1"/>
    <n v="1"/>
    <n v="1"/>
    <n v="0"/>
    <n v="0"/>
    <n v="0.8"/>
    <n v="0.86521739130434783"/>
    <n v="0.86521739130434783"/>
    <n v="0.88800000000000001"/>
    <n v="0.88800000000000001"/>
    <n v="0.9"/>
    <n v="0.96"/>
    <n v="1"/>
    <n v="1"/>
    <n v="1"/>
  </r>
  <r>
    <n v="6"/>
    <x v="5"/>
    <s v="T&amp;I_Lossing Rock"/>
    <n v="1"/>
    <n v="1"/>
    <n v="1"/>
    <n v="1"/>
    <n v="1"/>
    <n v="1"/>
    <s v="-"/>
    <s v="-"/>
    <s v="-"/>
    <s v="-"/>
    <s v="-"/>
    <s v="-"/>
    <s v="-"/>
    <s v="-"/>
    <s v="-"/>
    <s v="-"/>
    <n v="1"/>
    <n v="1"/>
    <n v="1"/>
    <n v="1"/>
    <n v="1"/>
    <n v="1"/>
    <n v="0"/>
    <n v="0"/>
    <n v="1"/>
    <n v="1"/>
    <n v="1"/>
    <n v="1"/>
    <n v="1"/>
    <n v="1"/>
    <n v="1"/>
    <n v="1"/>
    <n v="1"/>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5">
  <r>
    <x v="0"/>
    <m/>
    <m/>
    <m/>
  </r>
  <r>
    <x v="0"/>
    <m/>
    <m/>
    <m/>
  </r>
  <r>
    <x v="0"/>
    <m/>
    <m/>
    <m/>
  </r>
  <r>
    <x v="1"/>
    <n v="2"/>
    <n v="2"/>
    <n v="2"/>
  </r>
  <r>
    <x v="2"/>
    <n v="6"/>
    <n v="6"/>
    <n v="6"/>
  </r>
  <r>
    <x v="3"/>
    <n v="14"/>
    <n v="14"/>
    <n v="14"/>
  </r>
  <r>
    <x v="4"/>
    <n v="14"/>
    <n v="14"/>
    <n v="14"/>
  </r>
  <r>
    <x v="5"/>
    <n v="1"/>
    <n v="1"/>
    <n v="1"/>
  </r>
  <r>
    <x v="6"/>
    <m/>
    <m/>
    <m/>
  </r>
  <r>
    <x v="7"/>
    <n v="1"/>
    <n v="1"/>
    <n v="1"/>
  </r>
  <r>
    <x v="8"/>
    <n v="7"/>
    <n v="7"/>
    <n v="7"/>
  </r>
  <r>
    <x v="9"/>
    <n v="10"/>
    <n v="10"/>
    <n v="10"/>
  </r>
  <r>
    <x v="10"/>
    <n v="16"/>
    <n v="16"/>
    <n v="16"/>
  </r>
  <r>
    <x v="11"/>
    <n v="2"/>
    <n v="2"/>
    <n v="2"/>
  </r>
  <r>
    <x v="0"/>
    <m/>
    <m/>
    <m/>
  </r>
  <r>
    <x v="0"/>
    <m/>
    <m/>
    <m/>
  </r>
  <r>
    <x v="12"/>
    <n v="4"/>
    <n v="4"/>
    <n v="4"/>
  </r>
  <r>
    <x v="13"/>
    <n v="23"/>
    <n v="23"/>
    <n v="23"/>
  </r>
  <r>
    <x v="14"/>
    <n v="6"/>
    <n v="6"/>
    <n v="6"/>
  </r>
  <r>
    <x v="15"/>
    <n v="4"/>
    <n v="4"/>
    <n v="4"/>
  </r>
  <r>
    <x v="11"/>
    <n v="12"/>
    <n v="12"/>
    <n v="12"/>
  </r>
  <r>
    <x v="16"/>
    <n v="14"/>
    <n v="14"/>
    <n v="14"/>
  </r>
  <r>
    <x v="17"/>
    <n v="10"/>
    <n v="10"/>
    <n v="10"/>
  </r>
  <r>
    <x v="0"/>
    <m/>
    <m/>
    <m/>
  </r>
  <r>
    <x v="0"/>
    <m/>
    <m/>
    <m/>
  </r>
  <r>
    <x v="0"/>
    <m/>
    <m/>
    <m/>
  </r>
  <r>
    <x v="0"/>
    <m/>
    <m/>
    <m/>
  </r>
  <r>
    <x v="0"/>
    <m/>
    <m/>
    <m/>
  </r>
  <r>
    <x v="0"/>
    <m/>
    <m/>
    <m/>
  </r>
  <r>
    <x v="0"/>
    <m/>
    <m/>
    <m/>
  </r>
  <r>
    <x v="0"/>
    <m/>
    <m/>
    <m/>
  </r>
  <r>
    <x v="0"/>
    <m/>
    <m/>
    <m/>
  </r>
  <r>
    <x v="0"/>
    <m/>
    <m/>
    <m/>
  </r>
  <r>
    <x v="2"/>
    <n v="1"/>
    <n v="1"/>
    <n v="1"/>
  </r>
  <r>
    <x v="8"/>
    <n v="1"/>
    <n v="1"/>
    <n v="1"/>
  </r>
  <r>
    <x v="0"/>
    <m/>
    <m/>
    <m/>
  </r>
  <r>
    <x v="0"/>
    <m/>
    <m/>
    <m/>
  </r>
  <r>
    <x v="0"/>
    <m/>
    <m/>
    <m/>
  </r>
  <r>
    <x v="0"/>
    <m/>
    <m/>
    <m/>
  </r>
  <r>
    <x v="1"/>
    <n v="1"/>
    <n v="1"/>
    <n v="1"/>
  </r>
  <r>
    <x v="3"/>
    <n v="1"/>
    <n v="1"/>
    <n v="1"/>
  </r>
  <r>
    <x v="12"/>
    <n v="1"/>
    <n v="1"/>
    <n v="1"/>
  </r>
  <r>
    <x v="8"/>
    <n v="1"/>
    <n v="1"/>
    <n v="1"/>
  </r>
  <r>
    <x v="0"/>
    <m/>
    <m/>
    <m/>
  </r>
  <r>
    <x v="0"/>
    <m/>
    <m/>
    <m/>
  </r>
  <r>
    <x v="0"/>
    <m/>
    <m/>
    <m/>
  </r>
  <r>
    <x v="0"/>
    <m/>
    <m/>
    <m/>
  </r>
  <r>
    <x v="0"/>
    <m/>
    <m/>
    <m/>
  </r>
  <r>
    <x v="0"/>
    <m/>
    <m/>
    <m/>
  </r>
  <r>
    <x v="0"/>
    <m/>
    <m/>
    <m/>
  </r>
  <r>
    <x v="0"/>
    <m/>
    <m/>
    <m/>
  </r>
  <r>
    <x v="0"/>
    <m/>
    <m/>
    <m/>
  </r>
  <r>
    <x v="0"/>
    <m/>
    <m/>
    <m/>
  </r>
  <r>
    <x v="0"/>
    <m/>
    <m/>
    <m/>
  </r>
  <r>
    <x v="0"/>
    <m/>
    <m/>
    <m/>
  </r>
  <r>
    <x v="0"/>
    <m/>
    <m/>
    <m/>
  </r>
  <r>
    <x v="0"/>
    <m/>
    <m/>
    <m/>
  </r>
  <r>
    <x v="0"/>
    <m/>
    <m/>
    <m/>
  </r>
  <r>
    <x v="0"/>
    <m/>
    <m/>
    <m/>
  </r>
  <r>
    <x v="0"/>
    <m/>
    <m/>
    <m/>
  </r>
  <r>
    <x v="0"/>
    <m/>
    <m/>
    <m/>
  </r>
  <r>
    <x v="8"/>
    <n v="1"/>
    <n v="1"/>
    <m/>
  </r>
  <r>
    <x v="9"/>
    <n v="7"/>
    <n v="7"/>
    <m/>
  </r>
  <r>
    <x v="10"/>
    <n v="8"/>
    <n v="8"/>
    <m/>
  </r>
  <r>
    <x v="11"/>
    <n v="11"/>
    <n v="11"/>
    <m/>
  </r>
  <r>
    <x v="16"/>
    <n v="9"/>
    <n v="9"/>
    <m/>
  </r>
  <r>
    <x v="17"/>
    <n v="1"/>
    <n v="1"/>
    <m/>
  </r>
  <r>
    <x v="17"/>
    <n v="9"/>
    <n v="9"/>
    <m/>
  </r>
  <r>
    <x v="18"/>
    <n v="9"/>
    <n v="9"/>
    <m/>
  </r>
  <r>
    <x v="19"/>
    <n v="10"/>
    <n v="10"/>
    <m/>
  </r>
  <r>
    <x v="20"/>
    <n v="6"/>
    <n v="0"/>
    <m/>
  </r>
  <r>
    <x v="21"/>
    <n v="2"/>
    <n v="0"/>
    <m/>
  </r>
  <r>
    <x v="11"/>
    <n v="5"/>
    <n v="5"/>
    <m/>
  </r>
  <r>
    <x v="16"/>
    <n v="5"/>
    <n v="5"/>
    <m/>
  </r>
  <r>
    <x v="18"/>
    <n v="8"/>
    <n v="8"/>
    <m/>
  </r>
  <r>
    <x v="19"/>
    <n v="3"/>
    <n v="3"/>
    <m/>
  </r>
  <r>
    <x v="22"/>
    <n v="11"/>
    <n v="0"/>
    <m/>
  </r>
  <r>
    <x v="23"/>
    <n v="3"/>
    <n v="0"/>
    <m/>
  </r>
  <r>
    <x v="20"/>
    <n v="5"/>
    <n v="0"/>
    <m/>
  </r>
  <r>
    <x v="21"/>
    <n v="8"/>
    <n v="0"/>
    <m/>
  </r>
  <r>
    <x v="24"/>
    <n v="5"/>
    <n v="0"/>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0"/>
    <m/>
    <m/>
    <m/>
  </r>
  <r>
    <x v="9"/>
    <n v="4"/>
    <n v="4"/>
    <m/>
  </r>
  <r>
    <x v="10"/>
    <n v="9"/>
    <n v="9"/>
    <m/>
  </r>
  <r>
    <x v="11"/>
    <n v="6"/>
    <n v="6"/>
    <m/>
  </r>
  <r>
    <x v="16"/>
    <n v="8"/>
    <n v="8"/>
    <m/>
  </r>
  <r>
    <x v="17"/>
    <n v="6"/>
    <n v="6"/>
    <m/>
  </r>
  <r>
    <x v="18"/>
    <n v="2"/>
    <n v="2"/>
    <m/>
  </r>
  <r>
    <x v="19"/>
    <n v="2"/>
    <n v="2"/>
    <m/>
  </r>
  <r>
    <x v="20"/>
    <n v="7"/>
    <m/>
    <m/>
  </r>
  <r>
    <x v="21"/>
    <n v="8"/>
    <m/>
    <m/>
  </r>
  <r>
    <x v="25"/>
    <n v="9"/>
    <m/>
    <m/>
  </r>
  <r>
    <x v="24"/>
    <n v="9"/>
    <m/>
    <m/>
  </r>
  <r>
    <x v="26"/>
    <n v="3"/>
    <m/>
    <m/>
  </r>
  <r>
    <x v="16"/>
    <n v="3"/>
    <n v="3"/>
    <m/>
  </r>
  <r>
    <x v="17"/>
    <n v="1"/>
    <n v="1"/>
    <m/>
  </r>
  <r>
    <x v="18"/>
    <n v="4"/>
    <n v="4"/>
    <m/>
  </r>
  <r>
    <x v="22"/>
    <n v="4"/>
    <m/>
    <m/>
  </r>
  <r>
    <x v="27"/>
    <n v="7"/>
    <m/>
    <m/>
  </r>
  <r>
    <x v="23"/>
    <n v="7"/>
    <m/>
    <m/>
  </r>
  <r>
    <x v="20"/>
    <n v="6"/>
    <m/>
    <m/>
  </r>
  <r>
    <x v="21"/>
    <n v="5"/>
    <m/>
    <m/>
  </r>
  <r>
    <x v="20"/>
    <n v="1"/>
    <m/>
    <m/>
  </r>
  <r>
    <x v="21"/>
    <n v="8"/>
    <m/>
    <m/>
  </r>
  <r>
    <x v="25"/>
    <n v="9"/>
    <m/>
    <m/>
  </r>
  <r>
    <x v="24"/>
    <n v="9"/>
    <m/>
    <m/>
  </r>
  <r>
    <x v="26"/>
    <n v="9"/>
    <m/>
    <m/>
  </r>
  <r>
    <x v="28"/>
    <m/>
    <m/>
    <m/>
  </r>
  <r>
    <x v="0"/>
    <m/>
    <m/>
    <m/>
  </r>
  <r>
    <x v="0"/>
    <m/>
    <m/>
    <m/>
  </r>
  <r>
    <x v="0"/>
    <m/>
    <m/>
    <m/>
  </r>
  <r>
    <x v="0"/>
    <m/>
    <m/>
    <m/>
  </r>
  <r>
    <x v="0"/>
    <m/>
    <m/>
    <m/>
  </r>
  <r>
    <x v="0"/>
    <m/>
    <m/>
    <m/>
  </r>
  <r>
    <x v="0"/>
    <m/>
    <m/>
    <m/>
  </r>
  <r>
    <x v="9"/>
    <n v="4"/>
    <n v="4"/>
    <m/>
  </r>
  <r>
    <x v="10"/>
    <n v="2"/>
    <n v="2"/>
    <m/>
  </r>
  <r>
    <x v="11"/>
    <n v="4"/>
    <n v="4"/>
    <m/>
  </r>
  <r>
    <x v="16"/>
    <n v="2"/>
    <n v="2"/>
    <m/>
  </r>
  <r>
    <x v="17"/>
    <n v="2"/>
    <n v="2"/>
    <m/>
  </r>
  <r>
    <x v="22"/>
    <n v="3"/>
    <m/>
    <m/>
  </r>
  <r>
    <x v="0"/>
    <m/>
    <m/>
    <m/>
  </r>
  <r>
    <x v="0"/>
    <m/>
    <m/>
    <m/>
  </r>
  <r>
    <x v="9"/>
    <n v="1"/>
    <n v="1"/>
    <m/>
  </r>
  <r>
    <x v="10"/>
    <n v="9"/>
    <n v="9"/>
    <m/>
  </r>
  <r>
    <x v="11"/>
    <n v="14"/>
    <n v="14"/>
    <m/>
  </r>
  <r>
    <x v="16"/>
    <n v="9"/>
    <n v="9"/>
    <m/>
  </r>
  <r>
    <x v="17"/>
    <n v="4"/>
    <n v="4"/>
    <m/>
  </r>
  <r>
    <x v="17"/>
    <n v="7"/>
    <n v="7"/>
    <m/>
  </r>
  <r>
    <x v="18"/>
    <n v="10"/>
    <n v="10"/>
    <m/>
  </r>
  <r>
    <x v="19"/>
    <n v="6"/>
    <n v="6"/>
    <m/>
  </r>
  <r>
    <x v="28"/>
    <n v="2"/>
    <m/>
    <m/>
  </r>
  <r>
    <x v="22"/>
    <n v="3"/>
    <m/>
    <m/>
  </r>
  <r>
    <x v="20"/>
    <n v="3"/>
    <m/>
    <m/>
  </r>
  <r>
    <x v="21"/>
    <n v="4"/>
    <m/>
    <m/>
  </r>
  <r>
    <x v="25"/>
    <n v="1"/>
    <m/>
    <m/>
  </r>
  <r>
    <x v="23"/>
    <n v="3"/>
    <m/>
    <m/>
  </r>
  <r>
    <x v="20"/>
    <n v="4"/>
    <m/>
    <m/>
  </r>
  <r>
    <x v="26"/>
    <n v="7"/>
    <m/>
    <m/>
  </r>
  <r>
    <x v="29"/>
    <n v="2"/>
    <m/>
    <m/>
  </r>
  <r>
    <x v="21"/>
    <n v="3"/>
    <m/>
    <m/>
  </r>
  <r>
    <x v="25"/>
    <n v="7"/>
    <m/>
    <m/>
  </r>
  <r>
    <x v="24"/>
    <n v="6"/>
    <m/>
    <m/>
  </r>
  <r>
    <x v="0"/>
    <m/>
    <m/>
    <m/>
  </r>
  <r>
    <x v="0"/>
    <m/>
    <m/>
    <m/>
  </r>
  <r>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0F6244-2163-44FB-8EEC-76F835962B4B}"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D34" firstHeaderRow="0" firstDataRow="1" firstDataCol="1"/>
  <pivotFields count="4">
    <pivotField axis="axisRow" showAll="0" sortType="ascending">
      <items count="35">
        <item m="1" x="30"/>
        <item m="1" x="31"/>
        <item m="1" x="32"/>
        <item x="1"/>
        <item x="2"/>
        <item x="3"/>
        <item x="4"/>
        <item x="5"/>
        <item x="12"/>
        <item x="13"/>
        <item x="14"/>
        <item x="15"/>
        <item m="1" x="33"/>
        <item x="6"/>
        <item x="7"/>
        <item x="8"/>
        <item x="9"/>
        <item x="10"/>
        <item x="11"/>
        <item x="16"/>
        <item x="17"/>
        <item x="18"/>
        <item x="19"/>
        <item x="28"/>
        <item x="22"/>
        <item x="27"/>
        <item x="23"/>
        <item x="20"/>
        <item x="21"/>
        <item x="25"/>
        <item x="24"/>
        <item x="26"/>
        <item x="29"/>
        <item x="0"/>
        <item t="default"/>
      </items>
    </pivotField>
    <pivotField dataField="1" showAll="0"/>
    <pivotField dataField="1" showAll="0"/>
    <pivotField dataField="1" showAll="0"/>
  </pivotFields>
  <rowFields count="1">
    <field x="0"/>
  </rowFields>
  <rowItems count="31">
    <i>
      <x v="3"/>
    </i>
    <i>
      <x v="4"/>
    </i>
    <i>
      <x v="5"/>
    </i>
    <i>
      <x v="6"/>
    </i>
    <i>
      <x v="7"/>
    </i>
    <i>
      <x v="8"/>
    </i>
    <i>
      <x v="9"/>
    </i>
    <i>
      <x v="10"/>
    </i>
    <i>
      <x v="11"/>
    </i>
    <i>
      <x v="13"/>
    </i>
    <i>
      <x v="14"/>
    </i>
    <i>
      <x v="15"/>
    </i>
    <i>
      <x v="16"/>
    </i>
    <i>
      <x v="17"/>
    </i>
    <i>
      <x v="18"/>
    </i>
    <i>
      <x v="19"/>
    </i>
    <i>
      <x v="20"/>
    </i>
    <i>
      <x v="21"/>
    </i>
    <i>
      <x v="22"/>
    </i>
    <i>
      <x v="23"/>
    </i>
    <i>
      <x v="24"/>
    </i>
    <i>
      <x v="25"/>
    </i>
    <i>
      <x v="26"/>
    </i>
    <i>
      <x v="27"/>
    </i>
    <i>
      <x v="28"/>
    </i>
    <i>
      <x v="29"/>
    </i>
    <i>
      <x v="30"/>
    </i>
    <i>
      <x v="31"/>
    </i>
    <i>
      <x v="32"/>
    </i>
    <i>
      <x v="33"/>
    </i>
    <i t="grand">
      <x/>
    </i>
  </rowItems>
  <colFields count="1">
    <field x="-2"/>
  </colFields>
  <colItems count="3">
    <i>
      <x/>
    </i>
    <i i="1">
      <x v="1"/>
    </i>
    <i i="2">
      <x v="2"/>
    </i>
  </colItems>
  <dataFields count="3">
    <dataField name="Sum of Forecast" fld="1" baseField="0" baseItem="0"/>
    <dataField name="Sum of Complete" fld="2" baseField="0" baseItem="0"/>
    <dataField name="Sum of ASB Q'ty " fld="3"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F622994-271F-4084-80A4-9D78BF0F3E7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U3:AA4" firstHeaderRow="0" firstDataRow="1" firstDataCol="1"/>
  <pivotFields count="37">
    <pivotField showAll="0"/>
    <pivotField axis="axisRow" showAll="0" sortType="ascending">
      <items count="8">
        <item h="1" x="2"/>
        <item h="1" x="4"/>
        <item h="1" x="0"/>
        <item h="1" x="5"/>
        <item h="1" x="1"/>
        <item h="1" x="3"/>
        <item m="1" x="6"/>
        <item t="default"/>
      </items>
      <autoSortScope>
        <pivotArea dataOnly="0" outline="0" fieldPosition="0">
          <references count="1">
            <reference field="4294967294" count="1" selected="0">
              <x v="4"/>
            </reference>
          </references>
        </pivotArea>
      </autoSortScope>
    </pivotField>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
    <i t="grand">
      <x/>
    </i>
  </rowItems>
  <colFields count="1">
    <field x="-2"/>
  </colFields>
  <colItems count="6">
    <i>
      <x/>
    </i>
    <i i="1">
      <x v="1"/>
    </i>
    <i i="2">
      <x v="2"/>
    </i>
    <i i="3">
      <x v="3"/>
    </i>
    <i i="4">
      <x v="4"/>
    </i>
    <i i="5">
      <x v="5"/>
    </i>
  </colItems>
  <dataFields count="6">
    <dataField name="Sum of OBS_Opening" fld="10" baseField="1" baseItem="2"/>
    <dataField name="Sum of OBS_Closed" fld="11" baseField="1" baseItem="2"/>
    <dataField name="Sum of RFOBS_Opening" fld="12" baseField="1" baseItem="1"/>
    <dataField name="Sum of RFOBS_Closed" fld="13" baseField="1" baseItem="1"/>
    <dataField name="Sum of OBS_Total" fld="9" baseField="1" baseItem="2"/>
    <dataField name="Sum of OBS_Total2" fld="9" baseField="1" baseItem="2" numFmtId="10">
      <extLst>
        <ext xmlns:x14="http://schemas.microsoft.com/office/spreadsheetml/2009/9/main" uri="{E15A36E0-9728-4e99-A89B-3F7291B0FE68}">
          <x14:dataField pivotShowAs="percentOfRunningTotal"/>
        </ext>
      </extLst>
    </dataField>
  </dataFields>
  <chartFormats count="6">
    <chartFormat chart="10" format="12"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1"/>
          </reference>
        </references>
      </pivotArea>
    </chartFormat>
    <chartFormat chart="10" format="14" series="1">
      <pivotArea type="data" outline="0" fieldPosition="0">
        <references count="1">
          <reference field="4294967294" count="1" selected="0">
            <x v="2"/>
          </reference>
        </references>
      </pivotArea>
    </chartFormat>
    <chartFormat chart="10" format="15" series="1">
      <pivotArea type="data" outline="0" fieldPosition="0">
        <references count="1">
          <reference field="4294967294" count="1" selected="0">
            <x v="3"/>
          </reference>
        </references>
      </pivotArea>
    </chartFormat>
    <chartFormat chart="10" format="16" series="1">
      <pivotArea type="data" outline="0" fieldPosition="0">
        <references count="1">
          <reference field="4294967294" count="1" selected="0">
            <x v="4"/>
          </reference>
        </references>
      </pivotArea>
    </chartFormat>
    <chartFormat chart="10" format="17"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F98BB38-60C1-43E6-8174-0794F72CB0E8}"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M3:P4" firstHeaderRow="0" firstDataRow="1" firstDataCol="1"/>
  <pivotFields count="37">
    <pivotField showAll="0"/>
    <pivotField axis="axisRow" showAll="0">
      <items count="8">
        <item h="1" x="2"/>
        <item h="1" x="4"/>
        <item h="1" x="0"/>
        <item h="1" x="5"/>
        <item h="1" x="1"/>
        <item h="1" x="3"/>
        <item m="1" x="6"/>
        <item t="default"/>
      </items>
    </pivotField>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
    <i t="grand">
      <x/>
    </i>
  </rowItems>
  <colFields count="1">
    <field x="-2"/>
  </colFields>
  <colItems count="3">
    <i>
      <x/>
    </i>
    <i i="1">
      <x v="1"/>
    </i>
    <i i="2">
      <x v="2"/>
    </i>
  </colItems>
  <dataFields count="3">
    <dataField name="Sum of ITP_Total" fld="6" baseField="0" baseItem="0"/>
    <dataField name="Sum of ITP_Submission" fld="7" baseField="0" baseItem="0"/>
    <dataField name="Sum of ITP_Approved"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C8A99FB-4C2B-4E88-9B2E-7CCFE920ECDA}" name="PivotTable5"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O3:AP14" firstHeaderRow="1" firstDataRow="2" firstDataCol="1"/>
  <pivotFields count="37">
    <pivotField showAll="0"/>
    <pivotField axis="axisCol" showAll="0">
      <items count="8">
        <item h="1" x="2"/>
        <item h="1" x="4"/>
        <item h="1" x="0"/>
        <item h="1" x="5"/>
        <item h="1" x="1"/>
        <item h="1" x="3"/>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0">
    <i>
      <x/>
    </i>
    <i i="1">
      <x v="1"/>
    </i>
    <i i="2">
      <x v="2"/>
    </i>
    <i i="3">
      <x v="3"/>
    </i>
    <i i="4">
      <x v="4"/>
    </i>
    <i i="5">
      <x v="5"/>
    </i>
    <i i="6">
      <x v="6"/>
    </i>
    <i i="7">
      <x v="7"/>
    </i>
    <i i="8">
      <x v="8"/>
    </i>
    <i i="9">
      <x v="9"/>
    </i>
  </rowItems>
  <colFields count="1">
    <field x="1"/>
  </colFields>
  <colItems count="1">
    <i t="grand">
      <x/>
    </i>
  </colItems>
  <dataFields count="10">
    <dataField name="Sum of KPI_2025_02" fld="27" baseField="0" baseItem="0"/>
    <dataField name="Sum of KPI_2025_03" fld="28" baseField="0" baseItem="0"/>
    <dataField name="Sum of KPI_2025_04" fld="29" baseField="0" baseItem="0"/>
    <dataField name="Sum of KPI_2025_05" fld="30" baseField="0" baseItem="0"/>
    <dataField name="Sum of KPI_2025_06" fld="31" baseField="0" baseItem="0"/>
    <dataField name="Sum of KPI_2025_07" fld="32" baseField="0" baseItem="0"/>
    <dataField name="Sum of KPI_2025_08" fld="33" baseField="0" baseItem="0"/>
    <dataField name="Sum of KPI_2025_09" fld="34" baseField="0" baseItem="0"/>
    <dataField name="Sum of KPI_2025_10" fld="35" baseField="0" baseItem="0"/>
    <dataField name="Sum of KPI_2025_11" fld="36" baseField="0" baseItem="0"/>
  </dataFields>
  <formats count="1">
    <format dxfId="100">
      <pivotArea outline="0" collapsedLevelsAreSubtotals="1" fieldPosition="0"/>
    </format>
  </formats>
  <chartFormats count="16">
    <chartFormat chart="10" format="32" series="1">
      <pivotArea type="data" outline="0" fieldPosition="0">
        <references count="2">
          <reference field="4294967294" count="1" selected="0">
            <x v="0"/>
          </reference>
          <reference field="1" count="1" selected="0">
            <x v="0"/>
          </reference>
        </references>
      </pivotArea>
    </chartFormat>
    <chartFormat chart="10" format="33" series="1">
      <pivotArea type="data" outline="0" fieldPosition="0">
        <references count="2">
          <reference field="4294967294" count="1" selected="0">
            <x v="0"/>
          </reference>
          <reference field="1" count="1" selected="0">
            <x v="1"/>
          </reference>
        </references>
      </pivotArea>
    </chartFormat>
    <chartFormat chart="10" format="34" series="1">
      <pivotArea type="data" outline="0" fieldPosition="0">
        <references count="2">
          <reference field="4294967294" count="1" selected="0">
            <x v="0"/>
          </reference>
          <reference field="1" count="1" selected="0">
            <x v="2"/>
          </reference>
        </references>
      </pivotArea>
    </chartFormat>
    <chartFormat chart="10" format="35" series="1">
      <pivotArea type="data" outline="0" fieldPosition="0">
        <references count="2">
          <reference field="4294967294" count="1" selected="0">
            <x v="0"/>
          </reference>
          <reference field="1" count="1" selected="0">
            <x v="3"/>
          </reference>
        </references>
      </pivotArea>
    </chartFormat>
    <chartFormat chart="10" format="36" series="1">
      <pivotArea type="data" outline="0" fieldPosition="0">
        <references count="2">
          <reference field="4294967294" count="1" selected="0">
            <x v="0"/>
          </reference>
          <reference field="1" count="1" selected="0">
            <x v="4"/>
          </reference>
        </references>
      </pivotArea>
    </chartFormat>
    <chartFormat chart="10" format="37" series="1">
      <pivotArea type="data" outline="0" fieldPosition="0">
        <references count="2">
          <reference field="4294967294" count="1" selected="0">
            <x v="0"/>
          </reference>
          <reference field="1" count="1" selected="0">
            <x v="5"/>
          </reference>
        </references>
      </pivotArea>
    </chartFormat>
    <chartFormat chart="14" format="56" series="1">
      <pivotArea type="data" outline="0" fieldPosition="0">
        <references count="2">
          <reference field="4294967294" count="1" selected="0">
            <x v="0"/>
          </reference>
          <reference field="1" count="1" selected="0">
            <x v="0"/>
          </reference>
        </references>
      </pivotArea>
    </chartFormat>
    <chartFormat chart="14" format="57" series="1">
      <pivotArea type="data" outline="0" fieldPosition="0">
        <references count="2">
          <reference field="4294967294" count="1" selected="0">
            <x v="0"/>
          </reference>
          <reference field="1" count="1" selected="0">
            <x v="1"/>
          </reference>
        </references>
      </pivotArea>
    </chartFormat>
    <chartFormat chart="14" format="58" series="1">
      <pivotArea type="data" outline="0" fieldPosition="0">
        <references count="2">
          <reference field="4294967294" count="1" selected="0">
            <x v="0"/>
          </reference>
          <reference field="1" count="1" selected="0">
            <x v="2"/>
          </reference>
        </references>
      </pivotArea>
    </chartFormat>
    <chartFormat chart="14" format="59" series="1">
      <pivotArea type="data" outline="0" fieldPosition="0">
        <references count="2">
          <reference field="4294967294" count="1" selected="0">
            <x v="0"/>
          </reference>
          <reference field="1" count="1" selected="0">
            <x v="3"/>
          </reference>
        </references>
      </pivotArea>
    </chartFormat>
    <chartFormat chart="14" format="60" series="1">
      <pivotArea type="data" outline="0" fieldPosition="0">
        <references count="2">
          <reference field="4294967294" count="1" selected="0">
            <x v="0"/>
          </reference>
          <reference field="1" count="1" selected="0">
            <x v="4"/>
          </reference>
        </references>
      </pivotArea>
    </chartFormat>
    <chartFormat chart="14" format="61" series="1">
      <pivotArea type="data" outline="0" fieldPosition="0">
        <references count="2">
          <reference field="4294967294" count="1" selected="0">
            <x v="0"/>
          </reference>
          <reference field="1" count="1" selected="0">
            <x v="5"/>
          </reference>
        </references>
      </pivotArea>
    </chartFormat>
    <chartFormat chart="10" format="38" series="1">
      <pivotArea type="data" outline="0" fieldPosition="0">
        <references count="2">
          <reference field="4294967294" count="1" selected="0">
            <x v="0"/>
          </reference>
          <reference field="1" count="1" selected="0">
            <x v="6"/>
          </reference>
        </references>
      </pivotArea>
    </chartFormat>
    <chartFormat chart="14" format="63" series="1">
      <pivotArea type="data" outline="0" fieldPosition="0">
        <references count="2">
          <reference field="4294967294" count="1" selected="0">
            <x v="0"/>
          </reference>
          <reference field="1" count="1" selected="0">
            <x v="6"/>
          </reference>
        </references>
      </pivotArea>
    </chartFormat>
    <chartFormat chart="10" format="39" series="1">
      <pivotArea type="data" outline="0" fieldPosition="0">
        <references count="1">
          <reference field="4294967294" count="1" selected="0">
            <x v="0"/>
          </reference>
        </references>
      </pivotArea>
    </chartFormat>
    <chartFormat chart="14" format="6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61C7363-5402-4CBD-B854-6037A9E6EDA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H4" firstHeaderRow="0" firstDataRow="1" firstDataCol="1"/>
  <pivotFields count="37">
    <pivotField showAll="0"/>
    <pivotField axis="axisRow" showAll="0">
      <items count="8">
        <item h="1" x="2"/>
        <item h="1" x="4"/>
        <item h="1" x="0"/>
        <item h="1" x="5"/>
        <item h="1" x="1"/>
        <item h="1" x="3"/>
        <item m="1" x="6"/>
        <item t="default"/>
      </items>
    </pivotField>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
    <i t="grand">
      <x/>
    </i>
  </rowItems>
  <colFields count="1">
    <field x="-2"/>
  </colFields>
  <colItems count="3">
    <i>
      <x/>
    </i>
    <i i="1">
      <x v="1"/>
    </i>
    <i i="2">
      <x v="2"/>
    </i>
  </colItems>
  <dataFields count="3">
    <dataField name="Sum of PQP_Total" fld="3" baseField="0" baseItem="0"/>
    <dataField name="Sum of PQP_Submission" fld="4" baseField="0" baseItem="0"/>
    <dataField name="Sum of PQP_Approved"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183D844-48D5-4B6E-82D6-3B6AFDA8F00C}"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D3:AH4" firstHeaderRow="0" firstDataRow="1" firstDataCol="1"/>
  <pivotFields count="37">
    <pivotField showAll="0"/>
    <pivotField axis="axisRow" showAll="0" sortType="descending">
      <items count="8">
        <item h="1" x="2"/>
        <item h="1" x="4"/>
        <item h="1" x="0"/>
        <item h="1" x="5"/>
        <item h="1" x="1"/>
        <item h="1" x="3"/>
        <item m="1" x="6"/>
        <item t="default"/>
      </items>
      <autoSortScope>
        <pivotArea dataOnly="0" outline="0" fieldPosition="0">
          <references count="1">
            <reference field="4294967294" count="1" selected="0">
              <x v="2"/>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
    <i t="grand">
      <x/>
    </i>
  </rowItems>
  <colFields count="1">
    <field x="-2"/>
  </colFields>
  <colItems count="4">
    <i>
      <x/>
    </i>
    <i i="1">
      <x v="1"/>
    </i>
    <i i="2">
      <x v="2"/>
    </i>
    <i i="3">
      <x v="3"/>
    </i>
  </colItems>
  <dataFields count="4">
    <dataField name="Sum of NCR_Closed" fld="16" baseField="1" baseItem="0"/>
    <dataField name="Sum of NCR_Opening" fld="15" baseField="1" baseItem="0"/>
    <dataField name="Sum of NCR_Total2" fld="14" baseField="1" baseItem="0" numFmtId="10">
      <extLst>
        <ext xmlns:x14="http://schemas.microsoft.com/office/spreadsheetml/2009/9/main" uri="{E15A36E0-9728-4e99-A89B-3F7291B0FE68}">
          <x14:dataField pivotShowAs="percentOfRunningTotal"/>
        </ext>
      </extLst>
    </dataField>
    <dataField name="Sum of NCR_Total" fld="14" baseField="1" baseItem="5"/>
  </dataFields>
  <formats count="1">
    <format dxfId="101">
      <pivotArea collapsedLevelsAreSubtotals="1" fieldPosition="0">
        <references count="2">
          <reference field="4294967294" count="1" selected="0">
            <x v="2"/>
          </reference>
          <reference field="1" count="0"/>
        </references>
      </pivotArea>
    </format>
  </formats>
  <chartFormats count="24">
    <chartFormat chart="8" format="12" series="1">
      <pivotArea type="data" outline="0" fieldPosition="0">
        <references count="1">
          <reference field="4294967294" count="1" selected="0">
            <x v="1"/>
          </reference>
        </references>
      </pivotArea>
    </chartFormat>
    <chartFormat chart="8" format="13" series="1">
      <pivotArea type="data" outline="0" fieldPosition="0">
        <references count="1">
          <reference field="4294967294" count="1" selected="0">
            <x v="0"/>
          </reference>
        </references>
      </pivotArea>
    </chartFormat>
    <chartFormat chart="8" format="17" series="1">
      <pivotArea type="data" outline="0" fieldPosition="0">
        <references count="1">
          <reference field="4294967294" count="1" selected="0">
            <x v="2"/>
          </reference>
        </references>
      </pivotArea>
    </chartFormat>
    <chartFormat chart="10" format="24" series="1">
      <pivotArea type="data" outline="0" fieldPosition="0">
        <references count="1">
          <reference field="4294967294" count="1" selected="0">
            <x v="1"/>
          </reference>
        </references>
      </pivotArea>
    </chartFormat>
    <chartFormat chart="10" format="25" series="1">
      <pivotArea type="data" outline="0" fieldPosition="0">
        <references count="1">
          <reference field="4294967294" count="1" selected="0">
            <x v="0"/>
          </reference>
        </references>
      </pivotArea>
    </chartFormat>
    <chartFormat chart="10" format="29" series="1">
      <pivotArea type="data" outline="0" fieldPosition="0">
        <references count="1">
          <reference field="4294967294" count="1" selected="0">
            <x v="2"/>
          </reference>
        </references>
      </pivotArea>
    </chartFormat>
    <chartFormat chart="10" format="30" series="1">
      <pivotArea type="data" outline="0" fieldPosition="0">
        <references count="1">
          <reference field="4294967294" count="1" selected="0">
            <x v="3"/>
          </reference>
        </references>
      </pivotArea>
    </chartFormat>
    <chartFormat chart="8" format="18" series="1">
      <pivotArea type="data" outline="0" fieldPosition="0">
        <references count="1">
          <reference field="4294967294" count="1" selected="0">
            <x v="3"/>
          </reference>
        </references>
      </pivotArea>
    </chartFormat>
    <chartFormat chart="18" format="23" series="1">
      <pivotArea type="data" outline="0" fieldPosition="0">
        <references count="1">
          <reference field="4294967294" count="1" selected="0">
            <x v="0"/>
          </reference>
        </references>
      </pivotArea>
    </chartFormat>
    <chartFormat chart="18" format="24" series="1">
      <pivotArea type="data" outline="0" fieldPosition="0">
        <references count="1">
          <reference field="4294967294" count="1" selected="0">
            <x v="1"/>
          </reference>
        </references>
      </pivotArea>
    </chartFormat>
    <chartFormat chart="18" format="25" series="1">
      <pivotArea type="data" outline="0" fieldPosition="0">
        <references count="1">
          <reference field="4294967294" count="1" selected="0">
            <x v="2"/>
          </reference>
        </references>
      </pivotArea>
    </chartFormat>
    <chartFormat chart="18" format="26" series="1">
      <pivotArea type="data" outline="0" fieldPosition="0">
        <references count="1">
          <reference field="4294967294" count="1" selected="0">
            <x v="3"/>
          </reference>
        </references>
      </pivotArea>
    </chartFormat>
    <chartFormat chart="20" format="31" series="1">
      <pivotArea type="data" outline="0" fieldPosition="0">
        <references count="1">
          <reference field="4294967294" count="1" selected="0">
            <x v="0"/>
          </reference>
        </references>
      </pivotArea>
    </chartFormat>
    <chartFormat chart="20" format="32" series="1">
      <pivotArea type="data" outline="0" fieldPosition="0">
        <references count="1">
          <reference field="4294967294" count="1" selected="0">
            <x v="1"/>
          </reference>
        </references>
      </pivotArea>
    </chartFormat>
    <chartFormat chart="20" format="33" series="1">
      <pivotArea type="data" outline="0" fieldPosition="0">
        <references count="1">
          <reference field="4294967294" count="1" selected="0">
            <x v="2"/>
          </reference>
        </references>
      </pivotArea>
    </chartFormat>
    <chartFormat chart="20" format="34" series="1">
      <pivotArea type="data" outline="0" fieldPosition="0">
        <references count="1">
          <reference field="4294967294" count="1" selected="0">
            <x v="3"/>
          </reference>
        </references>
      </pivotArea>
    </chartFormat>
    <chartFormat chart="21" format="35" series="1">
      <pivotArea type="data" outline="0" fieldPosition="0">
        <references count="1">
          <reference field="4294967294" count="1" selected="0">
            <x v="0"/>
          </reference>
        </references>
      </pivotArea>
    </chartFormat>
    <chartFormat chart="21" format="36" series="1">
      <pivotArea type="data" outline="0" fieldPosition="0">
        <references count="1">
          <reference field="4294967294" count="1" selected="0">
            <x v="1"/>
          </reference>
        </references>
      </pivotArea>
    </chartFormat>
    <chartFormat chart="21" format="37" series="1">
      <pivotArea type="data" outline="0" fieldPosition="0">
        <references count="1">
          <reference field="4294967294" count="1" selected="0">
            <x v="2"/>
          </reference>
        </references>
      </pivotArea>
    </chartFormat>
    <chartFormat chart="21" format="38" series="1">
      <pivotArea type="data" outline="0" fieldPosition="0">
        <references count="1">
          <reference field="4294967294" count="1" selected="0">
            <x v="3"/>
          </reference>
        </references>
      </pivotArea>
    </chartFormat>
    <chartFormat chart="22" format="39" series="1">
      <pivotArea type="data" outline="0" fieldPosition="0">
        <references count="1">
          <reference field="4294967294" count="1" selected="0">
            <x v="0"/>
          </reference>
        </references>
      </pivotArea>
    </chartFormat>
    <chartFormat chart="22" format="40" series="1">
      <pivotArea type="data" outline="0" fieldPosition="0">
        <references count="1">
          <reference field="4294967294" count="1" selected="0">
            <x v="1"/>
          </reference>
        </references>
      </pivotArea>
    </chartFormat>
    <chartFormat chart="22" format="41" series="1">
      <pivotArea type="data" outline="0" fieldPosition="0">
        <references count="1">
          <reference field="4294967294" count="1" selected="0">
            <x v="2"/>
          </reference>
        </references>
      </pivotArea>
    </chartFormat>
    <chartFormat chart="22" format="42"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914A441-ADFD-47DB-8D09-4F0CC2FC5494}"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M3:BQ4" firstHeaderRow="0" firstDataRow="1" firstDataCol="1"/>
  <pivotFields count="37">
    <pivotField showAll="0"/>
    <pivotField axis="axisRow" showAll="0">
      <items count="8">
        <item h="1" x="2"/>
        <item h="1" x="4"/>
        <item h="1" x="0"/>
        <item h="1" x="5"/>
        <item h="1" x="1"/>
        <item h="1" x="3"/>
        <item m="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
    <i t="grand">
      <x/>
    </i>
  </rowItems>
  <colFields count="1">
    <field x="-2"/>
  </colFields>
  <colItems count="4">
    <i>
      <x/>
    </i>
    <i i="1">
      <x v="1"/>
    </i>
    <i i="2">
      <x v="2"/>
    </i>
    <i i="3">
      <x v="3"/>
    </i>
  </colItems>
  <dataFields count="4">
    <dataField name="Sum of KPI_PQPClose_out20" fld="19" baseField="0" baseItem="0"/>
    <dataField name="Sum of KPI_ITPClose_out_30" fld="20" baseField="0" baseItem="0"/>
    <dataField name="Sum of KPI_OBS_Close_out_15" fld="21" baseField="0" baseItem="0"/>
    <dataField name="Sum of KPI_NCR_Close_out_35" fld="2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3A9EC46C-FC14-49CD-86DE-3621A682D3B3}" autoFormatId="16" applyNumberFormats="0" applyBorderFormats="0" applyFontFormats="0" applyPatternFormats="0" applyAlignmentFormats="0" applyWidthHeightFormats="0">
  <queryTableRefresh nextId="82">
    <queryTableFields count="37">
      <queryTableField id="1" name="#" tableColumnId="1"/>
      <queryTableField id="2" name="Contractor" tableColumnId="2"/>
      <queryTableField id="3" name="Scope" tableColumnId="3"/>
      <queryTableField id="4" name="PQP_Total" tableColumnId="4"/>
      <queryTableField id="5" name="PQP_Submission" tableColumnId="5"/>
      <queryTableField id="6" name="PQP_Approved" tableColumnId="6"/>
      <queryTableField id="42" name="ITP_Total" tableColumnId="25"/>
      <queryTableField id="43" name="ITP_Submission" tableColumnId="26"/>
      <queryTableField id="44" name="ITP_Approved" tableColumnId="27"/>
      <queryTableField id="7" name="OBS_Total" tableColumnId="7"/>
      <queryTableField id="8" name="OBS_Opening" tableColumnId="8"/>
      <queryTableField id="9" name="OBS_Closed" tableColumnId="9"/>
      <queryTableField id="26" name="RFOBS_Opening" tableColumnId="12"/>
      <queryTableField id="27" name="RFOBS_Closed" tableColumnId="13"/>
      <queryTableField id="10" name="NCR_Total" tableColumnId="10"/>
      <queryTableField id="28" name="NCR_Opening" tableColumnId="14"/>
      <queryTableField id="11" name="NCR_Closed" tableColumnId="11"/>
      <queryTableField id="29" name="RFNCR_Opening" tableColumnId="15"/>
      <queryTableField id="30" name="RFNCR_Closed" tableColumnId="16"/>
      <queryTableField id="64" name="KPI_PQPClose_out20" tableColumnId="36"/>
      <queryTableField id="65" name="KPI_ITPClose_out_30" tableColumnId="37"/>
      <queryTableField id="66" name="KPI_OBS_Close_out_15" tableColumnId="38"/>
      <queryTableField id="67" name="KPI_NCR_Close_out_35" tableColumnId="39"/>
      <queryTableField id="68" name="KPI_Last_Month" tableColumnId="40"/>
      <queryTableField id="69" name="KPI_This_Month" tableColumnId="41"/>
      <queryTableField id="70" name="KPI_Trend" tableColumnId="42"/>
      <queryTableField id="71" name="KPI_Variance" tableColumnId="43"/>
      <queryTableField id="31" name="KPI_2025_02" tableColumnId="17"/>
      <queryTableField id="32" name="KPI_2025_03" tableColumnId="18"/>
      <queryTableField id="33" name="KPI_2025_04" tableColumnId="19"/>
      <queryTableField id="34" name="KPI_2025_05" tableColumnId="20"/>
      <queryTableField id="35" name="KPI_2025_06" tableColumnId="21"/>
      <queryTableField id="36" name="KPI_2025_07" tableColumnId="22"/>
      <queryTableField id="37" name="KPI_2025_08" tableColumnId="23"/>
      <queryTableField id="38" name="KPI_2025_09" tableColumnId="24"/>
      <queryTableField id="80" name="KPI_2025_10" tableColumnId="28"/>
      <queryTableField id="81" name="KPI_2025_11" tableColumnId="2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B37AECCB-2F6C-4C7D-884E-332316F6D953}" autoFormatId="16" applyNumberFormats="0" applyBorderFormats="0" applyFontFormats="0" applyPatternFormats="0" applyAlignmentFormats="0" applyWidthHeightFormats="0">
  <queryTableRefresh nextId="7">
    <queryTableFields count="6">
      <queryTableField id="1" name="#" tableColumnId="1"/>
      <queryTableField id="2" name="Contractor" tableColumnId="2"/>
      <queryTableField id="3" name="Scope" tableColumnId="3"/>
      <queryTableField id="4" name="PQP_Total" tableColumnId="4"/>
      <queryTableField id="5" name="PQP_Submission" tableColumnId="5"/>
      <queryTableField id="6" name="PQP_Approved"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D5CB75EF-7992-464E-B2BD-11D781810AD6}" autoFormatId="16" applyNumberFormats="0" applyBorderFormats="0" applyFontFormats="0" applyPatternFormats="0" applyAlignmentFormats="0" applyWidthHeightFormats="0">
  <queryTableRefresh nextId="11">
    <queryTableFields count="7">
      <queryTableField id="1" name="#" tableColumnId="1"/>
      <queryTableField id="2" name="Contractor" tableColumnId="2"/>
      <queryTableField id="3" name="Scope" tableColumnId="3"/>
      <queryTableField id="4" name="ITP" tableColumnId="4"/>
      <queryTableField id="9" name="ITP_Total" tableColumnId="5"/>
      <queryTableField id="6" name="ITP_Submission" tableColumnId="6"/>
      <queryTableField id="8" name="ITP_Approved" tableColumnId="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984BF74E-79A0-474F-AC48-E601AFCE082B}" autoFormatId="16" applyNumberFormats="0" applyBorderFormats="0" applyFontFormats="0" applyPatternFormats="0" applyAlignmentFormats="0" applyWidthHeightFormats="0">
  <queryTableRefresh nextId="11">
    <queryTableFields count="8">
      <queryTableField id="9" name="#" tableColumnId="9"/>
      <queryTableField id="2" name="Contractor" tableColumnId="2"/>
      <queryTableField id="3" name="Scope" tableColumnId="3"/>
      <queryTableField id="4" name="Obs_Total" tableColumnId="4"/>
      <queryTableField id="5" name="Obs_Opening" tableColumnId="5"/>
      <queryTableField id="6" name="Obs_Closed" tableColumnId="6"/>
      <queryTableField id="7" name="RFOBS_Opening" tableColumnId="7"/>
      <queryTableField id="8" name="RFOBS_Closed" tableColumnId="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467C66B6-A151-41A9-99FE-7B23B17CC3DD}" autoFormatId="16" applyNumberFormats="0" applyBorderFormats="0" applyFontFormats="0" applyPatternFormats="0" applyAlignmentFormats="0" applyWidthHeightFormats="0">
  <queryTableRefresh nextId="17">
    <queryTableFields count="8">
      <queryTableField id="1" name="#" tableColumnId="1"/>
      <queryTableField id="2" name="Contractor" tableColumnId="2"/>
      <queryTableField id="3" name="Scope" tableColumnId="3"/>
      <queryTableField id="15" name="NCR_Total" tableColumnId="4"/>
      <queryTableField id="9" name="NCR_Opening" tableColumnId="9"/>
      <queryTableField id="10" name="NCR_Closed" tableColumnId="10"/>
      <queryTableField id="11" name="RFNCR_Opening" tableColumnId="11"/>
      <queryTableField id="12" name="RFNCR_Closed"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2" xr16:uid="{8B4FEF3D-5833-47AE-85AC-00499EC4803B}" autoFormatId="16" applyNumberFormats="0" applyBorderFormats="0" applyFontFormats="0" applyPatternFormats="0" applyAlignmentFormats="0" applyWidthHeightFormats="0">
  <queryTableRefresh nextId="22">
    <queryTableFields count="21">
      <queryTableField id="1" name="#" tableColumnId="1"/>
      <queryTableField id="2" name="Contractor" tableColumnId="2"/>
      <queryTableField id="3" name="Scope" tableColumnId="3"/>
      <queryTableField id="4" name="PQP_x000a_Close-out_x000a_20%" tableColumnId="4"/>
      <queryTableField id="5" name="ITP_x000a_Close-out _x000a_30%" tableColumnId="5"/>
      <queryTableField id="6" name="OBS _x000a_Close-out _x000a_15%" tableColumnId="6"/>
      <queryTableField id="7" name="NCR _x000a_Close-out _x000a_35%" tableColumnId="7"/>
      <queryTableField id="8" name="Last Month" tableColumnId="8"/>
      <queryTableField id="9" name="This Month" tableColumnId="9"/>
      <queryTableField id="10" name="Trend" tableColumnId="10"/>
      <queryTableField id="11" name="Variance" tableColumnId="11"/>
      <queryTableField id="12" name="2025-02" tableColumnId="12"/>
      <queryTableField id="13" name="2025-03" tableColumnId="13"/>
      <queryTableField id="14" name="2025-04" tableColumnId="14"/>
      <queryTableField id="15" name="2025-05" tableColumnId="15"/>
      <queryTableField id="16" name="2025-06" tableColumnId="16"/>
      <queryTableField id="17" name="2025-07" tableColumnId="17"/>
      <queryTableField id="18" name="2025-08" tableColumnId="18"/>
      <queryTableField id="19" name="2025-09" tableColumnId="19"/>
      <queryTableField id="20" name="2025-10" tableColumnId="20"/>
      <queryTableField id="21" name="2025-11"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ractor1" xr10:uid="{96452C2A-65D7-41B9-ADE5-838B9708F93C}" sourceName="Contractor">
  <pivotTables>
    <pivotTable tabId="137" name="PivotTable1"/>
    <pivotTable tabId="137" name="PivotTable2"/>
    <pivotTable tabId="137" name="PivotTable3"/>
    <pivotTable tabId="137" name="PivotTable4"/>
    <pivotTable tabId="137" name="PivotTable5"/>
    <pivotTable tabId="137" name="PivotTable7"/>
  </pivotTables>
  <data>
    <tabular pivotCacheId="709646998">
      <items count="7">
        <i x="2"/>
        <i x="4"/>
        <i x="0"/>
        <i x="5"/>
        <i x="1"/>
        <i x="3"/>
        <i x="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ractor 2" xr10:uid="{93D9F1D2-A9FB-45D4-84D5-07AA806DCE92}" cache="Slicer_Contractor1" caption="Contractor" rowHeight="4572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ractor 1" xr10:uid="{CA03B607-306B-4A63-A5E1-C3D00D45C5A5}" cache="Slicer_Contractor1" caption="Contractor"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EBAE0A2-BC4F-4995-86F0-07CEE900978E}" name="Data_PQP" displayName="Data_PQP" ref="A1:F7" totalsRowShown="0" headerRowDxfId="714" dataDxfId="713" tableBorderDxfId="712">
  <autoFilter ref="A1:F7" xr:uid="{6EBAE0A2-BC4F-4995-86F0-07CEE900978E}"/>
  <tableColumns count="6">
    <tableColumn id="1" xr3:uid="{D37F65F1-A022-4003-9EED-A0404421CA4E}" name="#" dataDxfId="711" dataCellStyle="Normal 3 4"/>
    <tableColumn id="2" xr3:uid="{8BBA8017-32FC-4399-A7FA-EE2AD781E186}" name="Contractor" dataDxfId="710"/>
    <tableColumn id="3" xr3:uid="{792FFD4E-3394-4724-BECA-331E09AFCC6A}" name="Scope" dataDxfId="709"/>
    <tableColumn id="4" xr3:uid="{13364559-E138-4B50-85C7-CF68A1E692B4}" name="PQP_Total" dataDxfId="708"/>
    <tableColumn id="5" xr3:uid="{C62F0551-C309-4EF5-8508-DEEF5AA5EFAA}" name="PQP_Submission" dataDxfId="707"/>
    <tableColumn id="6" xr3:uid="{1215CB85-16E1-48E4-A5C5-113D1623F9FE}" name="PQP_Approved" dataDxfId="70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ECAFA02-B7F7-4E9B-B430-FD99C877BB42}" name="Data_NCR" displayName="Data_NCR" ref="A1:H7" totalsRowShown="0" headerRowDxfId="234" tableBorderDxfId="233">
  <autoFilter ref="A1:H7" xr:uid="{1ECAFA02-B7F7-4E9B-B430-FD99C877BB42}"/>
  <tableColumns count="8">
    <tableColumn id="1" xr3:uid="{ABD3F78B-B150-47C7-A7EA-5EA666C0332F}" name="#" dataDxfId="232"/>
    <tableColumn id="2" xr3:uid="{0C74D9DD-E5BD-411A-BBF1-852D98662107}" name="Contractor" dataDxfId="231"/>
    <tableColumn id="3" xr3:uid="{FE9869E5-9320-4FCA-ADE1-E0D18535BCF3}" name="Scope" dataDxfId="230"/>
    <tableColumn id="4" xr3:uid="{8601A216-355F-4B59-8240-D1787C0D53E3}" name="NCR_Total" dataDxfId="229">
      <calculatedColumnFormula>IFERROR(IF(SUM(M2:BH2)=0,"-",SUM(M2:BH2)),"ERR")</calculatedColumnFormula>
    </tableColumn>
    <tableColumn id="5" xr3:uid="{E72CC923-80B3-49B1-833D-B27F6DED1ACF}" name="NCR_Opening" dataDxfId="228">
      <calculatedColumnFormula>IF(COUNTIFS(NCR!$G:$G, Data_NCR!B2,
             NCR!$B:$B, Data_NCR!$E$2,
             NCR!$F:$F, "Non-Conformance Report")=0,
   "-",
   COUNTIFS(NCR!$G:$G, Data_NCR!B2,
            NCR!$B:$B, Data_NCR!$E$2,
            NCR!$F:$F, "Non-Conformance Report"))</calculatedColumnFormula>
    </tableColumn>
    <tableColumn id="6" xr3:uid="{B1D95C08-DB53-4576-8041-9D915AC8563E}" name="NCR_Closed" dataDxfId="227">
      <calculatedColumnFormula>IF(COUNTIFS(NCR!$G:$G, Data_NCR!B2,
             NCR!$B:$B, Data_NCR!$F$2,
             NCR!$F:$F, "Non-Conformance Report")=0,
   "-",
   COUNTIFS(NCR!$G:$G, Data_NCR!B2,
            NCR!$B:$B, Data_NCR!$F$2,
            NCR!$F:$F, "Non-Conformance Report"))</calculatedColumnFormula>
    </tableColumn>
    <tableColumn id="7" xr3:uid="{564FD689-E408-4C13-B5F7-4F22EB99DDF3}" name="RFNCR_Opening" dataDxfId="226">
      <calculatedColumnFormula>IF(COUNTIFS(NCR!$G:$G, Data_NCR!B2,
             NCR!$B:$B, Data_NCR!$G$2,
             NCR!$F:$F, "Request for NCR")=0,
   "-",
   COUNTIFS(NCR!$G:$G, Data_NCR!B2,
            NCR!$B:$B, Data_NCR!$G$2,
            NCR!$F:$F, "Request for NCR"))</calculatedColumnFormula>
    </tableColumn>
    <tableColumn id="8" xr3:uid="{16C54BBF-B03E-4511-B0D1-9BA39FF4DB07}" name="RFNCR_Closed" dataDxfId="225">
      <calculatedColumnFormula>IF(COUNTIFS(NCR!$G:$G, Data_NCR!B2,
             NCR!$B:$B, Data_NCR!$H$2,
             NCR!$F:$F, "Request for NCR")=0,
   "-",
   COUNTIFS(NCR!$G:$G, Data_NCR!B2,
            NCR!$B:$B, Data_NCR!$H$2,
            NCR!$F:$F, "Request for NCR"))</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8F3DBCB-20FA-4025-A4C2-649AFD9421DC}" name="Data_Obs" displayName="Data_Obs" ref="A1:H7" totalsRowShown="0" tableBorderDxfId="220">
  <autoFilter ref="A1:H7" xr:uid="{A8F3DBCB-20FA-4025-A4C2-649AFD9421DC}"/>
  <tableColumns count="8">
    <tableColumn id="1" xr3:uid="{0ECA7F5E-B27D-4AAD-998B-D74F451DC50B}" name="#" dataDxfId="219"/>
    <tableColumn id="2" xr3:uid="{08D74965-6168-43CB-AFBA-92E96D377A70}" name="Contractor" dataDxfId="218"/>
    <tableColumn id="3" xr3:uid="{1EB73A05-02BD-480F-AC80-994FB5B7AFC1}" name="Scope" dataDxfId="217"/>
    <tableColumn id="4" xr3:uid="{0C6C5523-9AAB-4B1E-BDF3-D89837273B87}" name="Obs_Total" dataDxfId="216">
      <calculatedColumnFormula>IFERROR(IF(SUM(M2:BH2)=0,"-",SUM(M2:BH2)),"ERR")</calculatedColumnFormula>
    </tableColumn>
    <tableColumn id="5" xr3:uid="{3F4B98F9-2DC1-4EC1-A4DA-0C9BC9E0F6D0}" name="Obs_Opening" dataDxfId="215">
      <calculatedColumnFormula>IF(COUNTIFS(Obs!$G:$G, Data_Obs!B2,
             Obs!$B:$B, "Opening",
             Obs!$F:$F, "Observation")=0,
   "-",
   COUNTIFS(Obs!$G:$G, Data_Obs!B2,
            Obs!$B:$B, "Opening",
            Obs!$F:$F, "Observation"))</calculatedColumnFormula>
    </tableColumn>
    <tableColumn id="6" xr3:uid="{577B0DE3-5C45-47EB-8EFF-2B310055F4EA}" name="Obs_Closed" dataDxfId="214">
      <calculatedColumnFormula>IF(COUNTIFS(Obs!$G:$G, Data_Obs!B2,
             Obs!$B:$B, "Closed",
             Obs!$F:$F, "Observation")=0,
   "-",
   COUNTIFS(Obs!$G:$G, Data_Obs!B2,
            Obs!$B:$B, "Closed",
            Obs!$F:$F, "Observation"))</calculatedColumnFormula>
    </tableColumn>
    <tableColumn id="7" xr3:uid="{15F9C366-9C35-4A6A-A673-20FDD1C3F9BE}" name="RFOBS_Opening" dataDxfId="213">
      <calculatedColumnFormula>IF(COUNTIFS(Obs!$G:$G, Data_Obs!B2,
             Obs!$B:$B, Data_Obs!#REF!,
             Obs!$F:$F, "Request for Obs")=0,
   "-",
   COUNTIFS(Obs!$G:$G, Data_Obs!B2,
            Obs!$B:$B, Data_Obs!#REF!,
            Obs!$F:$F, "Request for Obs"))</calculatedColumnFormula>
    </tableColumn>
    <tableColumn id="8" xr3:uid="{C69C288B-5DC5-4A58-950E-AE83DC342669}" name="RFOBS_Closed" dataDxfId="212">
      <calculatedColumnFormula>IF(COUNTIFS(Obs!$G:$G, Data_Obs!B2,
             Obs!$B:$B, Data_Obs!#REF!,
             Obs!$F:$F, "Request for Obs")=0,
   "-",
   COUNTIFS(Obs!$G:$G, Data_Obs!B2,
            Obs!$B:$B, Data_Obs!#REF!,
            Obs!$F:$F, "Request for Obs"))</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607F327-C504-4E28-8ECD-21934D6A4635}" name="Data_ITP" displayName="Data_ITP" ref="A1:G7" totalsRowShown="0" headerRowDxfId="211" dataDxfId="210">
  <autoFilter ref="A1:G7" xr:uid="{4607F327-C504-4E28-8ECD-21934D6A4635}"/>
  <tableColumns count="7">
    <tableColumn id="1" xr3:uid="{8A1869B2-FA5A-4297-B9DB-CBF3AF435F60}" name="#" dataDxfId="209"/>
    <tableColumn id="2" xr3:uid="{50E0BF1C-B175-4B87-9B59-CE2B19C22B23}" name="Contractor" dataDxfId="208"/>
    <tableColumn id="3" xr3:uid="{16B6D54A-37B6-45D3-8893-9B667139D7C9}" name="Scope" dataDxfId="207"/>
    <tableColumn id="4" xr3:uid="{DCDF73B9-AB9B-43EE-BAC3-92722028D026}" name="ITP" dataDxfId="206"/>
    <tableColumn id="5" xr3:uid="{CCC875DD-0AB4-45A0-83B3-AD8AFA0C8C96}" name="ITP_Total" dataDxfId="205"/>
    <tableColumn id="6" xr3:uid="{A7CF92D0-4F43-42D3-91E3-9FC508160A3E}" name="ITP_Submission" dataDxfId="204"/>
    <tableColumn id="7" xr3:uid="{B000F809-AE06-42D7-9BF0-6D843A547C9F}" name="ITP_Approved" dataDxfId="20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CBD95D4-E503-4E72-A406-696F7CAD375A}" name="Data_KPI" displayName="Data_KPI" ref="A1:U7" totalsRowShown="0" dataDxfId="202" dataCellStyle="Percent">
  <autoFilter ref="A1:U7" xr:uid="{9CBD95D4-E503-4E72-A406-696F7CAD375A}"/>
  <tableColumns count="21">
    <tableColumn id="1" xr3:uid="{C98C1986-1BA8-4F2B-964D-EA72CE33FEE5}" name="#" dataDxfId="201"/>
    <tableColumn id="2" xr3:uid="{C2514EF5-24CC-4564-A1D5-EAC2EC9BA862}" name="Contractor" dataDxfId="200"/>
    <tableColumn id="3" xr3:uid="{92224E29-74E5-483D-B623-DDB96E347107}" name="Scope" dataDxfId="199"/>
    <tableColumn id="4" xr3:uid="{EB72D62E-1C86-470C-9766-7BCDEC493E86}" name="PQP_x000a_Close-out_x000a_20%" dataDxfId="198" dataCellStyle="Percent">
      <calculatedColumnFormula>IFERROR(Data_PQP[[#This Row],[PQP_Approved]]/Data_PQP[[#This Row],[PQP_Total]],"No Info.")</calculatedColumnFormula>
    </tableColumn>
    <tableColumn id="5" xr3:uid="{0AFBE70C-BF54-4766-A8CC-DCEFB9341524}" name="ITP_x000a_Close-out _x000a_30%" dataDxfId="197" dataCellStyle="Percent">
      <calculatedColumnFormula>IFERROR(Data_ITP[[#This Row],[ITP_Approved]]/Data_ITP[[#This Row],[ITP_Total]],"No Info")</calculatedColumnFormula>
    </tableColumn>
    <tableColumn id="6" xr3:uid="{F951E094-C0CC-45B4-BAA4-A12F6A6802E1}" name="OBS _x000a_Close-out _x000a_15%" dataDxfId="196" dataCellStyle="Percent">
      <calculatedColumnFormula>IF(Data_Obs!D2="-",100%,SUM(Data_Obs!F2,Data_NCR!G2)/Data_Obs!D2)</calculatedColumnFormula>
    </tableColumn>
    <tableColumn id="7" xr3:uid="{8692532D-A6DD-49B0-9006-205C5AA12C66}" name="NCR _x000a_Close-out _x000a_35%" dataDxfId="195" dataCellStyle="Percent">
      <calculatedColumnFormula>IF(Data_NCR!D2="-",100%,SUM(Data_NCR!F2,Data_NCR!H2)/Data_NCR!D2)</calculatedColumnFormula>
    </tableColumn>
    <tableColumn id="9" xr3:uid="{5A732D41-1D68-4E98-8AF8-22F467BB3F0E}" name="Last Month" dataDxfId="194" dataCellStyle="Percent"/>
    <tableColumn id="8" xr3:uid="{B26234CC-D580-4B0D-B10C-A49EDF00A2F8}" name="This Month" dataDxfId="193" dataCellStyle="Percent">
      <calculatedColumnFormula array="1">_xlfn.LET(
  _xlpm.w, VALUE(_xlfn.TEXTAFTER(D$1:G$1, CHAR(10), -1)),
  _xlpm.p, VALUE(SUBSTITUTE(D2:G2,"%","")),
  SUMPRODUCT(_xlpm.w, _xlpm.p)
)</calculatedColumnFormula>
    </tableColumn>
    <tableColumn id="10" xr3:uid="{844BF69F-3F06-43A3-88BB-0DA3EBFB7ED1}" name="Trend" dataDxfId="192">
      <calculatedColumnFormula>I2-H2</calculatedColumnFormula>
    </tableColumn>
    <tableColumn id="11" xr3:uid="{FA162BA5-280F-403D-B6DA-CB2A60A26A9A}" name="Variance" dataDxfId="191">
      <calculatedColumnFormula>I2-H2</calculatedColumnFormula>
    </tableColumn>
    <tableColumn id="12" xr3:uid="{F28310AD-B02F-4CEB-8D89-C691DB48E234}" name="2025-02" dataDxfId="190" dataCellStyle="Percent"/>
    <tableColumn id="13" xr3:uid="{9DF10C92-CF2D-4DA1-BEF7-F564814E67C3}" name="2025-03" dataDxfId="189" dataCellStyle="Percent"/>
    <tableColumn id="14" xr3:uid="{AC063D3A-91E3-4265-BB31-1D32FA01A8B6}" name="2025-04" dataDxfId="188" dataCellStyle="Percent"/>
    <tableColumn id="15" xr3:uid="{81E8BBA0-4343-400E-BC07-195C8762B0F3}" name="2025-05" dataDxfId="187" dataCellStyle="Percent"/>
    <tableColumn id="16" xr3:uid="{7D90AB84-2BD4-4B4B-A4B3-F18CC38FDA12}" name="2025-06" dataDxfId="186" dataCellStyle="Percent"/>
    <tableColumn id="17" xr3:uid="{B1D35974-6DB9-4CB1-8F4B-A676ED6863DD}" name="2025-07" dataDxfId="185" dataCellStyle="Percent"/>
    <tableColumn id="18" xr3:uid="{D800C76D-CA97-42C4-B2AD-C3992567FEBB}" name="2025-08" dataDxfId="184" dataCellStyle="Percent"/>
    <tableColumn id="19" xr3:uid="{AFC4A801-FA9D-4C2C-A94C-EE19847AE120}" name="2025-09" dataDxfId="183" dataCellStyle="Percent"/>
    <tableColumn id="21" xr3:uid="{26D58A77-ACFA-47E5-8A25-6981E94CFC99}" name="2025-10" dataDxfId="182" dataCellStyle="Percent"/>
    <tableColumn id="20" xr3:uid="{CEA09945-E024-48B7-A1B5-D477501462C2}" name="2025-11" dataDxfId="181" dataCellStyle="Perc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15D6010-82E3-401D-9D81-3A29FFE9B898}" name="Query_Overall" displayName="Query_Overall" ref="A1:AK7" tableType="queryTable" totalsRowShown="0">
  <autoFilter ref="A1:AK7" xr:uid="{E15D6010-82E3-401D-9D81-3A29FFE9B898}"/>
  <tableColumns count="37">
    <tableColumn id="1" xr3:uid="{B236AD88-3469-4492-B930-01BBC758350A}" uniqueName="1" name="#" queryTableFieldId="1"/>
    <tableColumn id="2" xr3:uid="{63CCFB75-2DDE-4A3D-BE69-9FA2930F013B}" uniqueName="2" name="Contractor" queryTableFieldId="2"/>
    <tableColumn id="3" xr3:uid="{CB37323D-1F58-4799-960F-DDC4B307F1B7}" uniqueName="3" name="Scope" queryTableFieldId="3"/>
    <tableColumn id="4" xr3:uid="{5B9AB88E-5FCD-4673-8822-38F2CACFADCB}" uniqueName="4" name="PQP_Total" queryTableFieldId="4"/>
    <tableColumn id="5" xr3:uid="{810B9DE1-6989-4CDC-B408-BECBBC0EAB41}" uniqueName="5" name="PQP_Submission" queryTableFieldId="5"/>
    <tableColumn id="6" xr3:uid="{77970268-0FF5-4FB3-A5C2-64DE64903826}" uniqueName="6" name="PQP_Approved" queryTableFieldId="6"/>
    <tableColumn id="25" xr3:uid="{DD0EDADF-573F-4EB0-9E62-3C122075D6FD}" uniqueName="25" name="ITP_Total" queryTableFieldId="42"/>
    <tableColumn id="26" xr3:uid="{7109685C-8EAB-4A6C-B127-36CC5DE63E06}" uniqueName="26" name="ITP_Submission" queryTableFieldId="43"/>
    <tableColumn id="27" xr3:uid="{C1A81C7D-250F-4966-9422-104B1EAF6F09}" uniqueName="27" name="ITP_Approved" queryTableFieldId="44"/>
    <tableColumn id="7" xr3:uid="{ACE7543D-411E-4EBF-BD3E-5B7E94521E4A}" uniqueName="7" name="OBS_Total" queryTableFieldId="7"/>
    <tableColumn id="8" xr3:uid="{A00024F4-68A1-4C3C-A3EC-1CD7948BDC23}" uniqueName="8" name="OBS_Opening" queryTableFieldId="8" dataDxfId="125"/>
    <tableColumn id="9" xr3:uid="{D6DE0E37-1DF7-412A-8EE3-D3ABDB16BE43}" uniqueName="9" name="OBS_Closed" queryTableFieldId="9"/>
    <tableColumn id="12" xr3:uid="{70A72CF8-47D8-48E1-BB2D-C5B39ED4EE8A}" uniqueName="12" name="RFOBS_Opening" queryTableFieldId="26" dataDxfId="124"/>
    <tableColumn id="13" xr3:uid="{3E6B8B29-1F8E-428C-B282-3CDDF38F516B}" uniqueName="13" name="RFOBS_Closed" queryTableFieldId="27" dataDxfId="123"/>
    <tableColumn id="10" xr3:uid="{90E445BD-0F25-4F13-92B2-083D96B82A94}" uniqueName="10" name="NCR_Total" queryTableFieldId="10"/>
    <tableColumn id="14" xr3:uid="{3E044BFB-F6EC-4097-BB33-C16BFF6FE583}" uniqueName="14" name="NCR_Opening" queryTableFieldId="28"/>
    <tableColumn id="11" xr3:uid="{F2062990-7BA4-43D5-82F1-38413AE35F3E}" uniqueName="11" name="NCR_Closed" queryTableFieldId="11"/>
    <tableColumn id="15" xr3:uid="{7637C402-08AE-4082-A6CC-B63127B68ABB}" uniqueName="15" name="RFNCR_Opening" queryTableFieldId="29"/>
    <tableColumn id="16" xr3:uid="{B44715FC-5E09-4496-ACB9-E99FAB128CA4}" uniqueName="16" name="RFNCR_Closed" queryTableFieldId="30"/>
    <tableColumn id="36" xr3:uid="{CA77B261-B437-4A07-A976-078400123F05}" uniqueName="36" name="KPI_PQPClose_out20" queryTableFieldId="64"/>
    <tableColumn id="37" xr3:uid="{59199C97-7A61-40FA-B563-F52F7DDC6A7A}" uniqueName="37" name="KPI_ITPClose_out_30" queryTableFieldId="65"/>
    <tableColumn id="38" xr3:uid="{6B146188-1CFF-406B-9AB9-B3A433DAEDCF}" uniqueName="38" name="KPI_OBS_Close_out_15" queryTableFieldId="66"/>
    <tableColumn id="39" xr3:uid="{03E8A372-11D7-4D6B-86D1-372A87CDA1DD}" uniqueName="39" name="KPI_NCR_Close_out_35" queryTableFieldId="67"/>
    <tableColumn id="40" xr3:uid="{E1815ACC-4FFD-4747-B864-D1539ECD3425}" uniqueName="40" name="KPI_Last_Month" queryTableFieldId="68"/>
    <tableColumn id="41" xr3:uid="{CEFF2983-FDA6-4706-AD46-A8D0D36666A8}" uniqueName="41" name="KPI_This_Month" queryTableFieldId="69"/>
    <tableColumn id="42" xr3:uid="{5953C4CB-F4E7-4769-93BA-376C6D37D7F9}" uniqueName="42" name="KPI_Trend" queryTableFieldId="70"/>
    <tableColumn id="43" xr3:uid="{38C009E6-E4D5-4FCD-89AD-E82EE5D5A474}" uniqueName="43" name="KPI_Variance" queryTableFieldId="71"/>
    <tableColumn id="17" xr3:uid="{B330872C-4428-412B-A7D7-F621AC5B07F8}" uniqueName="17" name="KPI_2025_02" queryTableFieldId="31"/>
    <tableColumn id="18" xr3:uid="{F214B456-2F36-48BC-BE28-7D04060ACF4C}" uniqueName="18" name="KPI_2025_03" queryTableFieldId="32"/>
    <tableColumn id="19" xr3:uid="{BF83F9A2-EF5B-4BA0-9BAA-A13C8A110499}" uniqueName="19" name="KPI_2025_04" queryTableFieldId="33"/>
    <tableColumn id="20" xr3:uid="{06185587-CD2A-4F46-9F9B-6D79CB810DAF}" uniqueName="20" name="KPI_2025_05" queryTableFieldId="34"/>
    <tableColumn id="21" xr3:uid="{37A6DFC3-A24A-40DF-B0B4-E9A258C2393C}" uniqueName="21" name="KPI_2025_06" queryTableFieldId="35"/>
    <tableColumn id="22" xr3:uid="{F1F97C7D-D281-47BF-BE8C-4D024A3B33C3}" uniqueName="22" name="KPI_2025_07" queryTableFieldId="36"/>
    <tableColumn id="23" xr3:uid="{F8CD12F8-2772-425C-B55B-6CE050D879B0}" uniqueName="23" name="KPI_2025_08" queryTableFieldId="37"/>
    <tableColumn id="24" xr3:uid="{6CAA7665-730B-4710-9A2F-1DC0043F9598}" uniqueName="24" name="KPI_2025_09" queryTableFieldId="38"/>
    <tableColumn id="28" xr3:uid="{726A0A8F-96AE-41B9-87F2-9AB585750AC7}" uniqueName="28" name="KPI_2025_10" queryTableFieldId="80"/>
    <tableColumn id="29" xr3:uid="{B4800A89-42B6-4733-8381-508C66FA9853}" uniqueName="29" name="KPI_2025_11" queryTableFieldId="8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330A408-0655-42F3-B141-D58616C12595}" name="Query_PQP" displayName="Query_PQP" ref="A1:F7" tableType="queryTable" totalsRowShown="0">
  <autoFilter ref="A1:F7" xr:uid="{B330A408-0655-42F3-B141-D58616C12595}"/>
  <tableColumns count="6">
    <tableColumn id="1" xr3:uid="{9D2E63B0-09E2-49E5-9894-00036AF5DB31}" uniqueName="1" name="#" queryTableFieldId="1" dataDxfId="122"/>
    <tableColumn id="2" xr3:uid="{EF0855C2-2302-4581-9BE6-50E29F1071DD}" uniqueName="2" name="Contractor" queryTableFieldId="2" dataDxfId="121"/>
    <tableColumn id="3" xr3:uid="{9790901B-7E03-4FCD-A86F-F29C5810E757}" uniqueName="3" name="Scope" queryTableFieldId="3" dataDxfId="120"/>
    <tableColumn id="4" xr3:uid="{F7815FF1-A132-412A-A62E-BF704435B2C4}" uniqueName="4" name="PQP_Total" queryTableFieldId="4" dataDxfId="119"/>
    <tableColumn id="5" xr3:uid="{D4EEDF85-686E-40EE-94D4-04F5458CF854}" uniqueName="5" name="PQP_Submission" queryTableFieldId="5"/>
    <tableColumn id="6" xr3:uid="{DE36EF04-8699-43D6-83D6-97CB67838B36}" uniqueName="6" name="PQP_Approved" queryTableFieldId="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1AD7379-E290-494E-B296-04A9FAE12B4C}" name="Query_ITP" displayName="Query_ITP" ref="A1:G7" tableType="queryTable" totalsRowShown="0">
  <autoFilter ref="A1:G7" xr:uid="{F1AD7379-E290-494E-B296-04A9FAE12B4C}"/>
  <tableColumns count="7">
    <tableColumn id="1" xr3:uid="{5363D654-7169-4F3F-AB02-FF29DD5F84D7}" uniqueName="1" name="#" queryTableFieldId="1"/>
    <tableColumn id="2" xr3:uid="{A40EC153-302B-4DDF-8EED-B017550581F5}" uniqueName="2" name="Contractor" queryTableFieldId="2" dataDxfId="118"/>
    <tableColumn id="3" xr3:uid="{D6FCD37B-CCB0-4E7F-91D4-4D7201A32A28}" uniqueName="3" name="Scope" queryTableFieldId="3" dataDxfId="117"/>
    <tableColumn id="4" xr3:uid="{0DDD0F5F-E14C-455B-86AF-5CB7EDC1F890}" uniqueName="4" name="ITP" queryTableFieldId="4" dataDxfId="116"/>
    <tableColumn id="5" xr3:uid="{366D13D0-F882-4B01-905F-BB88BC9AE360}" uniqueName="5" name="ITP_Total" queryTableFieldId="9"/>
    <tableColumn id="6" xr3:uid="{3C3906E8-1EF1-4F25-9388-9FCF687099D2}" uniqueName="6" name="ITP_Submission" queryTableFieldId="6"/>
    <tableColumn id="8" xr3:uid="{80516697-A876-4667-A3B6-8BE3CAF01789}" uniqueName="8" name="ITP_Approved" queryTableFieldId="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41CACBA-6023-47E4-B050-4613F3B0D189}" name="Query_Obs" displayName="Query_Obs" ref="A1:H7" tableType="queryTable" totalsRowShown="0">
  <autoFilter ref="A1:H7" xr:uid="{E41CACBA-6023-47E4-B050-4613F3B0D189}"/>
  <tableColumns count="8">
    <tableColumn id="9" xr3:uid="{D7965DAD-7D81-4447-8BAA-D2B505E8B53E}" uniqueName="9" name="#" queryTableFieldId="9"/>
    <tableColumn id="2" xr3:uid="{88F36E35-C425-4D04-B2F8-4544E4B7F16E}" uniqueName="2" name="Contractor" queryTableFieldId="2" dataDxfId="115"/>
    <tableColumn id="3" xr3:uid="{AFF51241-7C3D-43D5-9BC0-4D8B64DB1886}" uniqueName="3" name="Scope" queryTableFieldId="3" dataDxfId="114"/>
    <tableColumn id="4" xr3:uid="{86373557-D490-46BD-BC78-65125B1C72B4}" uniqueName="4" name="Obs_Total" queryTableFieldId="4"/>
    <tableColumn id="5" xr3:uid="{31A3C904-CF30-4CC8-A8E6-B57D450B76BE}" uniqueName="5" name="Obs_Opening" queryTableFieldId="5" dataDxfId="113"/>
    <tableColumn id="6" xr3:uid="{F1EBC033-C17C-4EFA-AD60-976BB5D82921}" uniqueName="6" name="Obs_Closed" queryTableFieldId="6"/>
    <tableColumn id="7" xr3:uid="{16C0C3CF-01E2-47BF-91E2-5C384F37BC4B}" uniqueName="7" name="RFOBS_Opening" queryTableFieldId="7" dataDxfId="112"/>
    <tableColumn id="8" xr3:uid="{7465075F-4CFA-45A7-84B9-E13729F5D649}" uniqueName="8" name="RFOBS_Closed" queryTableFieldId="8" dataDxfId="11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33F2974-9F81-454B-BA29-17C96574C05E}" name="Query_NCR" displayName="Query_NCR" ref="A1:H7" tableType="queryTable" totalsRowShown="0">
  <autoFilter ref="A1:H7" xr:uid="{A33F2974-9F81-454B-BA29-17C96574C05E}"/>
  <tableColumns count="8">
    <tableColumn id="1" xr3:uid="{FF07C897-0F09-4070-B0FE-2E1934F7D789}" uniqueName="1" name="#" queryTableFieldId="1" dataDxfId="110"/>
    <tableColumn id="2" xr3:uid="{4ED3BBB6-61D7-4648-B8A1-30EE3796645C}" uniqueName="2" name="Contractor" queryTableFieldId="2" dataDxfId="109"/>
    <tableColumn id="3" xr3:uid="{4E31694C-4CD2-4275-A12F-75E22E8AE5A4}" uniqueName="3" name="Scope" queryTableFieldId="3" dataDxfId="108"/>
    <tableColumn id="4" xr3:uid="{1DC1CC17-8E48-4066-927B-42A428988FCD}" uniqueName="4" name="NCR_Total" queryTableFieldId="15"/>
    <tableColumn id="9" xr3:uid="{851DA32A-09FE-43A9-A787-75E3A4884CB6}" uniqueName="9" name="NCR_Opening" queryTableFieldId="9"/>
    <tableColumn id="10" xr3:uid="{D7BE199C-F353-49D2-9A0E-5A1CF0E511D9}" uniqueName="10" name="NCR_Closed" queryTableFieldId="10"/>
    <tableColumn id="11" xr3:uid="{A0E083A1-9F2F-466D-8882-D87872ACB8B7}" uniqueName="11" name="RFNCR_Opening" queryTableFieldId="11"/>
    <tableColumn id="12" xr3:uid="{C1FFB6F1-A99C-49FA-94E9-8F2B1A30666D}" uniqueName="12" name="RFNCR_Closed"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A214933-7DA4-4406-8295-893EABA8B5E5}" name="Query_KPI" displayName="Query_KPI" ref="A1:U7" tableType="queryTable" totalsRowShown="0">
  <autoFilter ref="A1:U7" xr:uid="{CA214933-7DA4-4406-8295-893EABA8B5E5}"/>
  <tableColumns count="21">
    <tableColumn id="1" xr3:uid="{A659AC66-E063-4BD7-81E1-74FEBE4E21CE}" uniqueName="1" name="#" queryTableFieldId="1"/>
    <tableColumn id="2" xr3:uid="{F3D96095-FB72-4F81-A209-B3F4D8F00FBD}" uniqueName="2" name="Contractor" queryTableFieldId="2" dataDxfId="107"/>
    <tableColumn id="3" xr3:uid="{A0419BF1-0B13-42CA-A4AC-81BE6F796B7F}" uniqueName="3" name="Scope" queryTableFieldId="3" dataDxfId="106"/>
    <tableColumn id="4" xr3:uid="{36ADCB5A-4E83-4738-B56A-238B10DA3003}" uniqueName="4" name="PQP_x000a_Close-out_x000a_20%" queryTableFieldId="4"/>
    <tableColumn id="5" xr3:uid="{991885EF-3AAC-4007-AEC1-EDDF7604114E}" uniqueName="5" name="ITP_x000a_Close-out _x000a_30%" queryTableFieldId="5"/>
    <tableColumn id="6" xr3:uid="{F6EC3779-A97A-4937-998C-88820F0C766C}" uniqueName="6" name="OBS _x000a_Close-out _x000a_15%" queryTableFieldId="6"/>
    <tableColumn id="7" xr3:uid="{4406C867-F292-4559-83DF-9881D7328DA0}" uniqueName="7" name="NCR _x000a_Close-out _x000a_35%" queryTableFieldId="7"/>
    <tableColumn id="8" xr3:uid="{0C908CE0-93A1-4848-963D-7C987598D886}" uniqueName="8" name="Last Month" queryTableFieldId="8"/>
    <tableColumn id="9" xr3:uid="{1D72687D-9AF5-4F7C-9260-F9C8182EF019}" uniqueName="9" name="This Month" queryTableFieldId="9"/>
    <tableColumn id="10" xr3:uid="{69B48117-F433-42FB-B5AE-60ED8C24EB59}" uniqueName="10" name="Trend" queryTableFieldId="10"/>
    <tableColumn id="11" xr3:uid="{B86FD96F-0E34-4DB9-B672-6C07DD5A77BD}" uniqueName="11" name="Variance" queryTableFieldId="11"/>
    <tableColumn id="12" xr3:uid="{CD9C8DE6-ACC5-4AB6-9C38-212CE81F6BFB}" uniqueName="12" name="2025-02" queryTableFieldId="12"/>
    <tableColumn id="13" xr3:uid="{E3C654AB-3AC4-4152-9D1D-2E55E146D77F}" uniqueName="13" name="2025-03" queryTableFieldId="13"/>
    <tableColumn id="14" xr3:uid="{50C8002A-811F-4BAE-81E9-8E4F953B4B52}" uniqueName="14" name="2025-04" queryTableFieldId="14"/>
    <tableColumn id="15" xr3:uid="{3BA68450-5204-47E7-BC6D-2B30988E47DE}" uniqueName="15" name="2025-05" queryTableFieldId="15"/>
    <tableColumn id="16" xr3:uid="{D05EDC6F-58D0-4D7B-9344-56615DA6C66C}" uniqueName="16" name="2025-06" queryTableFieldId="16"/>
    <tableColumn id="17" xr3:uid="{07AC2202-4C9E-45E7-BDA6-8A73A4E85BD3}" uniqueName="17" name="2025-07" queryTableFieldId="17"/>
    <tableColumn id="18" xr3:uid="{1C8F4656-AEAC-472F-A58E-4B87ACD5CE6D}" uniqueName="18" name="2025-08" queryTableFieldId="18"/>
    <tableColumn id="19" xr3:uid="{47E347E1-B9E9-468C-8AFD-B570BC4F4FB1}" uniqueName="19" name="2025-09" queryTableFieldId="19"/>
    <tableColumn id="20" xr3:uid="{D04925C4-0997-40E0-AB26-5DDC87EF4F32}" uniqueName="20" name="2025-10" queryTableFieldId="20"/>
    <tableColumn id="21" xr3:uid="{12AA17C3-5004-498F-9675-7DBA5DFB28A9}" uniqueName="21" name="2025-11" queryTableFieldId="21"/>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5FEE6A5-31E5-4D4F-8D41-7E04286BE2BE}" name="tblContractorMaster" displayName="tblContractorMaster" ref="A1:C7" totalsRowShown="0">
  <autoFilter ref="A1:C7" xr:uid="{55FEE6A5-31E5-4D4F-8D41-7E04286BE2BE}"/>
  <tableColumns count="3">
    <tableColumn id="1" xr3:uid="{FC5B2BDA-C50A-43EB-AD5D-E55E277C0522}" name="#" dataDxfId="99"/>
    <tableColumn id="2" xr3:uid="{219A9206-7670-43E5-ADAE-907680B9BE89}" name="Contractor" dataDxfId="98"/>
    <tableColumn id="3" xr3:uid="{45D9194A-781A-4C7A-ABB3-7257E3683059}" name="Scope" dataDxfId="9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7C3FE90-FE47-4E29-9958-F890C09282F3}" name="Filter_Table" displayName="Filter_Table" ref="J2:K8" totalsRowShown="0" headerRowDxfId="83" dataDxfId="82" headerRowCellStyle="Normal 9" dataCellStyle="Normal 9">
  <autoFilter ref="J2:K8" xr:uid="{17C3FE90-FE47-4E29-9958-F890C09282F3}"/>
  <tableColumns count="2">
    <tableColumn id="1" xr3:uid="{C36E6605-F3FB-4B9C-B727-1B90E55B8371}" name="Contractor" dataDxfId="81" dataCellStyle="Normal 9"/>
    <tableColumn id="2" xr3:uid="{C288EE1A-F80F-4604-A1DC-E06F0079ED2A}" name="Scope" dataDxfId="80" dataCellStyle="Normal 9"/>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J1" dT="2023-06-27T09:59:53.73" personId="{B4CF2184-5EBC-4E40-B8E5-E02B7165016A}" id="{389F8A0B-2052-4A74-872B-936DD4CDEB74}">
    <text>= Average of each Status %</text>
  </threadedComment>
  <threadedComment ref="C8" dT="2023-04-18T10:22:31.52" personId="{D521C699-0237-47A9-B066-B9240D61DC39}" id="{2961CB90-BF40-446E-A4C8-8F5A99DFB33B}">
    <text xml:space="preserve">Risk Management Plan &amp; Risk Register has been delivered. Quality related risks are included in that register. There is procedure in place regarding FMEAs. It can be displayed to you during the forthcoming visit to the plant in April. </text>
  </threadedComment>
  <threadedComment ref="C8" dT="2023-06-01T10:00:31.83" personId="{D521C699-0237-47A9-B066-B9240D61DC39}" id="{671BBAC9-8E51-4BF5-92D9-C2D6245F3087}" parentId="{2961CB90-BF40-446E-A4C8-8F5A99DFB33B}">
    <text>Hellenic have provided a breakdown of CTQ's and how they are controlled as Quality Checkpoints - See Aconex Ref HELLENIC-GNC-000051</text>
  </threadedComment>
  <threadedComment ref="C11" dT="2023-04-18T10:22:31.52" personId="{D521C699-0237-47A9-B066-B9240D61DC39}" id="{748CEF61-32F4-4CC7-8340-F9DD15B82657}">
    <text xml:space="preserve">Risk Management Plan &amp; Risk Register has been delivered. Quality related risks are included in that register. There is procedure in place regarding FMEAs. It can be displayed to you during the forthcoming visit to the plant in April. </text>
  </threadedComment>
  <threadedComment ref="C11" dT="2023-06-01T10:00:31.83" personId="{D521C699-0237-47A9-B066-B9240D61DC39}" id="{48C08CB3-C830-4911-80BB-BE3C9DD737EF}" parentId="{748CEF61-32F4-4CC7-8340-F9DD15B82657}">
    <text>Hellenic have provided a breakdown of CTQ's and how they are controlled as Quality Checkpoints - See Aconex Ref HELLENIC-GNC-000051</text>
  </threadedComment>
  <threadedComment ref="C12" dT="2023-02-07T01:07:14.30" personId="{D521C699-0237-47A9-B066-B9240D61DC39}" id="{93F73951-112C-49A6-A6CF-73EA5EEB5997}">
    <text>HL-IAC-HELLENIC-QAC-ITP-00010 - ITP IAC 400mm2
HL-IAC-HELLENIC-QAC-ITP-00011 - ITP IAC 800mm2
HL-IAC-HELLENIC-QAC-ITP-00012 - ITP IAC 800mm2 Cu</text>
  </threadedComment>
  <threadedComment ref="C17" dT="2023-06-30T02:16:05.60" personId="{B4CF2184-5EBC-4E40-B8E5-E02B7165016A}" id="{CCECF96D-3257-4195-BED5-96730B774A5A}">
    <text>Confirmed added to Rev 2.0</text>
  </threadedComment>
  <threadedComment ref="C18" dT="2024-01-04T02:13:39.70" personId="{B4CF2184-5EBC-4E40-B8E5-E02B7165016A}" id="{F0B8A412-F196-423F-BE36-378284D7D806}">
    <text>7-Mar-2024 - update</text>
  </threadedComment>
  <threadedComment ref="C27" dT="2024-01-04T02:24:35.73" personId="{B4CF2184-5EBC-4E40-B8E5-E02B7165016A}" id="{092DBE51-0C62-4666-9DAF-49953E976508}">
    <text>04-Jan-2024_update</text>
  </threadedComment>
  <threadedComment ref="C28" dT="2023-04-11T11:26:43.84" personId="{D521C699-0237-47A9-B066-B9240D61DC39}" id="{1A23714C-AF70-44CD-B136-9BB186B04551}">
    <text>May not be applicable for LSC as tolerances are mainly drawing controlled but I still want them to consider how this is presented to HL</text>
  </threadedComment>
  <threadedComment ref="C28" dT="2023-06-12T03:44:32.69" personId="{D521C699-0237-47A9-B066-B9240D61DC39}" id="{DDAAD894-136E-470D-8BE5-422C2382BD8D}" parentId="{1A23714C-AF70-44CD-B136-9BB186B04551}">
    <text>Tolerances are indicated on the cross sectional drawing</text>
  </threadedComment>
  <threadedComment ref="E28" dT="2023-04-11T11:26:43.84" personId="{D521C699-0237-47A9-B066-B9240D61DC39}" id="{4A9BA7C8-B4B7-4B30-BBBB-60DB8AF9CFCD}">
    <text>May not be applicable for LSC as tolerances are mainly drawing controlled but I still want them to consider how this is presented to HL</text>
  </threadedComment>
  <threadedComment ref="E28" dT="2023-06-12T03:44:32.69" personId="{D521C699-0237-47A9-B066-B9240D61DC39}" id="{5322C68A-9659-4B14-9FA8-B2B092A87A16}" parentId="{4A9BA7C8-B4B7-4B30-BBBB-60DB8AF9CFCD}">
    <text>Tolerances are indicated on the cross sectional drawing</text>
  </threadedComment>
  <threadedComment ref="F28" dT="2023-04-11T11:26:43.84" personId="{D521C699-0237-47A9-B066-B9240D61DC39}" id="{6E81D8C7-0BDB-455C-B9BF-113C449A5113}">
    <text>May not be applicable for LSC as tolerances are mainly drawing controlled but I still want them to consider how this is presented to HL</text>
  </threadedComment>
  <threadedComment ref="F28" dT="2023-06-12T03:44:32.69" personId="{D521C699-0237-47A9-B066-B9240D61DC39}" id="{FC3999F6-2A77-4900-99DC-65B3E1D68B91}" parentId="{6E81D8C7-0BDB-455C-B9BF-113C449A5113}">
    <text>Tolerances are indicated on the cross sectional drawing</text>
  </threadedComment>
  <threadedComment ref="G28" dT="2023-04-11T11:26:43.84" personId="{D521C699-0237-47A9-B066-B9240D61DC39}" id="{3E803C89-6ADA-4D8C-9B1F-E1671E6FF1D5}">
    <text>May not be applicable for LSC as tolerances are mainly drawing controlled but I still want them to consider how this is presented to HL</text>
  </threadedComment>
  <threadedComment ref="G28" dT="2023-06-12T03:44:32.69" personId="{D521C699-0237-47A9-B066-B9240D61DC39}" id="{06D6CA0A-6404-4575-8793-AAB1E4719248}" parentId="{3E803C89-6ADA-4D8C-9B1F-E1671E6FF1D5}">
    <text>Tolerances are indicated on the cross sectional drawing</text>
  </threadedComment>
  <threadedComment ref="C29" dT="2023-02-07T03:00:16.24" personId="{D521C699-0237-47A9-B066-B9240D61DC39}" id="{36EED885-1242-43CD-AB6C-07ECC8A7F05E}" done="1">
    <text>HL-BOP-LSC-DES-ITP-00001 - ITP for Qualification Test(EQ and Type Test)
HL-BOP-LSC-DES-ITP-00002 - Qualification Test Plan (for reference)
HL-EXC-LSC-DES-ITP-00001 - ITP - Submarine cables and in-house Accessories
HL-EXC-LSC-DES-ITP-00002 - ITP - Cable connectors</text>
  </threadedComment>
  <threadedComment ref="C29" dT="2024-01-04T02:25:57.00" personId="{B4CF2184-5EBC-4E40-B8E5-E02B7165016A}" id="{60EB67D4-7443-4E7E-9887-9587BA03D647}" parentId="{36EED885-1242-43CD-AB6C-07ECC8A7F05E}">
    <text>Refer to the ITP Link for more information</text>
  </threadedComment>
  <threadedComment ref="C35" dT="2023-02-07T03:05:55.32" personId="{D521C699-0237-47A9-B066-B9240D61DC39}" id="{F56801E7-BADD-4129-BAB5-ACF6E67D6013}" done="1">
    <text>No Manufacturing Record Book / As Built Index / QA Index.  There is a column stating As Built Document but all show as No.  That cannot be correct</text>
  </threadedComment>
  <threadedComment ref="C35" dT="2023-06-12T03:45:16.28" personId="{D521C699-0237-47A9-B066-B9240D61DC39}" id="{48D27D1E-06A2-4A6E-A11A-EB5B2AF372E3}" parentId="{F56801E7-BADD-4129-BAB5-ACF6E67D6013}">
    <text>MRB Indexes shown on Rev 3.0 of the MDR</text>
  </threadedComment>
  <threadedComment ref="C35" dT="2024-01-04T02:41:42.16" personId="{B4CF2184-5EBC-4E40-B8E5-E02B7165016A}" id="{67970E73-556C-4D94-A4B7-209FDFE6FBBD}" parentId="{F56801E7-BADD-4129-BAB5-ACF6E67D6013}">
    <text>The related as-built documents have listed in the MDR.
04-Jan-2024_update</text>
  </threadedComment>
  <threadedComment ref="C40" dT="2023-04-13T11:45:12.68" personId="{D521C699-0237-47A9-B066-B9240D61DC39}" id="{A0CB03A9-801F-494D-9076-4E93DADBE7EF}">
    <text>Risk and Opportunity Register shown but no Risk Management Plan in the MDR</text>
  </threadedComment>
  <threadedComment ref="C41" dT="2023-04-13T11:57:29.66" personId="{D521C699-0237-47A9-B066-B9240D61DC39}" id="{C72292CA-DA8D-49BB-A8E3-75E00A0C2B00}">
    <text xml:space="preserve">HL-CTI-SW7-PMT-PRC-00001 </text>
  </threadedComment>
  <threadedComment ref="C42" dT="2023-04-13T11:53:43.01" personId="{D521C699-0237-47A9-B066-B9240D61DC39}" id="{6E85B919-A602-400D-920B-7D4EDCBB2BC9}">
    <text>No CTQ Assessment or FMEA type process or procedure shown within the MDR</text>
  </threadedComment>
  <threadedComment ref="C42" dT="2023-06-12T03:07:25.28" personId="{D521C699-0237-47A9-B066-B9240D61DC39}" id="{A7252C55-0A4D-4899-B914-892ADA9E9309}" parentId="{6E85B919-A602-400D-920B-7D4EDCBB2BC9}">
    <text>Reference made to PQP Section 8.2 but this does not show an output document</text>
  </threadedComment>
  <threadedComment ref="C43" dT="2023-04-13T11:44:40.68" personId="{D521C699-0237-47A9-B066-B9240D61DC39}" id="{E3BD7C09-D1C8-4CFB-A637-9896B9DCD569}">
    <text>No Audit Schedule Shown in MDR</text>
  </threadedComment>
  <threadedComment ref="C43" dT="2023-06-12T02:16:53.79" personId="{D521C699-0237-47A9-B066-B9240D61DC39}" id="{DE331DE2-6B80-4D00-BD72-86A5A90A7D2B}" parentId="{E3BD7C09-D1C8-4CFB-A637-9896B9DCD569}">
    <text>Response states that Audit Schedule is attached in the Monthly Project Report, However, it is unclear if this is the full population</text>
  </threadedComment>
  <threadedComment ref="C45" dT="2023-04-13T11:56:46.59" personId="{D521C699-0237-47A9-B066-B9240D61DC39}" id="{B3D47531-DFE4-4C79-8EDB-BE2A1DBBB414}">
    <text>No document showing final deliverable tolerances / dimensional control requirements</text>
  </threadedComment>
  <threadedComment ref="C46" dT="2023-04-13T11:39:13.94" personId="{D521C699-0237-47A9-B066-B9240D61DC39}" id="{FF27CDF5-F6E7-4393-A107-942554531E16}">
    <text>HL-CTI-SW7-QMT-ITP-00001 - Cable Loadout and Installation ITP
HL-CTI-SW7-QMT-ITP-00002 - Foundation Cable Pull-in ITP
HL-CTI-SW7-QMT-ITP-00003 - Onshore Cable Pull-in ITP
HL-CTI-SW7-QMT-ITP-00004 - OSS Cable Pull-in ITP
HL-CTI-SW7-QMT-ITP-00005 - Cable Termination and Testing ITP</text>
  </threadedComment>
  <threadedComment ref="C47" dT="2023-04-13T12:06:01.93" personId="{D521C699-0237-47A9-B066-B9240D61DC39}" id="{F12FDC36-2AE2-4278-B1BF-82195276C4A7}">
    <text>RDS-PP column in the MDR but not populated</text>
  </threadedComment>
  <threadedComment ref="C50" dT="2023-04-13T12:05:00.17" personId="{D521C699-0237-47A9-B066-B9240D61DC39}" id="{91D204FB-F6FD-48D7-B49D-47CE0192813B}">
    <text>No decommissioning plan in the MDR</text>
  </threadedComment>
  <threadedComment ref="C51" dT="2023-04-13T12:01:55.27" personId="{D521C699-0237-47A9-B066-B9240D61DC39}" id="{6B6F2F63-F3F4-4C3B-9C9F-3BBB0F3652A6}">
    <text>No Spares List on the MDR</text>
  </threadedComment>
  <threadedComment ref="C52" dT="2023-04-13T12:01:10.11" personId="{D521C699-0237-47A9-B066-B9240D61DC39}" id="{26311C73-7C16-419B-BD95-4B241B62D2AD}">
    <text>HL-CTI-SW7-QMT-LST-00002 - As Built Databook Index</text>
  </threadedComment>
  <threadedComment ref="C57" dT="2023-04-13T11:45:12.68" personId="{D521C699-0237-47A9-B066-B9240D61DC39}" id="{B3C5F242-90DE-45AE-9382-E188FFBF0459}">
    <text>Risk and Opportunity Register shown but no Risk Management Plan in the MDR</text>
  </threadedComment>
  <threadedComment ref="C58" dT="2023-04-13T11:57:29.66" personId="{D521C699-0237-47A9-B066-B9240D61DC39}" id="{212CC280-290F-4539-B0EE-298F8A61E634}">
    <text xml:space="preserve">HL-CTI-SW7-PMT-PRC-00001 </text>
  </threadedComment>
  <threadedComment ref="C59" dT="2023-04-13T11:53:43.01" personId="{D521C699-0237-47A9-B066-B9240D61DC39}" id="{C80535BC-E289-4FFD-88C4-08A9E3DCDB8C}">
    <text>No CTQ Assessment or FMEA type process or procedure shown within the MDR</text>
  </threadedComment>
  <threadedComment ref="C60" dT="2023-04-13T11:53:43.01" personId="{D521C699-0237-47A9-B066-B9240D61DC39}" id="{317ACADA-6B01-42F5-AA66-C033AD7231D2}">
    <text>No CTQ Assessment or FMEA type process or procedure shown within the MDR</text>
  </threadedComment>
  <threadedComment ref="C64" dT="2023-04-13T11:39:13.94" personId="{D521C699-0237-47A9-B066-B9240D61DC39}" id="{808BDE07-C7C1-4975-9961-EC2705F9DBD9}">
    <text>HL-CTI-SW7-QMT-ITP-00001 - Cable Loadout and Installation ITP
HL-CTI-SW7-QMT-ITP-00002 - Foundation Cable Pull-in ITP
HL-CTI-SW7-QMT-ITP-00003 - Onshore Cable Pull-in ITP
HL-CTI-SW7-QMT-ITP-00004 - OSS Cable Pull-in ITP
HL-CTI-SW7-QMT-ITP-00005 - Cable Termination and Testing ITP</text>
  </threadedComment>
  <threadedComment ref="C67" dT="2023-04-13T12:05:00.17" personId="{D521C699-0237-47A9-B066-B9240D61DC39}" id="{7B2BF328-A076-4418-8256-724C6E30AE22}">
    <text>No decommissioning plan in the MDR</text>
  </threadedComment>
  <threadedComment ref="C68" dT="2023-04-13T12:01:55.27" personId="{D521C699-0237-47A9-B066-B9240D61DC39}" id="{16B6CC7C-E58B-49B0-B65B-D728757AE426}" done="1">
    <text>No Spares List on the MDR</text>
  </threadedComment>
  <threadedComment ref="C68" dT="2024-01-04T03:18:07.93" personId="{B4CF2184-5EBC-4E40-B8E5-E02B7165016A}" id="{AAEBE88C-B0D0-41DC-937F-E03AA3923E59}" parentId="{16B6CC7C-E58B-49B0-B65B-D728757AE426}">
    <text>04-Jan-2024_already added in MDR</text>
  </threadedComment>
  <threadedComment ref="C69" dT="2024-01-04T03:17:14.05" personId="{B4CF2184-5EBC-4E40-B8E5-E02B7165016A}" id="{0572C02E-ADBE-4701-9CB0-962106E493AC}">
    <text>04-Jan-2024_update, more information in the MDR</text>
  </threadedComment>
  <threadedComment ref="C90" dT="2022-08-03T08:51:07.79" personId="{D521C699-0237-47A9-B066-B9240D61DC39}" id="{9E543F91-364E-4DC8-B042-60E9A3DFB228}">
    <text>ISC and SMPTSC Quality Plans are both shown in October 22</text>
  </threadedComment>
  <threadedComment ref="C91" dT="2022-08-03T08:55:23.05" personId="{D521C699-0237-47A9-B066-B9240D61DC39}" id="{B85AFF3B-DE36-4E61-8EAE-AF60BFBCD3DF}">
    <text>Risk Assessments shown in MDR but no Risk Management Plan - Risk Management Plan actually delivered as HL-OSS-SMPTSC-PMT-PLN-00017 in the MDR - Considered closed</text>
  </threadedComment>
  <threadedComment ref="C92" dT="2022-10-27T08:42:15.83" personId="{D521C699-0237-47A9-B066-B9240D61DC39}" id="{B8D6865C-EC7C-443F-9550-F62B5DA789F4}">
    <text>HL-OSS-SMPTSC-PMT-PLN-00011</text>
  </threadedComment>
  <threadedComment ref="C93" dT="2023-03-01T08:36:12.63" personId="{D521C699-0237-47A9-B066-B9240D61DC39}" id="{7E309F54-136D-4841-AC9E-5C35AF97FB83}">
    <text>Considered not wholly applicable - Design Risk Reviews and Design Freeze as all critical components are considered as Critical to Quality.
Design Risk Review =TBD
Design Freeze = TBD</text>
  </threadedComment>
  <threadedComment ref="C94" dT="2023-03-01T08:36:12.63" personId="{D521C699-0237-47A9-B066-B9240D61DC39}" id="{5BA521C4-514C-4212-8004-E411801DBD8D}">
    <text>Considered not wholly applicable - Design Risk Reviews and Design Freeze as all critical components are considered as Critical to Quality.
Design Risk Review =TBD
Design Freeze = TBD</text>
  </threadedComment>
  <threadedComment ref="C97" dT="2022-06-24T07:10:26.71" personId="{D521C699-0237-47A9-B066-B9240D61DC39}" id="{462BD1B8-A547-4E36-B878-80C31103DBEA}">
    <text>ITP's shown but no doc numbers provided yet</text>
  </threadedComment>
  <threadedComment ref="C101" dT="2022-06-24T05:23:22.47" personId="{D521C699-0237-47A9-B066-B9240D61DC39}" id="{633DEDCD-C9ED-4FA6-81AE-F5D5041BA2E3}">
    <text>Only shows decommissioning concept for Topside and not Foundations</text>
  </threadedComment>
  <threadedComment ref="C102" dT="2022-10-27T08:46:24.02" personId="{D521C699-0237-47A9-B066-B9240D61DC39}" id="{83F1E46F-278B-4E1C-B129-9D9DEEBDB602}">
    <text>Various shown in the Doc Control Register</text>
  </threadedComment>
  <threadedComment ref="C103" dT="2022-10-27T08:45:57.19" personId="{D521C699-0237-47A9-B066-B9240D61DC39}" id="{F78AAF5D-5EF6-490E-8E67-DE269BAA42D4}">
    <text>HL-OSS-SMPTSC-PMT-GEN-39501</text>
  </threadedComment>
  <threadedComment ref="C109" dT="2023-06-30T08:40:46.11" personId="{B4CF2184-5EBC-4E40-B8E5-E02B7165016A}" id="{24FB2523-2F85-48B4-9F54-95C1523D4A18}">
    <text xml:space="preserve">The change management is included in PMP(HL-ONS-TECO-PMT-PLN-00001 ), section 3.1
</text>
  </threadedComment>
  <threadedComment ref="C113" dT="2022-07-27T06:29:18.80" personId="{D521C699-0237-47A9-B066-B9240D61DC39}" id="{969B7341-EAD1-41FF-AD26-FE9EE8BC13D2}">
    <text>Already included in the PMP HL-ONS-TECO-PMT-PLN-00001</text>
  </threadedComment>
  <threadedComment ref="C114" dT="2022-06-24T07:32:14.75" personId="{D521C699-0237-47A9-B066-B9240D61DC39}" id="{26EBFB00-8053-47CD-B7F2-BA1373627B81}">
    <text>HL-ONS-TECO-ISP-PLN-00001 Inspection and Test Plan - Piling - IFR - Issued for Review
HL-ONS-TECO-ISP-PLN-00002 Inspection and Test Plan - Rebar - IFA - Issued for Approval
HL-ONS-TECO-ISP-PLN-00003 Inspection and Test Plan - Concrete - IFA - Issued for Approval
HL-ONS-TECO-ISP-PLN-00004 Inspection and Test Plan - Formwork - IFA - Issued for Approval
HL-ONS-TECO-ISP-PLN-00005 Inspection and Test Plan - Cable Duct Bank - IFR - Issued for Review
HL-ONS-TECO-ISP-PLN-00006 Inspection and Test Plan - Waterproofing - IFR - Issued for Review
HL-ONS-TECO-ISP-PLN-00007 Inspection and Test Plan - Manhole	IFR - Issued for Review
HL-ONS-TECO-ISP-PLN-00008 Inspection and Test Plan - Excavation - IFR - Issued for Review
HL-ONS-TECO-ISP-PLN-00009 Inspection and Test Plan - Backfill and Compression - IFR - Issued for Review
HL-ONS-TECO-ISP-PLN-00010 Inspection and Test Plan - Embedded Pipe installation - IFR - Issued for Review
HL-ONS-TECO-ISP-PLN-00011 Inspection and Test Plan - Water Supply &amp; Drainage Installation - IFR - Issued for Review
HL-ONS-TECO-ISP-PLN-00012 Inspection and Test Plan - Ventilation Installation - IFR - Issued for Review
HL-ONS-TECO-ISP-PLN-00013 Inspection and Test Plan - Existing Lines Protection and Soil Improvement - IFR - Issued for Review
HL-ONS-TECO-ISP-PLN-00014 Inspection and Test Plan - Decoration - IFR - Issued for Review
HL-ONS-TECO-ISP-PLN-00015 Inspection and Test Plan - Hollow Brick and Masonry - IFR - Issued for Review
HL-ONS-TECO-ISP-PLN-00016 Inspection and Test Plan - Flood gate - IFR - Issued for Review
HL-ONS-TECO-ISP-PLN-00017 Inspection and Test Plan - Steel Roofing Installation - IFR - Issued for Review
HL-ONS-TECO-ISP-PLN-00018 Inspection and Test Plan - Cable Duct Bank - IFR - Issued for Review
HL-ONS-TECO-ISP-PLN-00019 Inspection and Test Plan - Plug-in structure - IFR - Issued for Review
HL-ONS-TECO-ISP-PLN-00020 Inspection and Test Plan - Fencing - IFR - Issued for Review
HL-ONS-TECO-ISP-PLN-00021 Inspection and Test Plan - Road works - IFR - Issued for Review
HL-ONS-TECO-ISP-PLN-00022 Inspection and Test Plan - Irrigation Installation - IFR - Issued for Review
HL-ONS-TECO-ISP-PLN-00023 Inspection and Test Plan - Earthing and Lightning system - IFR - Issued for Review
HL-ONS-TECO-ISP-PLN-00024 Inspection and Test Plan - Cabling and Termination - IFR - Issued for Review
HL-ONS-TECO-ISP-PLN-00025 Inspection and Test Plan - Elevator Installation - IFR - Issued for Review
HL-ONS-TECO-ISP-PLN-00026 Inspection and Test Plan - EDG and Fuel Oil System - IFR - Issued for Review
HL-ONS-TECO-ISP-PLN-00027 Inspection and Test Plan - HVAC Installation - IFR - Issued for Review
HL-ONS-TECO-ISP-PLN-00028 Inspection and Test Plan - LV Panel &amp; Control Panel Installation - IFR - Issued for Review
HL-ONS-TECO-ISP-PLN-00029 Inspection and Test Plan - UP - IFR - Issued for Review
HL-ONS-TECO-ISP-PLN-00030 Inspection and Test Plan - DC (Battery) - IFR - Issued for Review
HL-ONS-TECO-ISP-PLN-00031 Inspection and Test Plan - Conduit &amp; Cable Tray Installation - IFR - Issued for Review
HL-ONS-TECO-ISP-PLN-00032 Inspection and Test Plan - Lighting &amp;  Socket Installation - IFR - Issued for Review
HL-ONS-TECO-ISP-PLN-00033 Inspection and Test Plan - Low Voltage Systems Installation - IFR - Issued for Review
HL-ONS-TECO-ISP-PLN-00034 Inspection and Test Plan - Harmonic Filter installation - IFR - Issued for Review
HL-ONS-TECO-ISP-PLN-00035 Inspection and Test Plan - LV Cable Pulling &amp; Termination - IFR - Issued for Review
HL-ONS-TECO-ISP-PLN-00036 Inspection and Test Plan - Fire Fighting &amp; Plumbing Installation - IFR - Issued for Review
HL-ONS-TECO-ISP-PLN-00037 Inspection and Test Plan - Firestop installation - IFR - Issued for Review
HL-ONS-TECO-ISP-PLN-00038 Inspection and Test Plan - Crane - IFR - Issued for Review
HL-ONS-TECO-ISP-PLN-00039 Inspection and Test Plan - Gas Insulated Switchgear installation - IFR - Issued for Review
HL-ONS-TECO-ISP-PLN-00040 Inspection and Test Plan - Transformer installation - IFR - Issued for Review
HL-ONS-TECO-ISP-PLN-00041 Inspection and Test Plan - Shunt Reactor installation - IFR - Issued for Review
HL-ONS-TECO-ISP-PLN-00042 Inspection and Test Plan - Auxiliary Transformer Installation - IFR - Issued for Review
HL-ONS-TECO-ISP-PLN-00043 Inspection and Test Plan - Optical Fiber Installation - IFR - Issued for Review
HL-ONS-TECO-ISP-PLN-00044 Inspection and Test Plan - CCTV Installation - IFR - Issued for Review
HL-ONS-TECO-ISP-PLN-00045 Inspection and Test Plan - Telecommunication Installation - IFR - Issued for Review
HL-ONS-TECO-ISP-PLN-00046 - Inspection and Test Plan - Network Installation - IFR - Issued for Review
HL-ONS-TECO-ISP-PLN-00047 Inspection and Test Plan - SCS System - IFR - Issued for Review
HL-ONS-TECO-ISP-PLN-00048 Inspection and Test Plan - Protection System - IFR - Issued for Review</text>
  </threadedComment>
  <threadedComment ref="C115" dT="2022-06-24T05:26:30.68" personId="{D521C699-0237-47A9-B066-B9240D61DC39}" id="{D75A9C7E-3B66-4C4A-B661-02DF5D4B5BD9}">
    <text>But the template format shows it and is ready to start to define it</text>
  </threadedComment>
</ThreadedComments>
</file>

<file path=xl/threadedComments/threadedComment2.xml><?xml version="1.0" encoding="utf-8"?>
<ThreadedComments xmlns="http://schemas.microsoft.com/office/spreadsheetml/2018/threadedcomments" xmlns:x="http://schemas.openxmlformats.org/spreadsheetml/2006/main">
  <threadedComment ref="AX3" dT="2024-09-13T03:47:23.89" personId="{4E1087FE-9A35-49EF-B37D-325A7F0933A0}" id="{10D88AF1-063B-4868-A151-54A604EFBA28}">
    <text>Being Conducted by KPMG in Phase 2 of the Compliance Audits</text>
  </threadedComment>
  <threadedComment ref="AV5" dT="2024-09-13T03:48:06.37" personId="{4E1087FE-9A35-49EF-B37D-325A7F0933A0}" id="{DF98793F-C0C5-42BF-9EC4-E7B84D7258DE}">
    <text>Being conducted by KPMG in Phase 2 of the Compliance Audits</text>
  </threadedComment>
  <threadedComment ref="X6" dT="2022-08-09T05:33:58.26" personId="{4E1087FE-9A35-49EF-B37D-325A7F0933A0}" id="{CFF1F63C-64E7-456A-A4C4-CDB4A19C09C9}">
    <text>Awaiting New HSE Manager start in September before conducting this Internal Audit</text>
  </threadedComment>
  <threadedComment ref="AX6" dT="2024-09-13T03:48:54.63" personId="{4E1087FE-9A35-49EF-B37D-325A7F0933A0}" id="{850E1BF3-90C0-454F-AA6D-0B210D968995}">
    <text>Conducted by the HSE dept 12 &amp; 13th Nov 2024, with Quality Witness Invitation for independence
Resulted in x8 Corrective Action Findings, x1 Observations &amp; x5 Recommendations</text>
  </threadedComment>
  <threadedComment ref="V7" dT="2022-08-09T05:35:01.02" personId="{4E1087FE-9A35-49EF-B37D-325A7F0933A0}" id="{3CC47BA3-09EA-4191-A2F2-4B271B6C5A34}">
    <text>Postponed to Qtr 3 / 4 due to busy period in Qtr 2 of 2022 for REG Mgr's</text>
  </threadedComment>
  <threadedComment ref="AN7" dT="2024-12-06T03:45:09.74" personId="{4E1087FE-9A35-49EF-B37D-325A7F0933A0}" id="{CB69E67A-F565-44C0-AF7D-D6AC2DAAC2B5}">
    <text>Resulted in x10 Major NCR's, x10 Minor NCR's &amp; x27 Observations</text>
  </threadedComment>
  <threadedComment ref="AR7" dT="2024-12-06T03:43:36.53" personId="{4E1087FE-9A35-49EF-B37D-325A7F0933A0}" id="{2AC49CCB-DEC1-4664-9EBD-0075DB3DA618}">
    <text>Resulted in x21 Major NCR's, x14 Minor NCR's &amp; x22 Observations</text>
  </threadedComment>
  <threadedComment ref="AV7" dT="2024-12-16T11:34:01.86" personId="{4E1087FE-9A35-49EF-B37D-325A7F0933A0}" id="{E1CF7966-9EE6-4DC4-B0B3-FB5000F78CD9}">
    <text>Resulted in x7 Major NCR's, x11 Minor NCR's &amp; x9 Observations</text>
  </threadedComment>
  <threadedComment ref="AZ7" dT="2024-12-06T03:41:40.07" personId="{4E1087FE-9A35-49EF-B37D-325A7F0933A0}" id="{53A4E419-9843-49A0-B37E-2DF7C65081A8}">
    <text>Resulted in x20 Major NCR's, x12 Minor NCR's &amp; x13 Observations</text>
  </threadedComment>
  <threadedComment ref="BC7" dT="2025-02-12T03:56:49.46" personId="{4E1087FE-9A35-49EF-B37D-325A7F0933A0}" id="{4D04AA87-1A0C-453F-9D63-3BE219416267}">
    <text>Resulted in x7 Major Findings and x20 Observations</text>
  </threadedComment>
  <threadedComment ref="AT8" dT="2024-03-22T02:38:58.62" personId="{4E1087FE-9A35-49EF-B37D-325A7F0933A0}" id="{132B24B5-7616-4695-B9E9-587216678F49}">
    <text>Consider desk based audit and interviews with various PM's to cover Engineering Status and review of TQ's closure robustness</text>
  </threadedComment>
  <threadedComment ref="AI11" dT="2023-06-19T03:11:51.66" personId="{4E1087FE-9A35-49EF-B37D-325A7F0933A0}" id="{37D2A999-AA60-4711-987B-E84123159A34}">
    <text>JGR - Jun 2023: Samkang Would now be ready for Fab QC Audit.  EEW not required due to being very low risk.  CWP and CSBC have only just started activities therefore best to postpone to approx Oct 2023</text>
  </threadedComment>
  <threadedComment ref="AG13" dT="2023-05-11T02:23:22.00" personId="{4E1087FE-9A35-49EF-B37D-325A7F0933A0}" id="{87E16161-EFD4-4C64-9BEB-84BA17E5EA26}">
    <text>Hellenic were not available during the visit - Request made to conduct this remotely during May / Jun 2023 - See correspondence EMPL-GNC-003969</text>
  </threadedComment>
  <threadedComment ref="AG13" dT="2023-06-19T03:07:40.92" personId="{4E1087FE-9A35-49EF-B37D-325A7F0933A0}" id="{E18D004E-AB7C-42EF-8F61-E6AA0E1422BD}" parentId="{87E16161-EFD4-4C64-9BEB-84BA17E5EA26}">
    <text>Conducted in June 2023 remotely under HLEXTAUD-0004</text>
  </threadedComment>
  <threadedComment ref="AL13" dT="2023-06-19T03:09:27.11" personId="{4E1087FE-9A35-49EF-B37D-325A7F0933A0}" id="{7616888C-54B0-4542-BA9C-E61CA99D110E}">
    <text>Not required as we will have a QAQC Resident Representative at site to follow the Fabrication / Manufacturing and considered low risk and only recently conducted in Jun 2023 full systems audit</text>
  </threadedComment>
  <threadedComment ref="X15" dT="2023-07-25T03:54:46.44" personId="{4E1087FE-9A35-49EF-B37D-325A7F0933A0}" id="{1D8BA66B-E8E8-4229-9548-87AAC69859A2}">
    <text>Not completed - Early decision that this is not needed due to LSC past strong history - JGR</text>
  </threadedComment>
  <threadedComment ref="AL15" dT="2023-07-25T03:55:38.86" personId="{4E1087FE-9A35-49EF-B37D-325A7F0933A0}" id="{741DC716-0A1B-4D6B-A4AF-7DECE100080A}">
    <text>Planned due to receiving various NCR's and Quality Issues starting to show in LSC processes</text>
  </threadedComment>
  <threadedComment ref="AL15" dT="2023-11-30T06:14:54.44" personId="{4E1087FE-9A35-49EF-B37D-325A7F0933A0}" id="{1B8F480A-6831-43FC-B4F7-9B9CF0A8075C}" parentId="{741DC716-0A1B-4D6B-A4AF-7DECE100080A}">
    <text>Conducted Aug 2023</text>
  </threadedComment>
  <threadedComment ref="AN19" dT="2024-04-20T06:33:18.09" personId="{4E1087FE-9A35-49EF-B37D-325A7F0933A0}" id="{BA8F694A-D8A9-4826-9538-7295C0F193FA}">
    <text>Postponed to Apr 2024</text>
  </threadedComment>
  <threadedComment ref="W24" dT="2022-08-09T05:36:56.35" personId="{4E1087FE-9A35-49EF-B37D-325A7F0933A0}" id="{22957D9E-1559-4CA4-85CE-9D5B04C4EA32}">
    <text>Postponed to Qtr 2 2023 due to Contract negotiation focus ongoing</text>
  </threadedComment>
  <threadedComment ref="X29" dT="2022-08-09T05:36:07.80" personId="{4E1087FE-9A35-49EF-B37D-325A7F0933A0}" id="{B0860135-9343-4A2F-9D02-25925D1E9BD5}">
    <text>Construction start delayed due to issue with groundworks - Postponed to Qtr 3 / 4</text>
  </threadedComment>
  <threadedComment ref="AD29" dT="2023-05-11T02:12:52.24" personId="{4E1087FE-9A35-49EF-B37D-325A7F0933A0}" id="{FE54B13D-8F3F-4417-BC3B-524ED1F585E6}">
    <text>Will be conducted mid 2023 along with Installation Readiness Audit - Conducted HLEXTAUD-0007 in May 2023</text>
  </threadedComment>
  <threadedComment ref="AJ29" dT="2023-06-19T03:05:35.34" personId="{4E1087FE-9A35-49EF-B37D-325A7F0933A0}" id="{7723782C-71B4-4464-A2FF-1EDFCF18AE09}">
    <text>Conducted HLEXTAUD-0007 in May 2023</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D24C4F-5407-4628-B7BC-D9E364483C9C}">
  <we:reference id="wa200003696" version="1.3.0.0" store="en-US" storeType="OMEX"/>
  <we:alternateReferences>
    <we:reference id="wa200003696" version="1.3.0.0"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ca1.aconex.com/rsrc/20231107.0739/en_US_DOC/document/view/index.html?ControlledDocument_ID=271341877555212299&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TargetMode="External"/><Relationship Id="rId7" Type="http://schemas.openxmlformats.org/officeDocument/2006/relationships/vmlDrawing" Target="../drawings/vmlDrawing2.vml"/><Relationship Id="rId2" Type="http://schemas.openxmlformats.org/officeDocument/2006/relationships/hyperlink" Target="https://ca1.aconex.com/rsrc/20231107.0739/en_US_DOC/document/view/index.html?ControlledDocument_ID=271341877556424242&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TargetMode="External"/><Relationship Id="rId1" Type="http://schemas.openxmlformats.org/officeDocument/2006/relationships/hyperlink" Target="https://ca1.aconex.com/rsrc/20231107.0739/en_US_DOC/document/view/index.html?ControlledDocument_ID=271341877556475067&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TargetMode="External"/><Relationship Id="rId6" Type="http://schemas.openxmlformats.org/officeDocument/2006/relationships/printerSettings" Target="../printerSettings/printerSettings9.bin"/><Relationship Id="rId5" Type="http://schemas.openxmlformats.org/officeDocument/2006/relationships/hyperlink" Target="https://ca1.aconex.com/rsrc/20231107.0739/en_US_DOC/document/view/index.html?ControlledDocument_ID=271341877554590294&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TargetMode="External"/><Relationship Id="rId4" Type="http://schemas.openxmlformats.org/officeDocument/2006/relationships/hyperlink" Target="https://ca1.aconex.com/rsrc/20231107.0739/en_US_DOC/document/view/index.html?ControlledDocument_ID=271341877555230269&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TargetMode="External"/><Relationship Id="rId9" Type="http://schemas.microsoft.com/office/2017/10/relationships/threadedComment" Target="../threadedComments/threadedComment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1.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7.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9.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4.xml"/><Relationship Id="rId1" Type="http://schemas.openxmlformats.org/officeDocument/2006/relationships/printerSettings" Target="../printerSettings/printerSettings18.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42.xml.rels><?xml version="1.0" encoding="UTF-8" standalone="yes"?>
<Relationships xmlns="http://schemas.openxmlformats.org/package/2006/relationships"><Relationship Id="rId26" Type="http://schemas.openxmlformats.org/officeDocument/2006/relationships/hyperlink" Target="https://ca1.aconex.com/ViewDoc?trackingid=271341877551639539&amp;projectid=1879053289&amp;cversion=1&amp;tab=0" TargetMode="External"/><Relationship Id="rId21" Type="http://schemas.openxmlformats.org/officeDocument/2006/relationships/hyperlink" Target="https://ca1.aconex.com/ViewDoc?trackingid=271341877551639543&amp;projectid=1879053289&amp;cversion=1&amp;tab=0" TargetMode="External"/><Relationship Id="rId34" Type="http://schemas.openxmlformats.org/officeDocument/2006/relationships/hyperlink" Target="https://ca1.aconex.com/ViewDoc?trackingid=271341877551639541&amp;projectid=1879053289&amp;cversion=1&amp;tab=0" TargetMode="External"/><Relationship Id="rId42" Type="http://schemas.openxmlformats.org/officeDocument/2006/relationships/hyperlink" Target="https://ca1.aconex.com/rsrc/20250521.1518/en_AU_DOC/document/view/index.html?ControlledDocument_ID=271341877559267666&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47" Type="http://schemas.openxmlformats.org/officeDocument/2006/relationships/hyperlink" Target="https://ca1.aconex.com/ViewCorrespondence?Correspondence_ID=1882034110&amp;CORRESPONDENCE_MAILBOX=5&amp;PROJECT_ID=1879053289&amp;RETURN_URL=%2Frsrc%2F20250521.1518%2Fen_AU_DOC%2FmailSearch%2FCorrespondenceSearch.html%3Fmailbox%3DALLBOX&amp;index=1" TargetMode="External"/><Relationship Id="rId50" Type="http://schemas.openxmlformats.org/officeDocument/2006/relationships/hyperlink" Target="https://ca1.aconex.com/rsrc/20250521.1518/en_AU_DOC/document/view/index.html?ControlledDocument_ID=271341877559441663&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55" Type="http://schemas.openxmlformats.org/officeDocument/2006/relationships/hyperlink" Target="https://ca1.aconex.com/ViewCorrespondence?Correspondence_ID=1882159127&amp;CORRESPONDENCE_MAILBOX=5&amp;PROJECT_ID=1879053289&amp;RETURN_URL=%2Frsrc%2F20250605.0757%2Fen_AU_DOC%2FmailSearch%2FCorrespondenceSearch.html%3Fmailbox%3DALLBOX&amp;index=2" TargetMode="External"/><Relationship Id="rId63" Type="http://schemas.openxmlformats.org/officeDocument/2006/relationships/hyperlink" Target="https://ca1.aconex.com/rsrc/20250711.0528/en_AU_DOC/document/view/index.html?ControlledDocument_ID=271341877568029660&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7" Type="http://schemas.openxmlformats.org/officeDocument/2006/relationships/hyperlink" Target="https://ca1.aconex.com/ViewDoc?trackingid=271341877551634207&amp;projectid=1879053289&amp;cversion=1&amp;tab=0" TargetMode="External"/><Relationship Id="rId2" Type="http://schemas.openxmlformats.org/officeDocument/2006/relationships/hyperlink" Target="https://ca1.aconex.com/ViewDoc?trackingid=271341877551634205&amp;projectid=1879053289&amp;cversion=1&amp;tab=0" TargetMode="External"/><Relationship Id="rId16" Type="http://schemas.openxmlformats.org/officeDocument/2006/relationships/hyperlink" Target="https://ca1.aconex.com/ViewDoc?trackingid=271341877551634201&amp;projectid=1879053289&amp;cversion=1&amp;tab=0" TargetMode="External"/><Relationship Id="rId29" Type="http://schemas.openxmlformats.org/officeDocument/2006/relationships/hyperlink" Target="https://ca1.aconex.com/ViewDoc?trackingid=271341877551634191&amp;projectid=1879053289&amp;cversion=1&amp;tab=0" TargetMode="External"/><Relationship Id="rId11" Type="http://schemas.openxmlformats.org/officeDocument/2006/relationships/hyperlink" Target="https://ca1.aconex.com/ViewDoc?trackingid=271341877551634200&amp;projectid=1879053289&amp;cversion=1&amp;tab=0" TargetMode="External"/><Relationship Id="rId24" Type="http://schemas.openxmlformats.org/officeDocument/2006/relationships/hyperlink" Target="https://ca1.aconex.com/ViewDoc?trackingid=271341877551639537&amp;projectid=1879053289&amp;cversion=1&amp;tab=0" TargetMode="External"/><Relationship Id="rId32" Type="http://schemas.openxmlformats.org/officeDocument/2006/relationships/hyperlink" Target="https://ca1.aconex.com/ViewDoc?trackingid=271341877551634191&amp;projectid=1879053289&amp;cversion=1&amp;tab=0" TargetMode="External"/><Relationship Id="rId37" Type="http://schemas.openxmlformats.org/officeDocument/2006/relationships/hyperlink" Target="https://ca1.aconex.com/ViewDoc?trackingid=271341877551634198&amp;projectid=1879053289&amp;cversion=1&amp;tab=0" TargetMode="External"/><Relationship Id="rId40" Type="http://schemas.openxmlformats.org/officeDocument/2006/relationships/hyperlink" Target="https://ca1.aconex.com/rsrc/20250521.1518/en_AU_DOC/document/view/index.html?ControlledDocument_ID=271341877559267666&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45" Type="http://schemas.openxmlformats.org/officeDocument/2006/relationships/hyperlink" Target="https://ca1.aconex.com/rsrc/20250521.1518/en_AU_DOC/document/view/index.html?ControlledDocument_ID=271341877565807340&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53" Type="http://schemas.openxmlformats.org/officeDocument/2006/relationships/hyperlink" Target="https://ca1.aconex.com/ViewCorrespondence?Correspondence_ID=1882159127&amp;CORRESPONDENCE_MAILBOX=5&amp;PROJECT_ID=1879053289&amp;RETURN_URL=%2Frsrc%2F20250605.0757%2Fen_AU_DOC%2FmailSearch%2FCorrespondenceSearch.html%3Fmailbox%3DALLBOX&amp;index=2" TargetMode="External"/><Relationship Id="rId58" Type="http://schemas.openxmlformats.org/officeDocument/2006/relationships/hyperlink" Target="https://ca1.aconex.com/ViewCorrespondence?Correspondence_ID=1882159127&amp;CORRESPONDENCE_MAILBOX=5&amp;PROJECT_ID=1879053289&amp;RETURN_URL=%2Frsrc%2F20250605.0757%2Fen_AU_DOC%2FmailSearch%2FCorrespondenceSearch.html%3Fmailbox%3DALLBOX&amp;index=2" TargetMode="External"/><Relationship Id="rId5" Type="http://schemas.openxmlformats.org/officeDocument/2006/relationships/hyperlink" Target="https://ca1.aconex.com/ViewDoc?trackingid=271341877551634207&amp;projectid=1879053289&amp;cversion=1&amp;tab=0" TargetMode="External"/><Relationship Id="rId61" Type="http://schemas.openxmlformats.org/officeDocument/2006/relationships/hyperlink" Target="https://ca1.aconex.com/rsrc/20250711.0528/en_AU_DOC/document/view/index.html?ControlledDocument_ID=271341877567719499&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19" Type="http://schemas.openxmlformats.org/officeDocument/2006/relationships/hyperlink" Target="https://ca1.aconex.com/ViewDoc?trackingid=271341877551634199&amp;projectid=1879053289&amp;cversion=1&amp;tab=0" TargetMode="External"/><Relationship Id="rId14" Type="http://schemas.openxmlformats.org/officeDocument/2006/relationships/hyperlink" Target="https://ca1.aconex.com/ViewDoc?trackingid=271341877551634200&amp;projectid=1879053289&amp;cversion=1&amp;tab=0" TargetMode="External"/><Relationship Id="rId22" Type="http://schemas.openxmlformats.org/officeDocument/2006/relationships/hyperlink" Target="https://ca1.aconex.com/ViewDoc?trackingid=271341877551639546&amp;projectid=1879053289&amp;cversion=1&amp;tab=0" TargetMode="External"/><Relationship Id="rId27" Type="http://schemas.openxmlformats.org/officeDocument/2006/relationships/hyperlink" Target="https://ca1.aconex.com/ViewDoc?trackingid=271341877551639539&amp;projectid=1879053289&amp;cversion=1&amp;tab=0" TargetMode="External"/><Relationship Id="rId30" Type="http://schemas.openxmlformats.org/officeDocument/2006/relationships/hyperlink" Target="https://ca1.aconex.com/ViewDoc?trackingid=271341877551634191&amp;projectid=1879053289&amp;cversion=1&amp;tab=0" TargetMode="External"/><Relationship Id="rId35" Type="http://schemas.openxmlformats.org/officeDocument/2006/relationships/hyperlink" Target="https://ca1.aconex.com/ViewDoc?trackingid=271341877551639541&amp;projectid=1879053289&amp;cversion=1&amp;tab=0" TargetMode="External"/><Relationship Id="rId43" Type="http://schemas.openxmlformats.org/officeDocument/2006/relationships/hyperlink" Target="https://ca1.aconex.com/rsrc/20250521.1518/en_AU_DOC/document/view/index.html?ControlledDocument_ID=271341877559267666&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48" Type="http://schemas.openxmlformats.org/officeDocument/2006/relationships/hyperlink" Target="https://ca1.aconex.com/ViewCorrespondence?Correspondence_ID=1882034110&amp;CORRESPONDENCE_MAILBOX=5&amp;PROJECT_ID=1879053289&amp;RETURN_URL=%2Frsrc%2F20250521.1518%2Fen_AU_DOC%2FmailSearch%2FCorrespondenceSearch.html%3Fmailbox%3DALLBOX&amp;index=1" TargetMode="External"/><Relationship Id="rId56" Type="http://schemas.openxmlformats.org/officeDocument/2006/relationships/hyperlink" Target="https://ca1.aconex.com/ViewCorrespondence?Correspondence_ID=1882159127&amp;CORRESPONDENCE_MAILBOX=5&amp;PROJECT_ID=1879053289&amp;RETURN_URL=%2Frsrc%2F20250605.0757%2Fen_AU_DOC%2FmailSearch%2FCorrespondenceSearch.html%3Fmailbox%3DALLBOX&amp;index=2" TargetMode="External"/><Relationship Id="rId64" Type="http://schemas.openxmlformats.org/officeDocument/2006/relationships/hyperlink" Target="https://ca1.aconex.com/rsrc/20250711.0528/en_AU_DOC/document/view/index.html?ControlledDocument_ID=271341877568029660&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8" Type="http://schemas.openxmlformats.org/officeDocument/2006/relationships/hyperlink" Target="https://ca1.aconex.com/ViewDoc?trackingid=271341877551634207&amp;projectid=1879053289&amp;cversion=1&amp;tab=0" TargetMode="External"/><Relationship Id="rId51" Type="http://schemas.openxmlformats.org/officeDocument/2006/relationships/hyperlink" Target="https://ca1.aconex.com/rsrc/20250521.1518/en_AU_DOC/document/view/index.html?ControlledDocument_ID=271341877559441663&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3" Type="http://schemas.openxmlformats.org/officeDocument/2006/relationships/hyperlink" Target="https://ca1.aconex.com/ViewDoc?trackingid=271341877551634205&amp;projectid=1879053289&amp;cversion=1&amp;tab=0" TargetMode="External"/><Relationship Id="rId12" Type="http://schemas.openxmlformats.org/officeDocument/2006/relationships/hyperlink" Target="https://ca1.aconex.com/ViewDoc?trackingid=271341877551634200&amp;projectid=1879053289&amp;cversion=1&amp;tab=0" TargetMode="External"/><Relationship Id="rId17" Type="http://schemas.openxmlformats.org/officeDocument/2006/relationships/hyperlink" Target="https://ca1.aconex.com/ViewDoc?trackingid=271341877551634201&amp;projectid=1879053289&amp;cversion=1&amp;tab=0" TargetMode="External"/><Relationship Id="rId25" Type="http://schemas.openxmlformats.org/officeDocument/2006/relationships/hyperlink" Target="https://ca1.aconex.com/ViewDoc?trackingid=271341877551639537&amp;projectid=1879053289&amp;cversion=1&amp;tab=0" TargetMode="External"/><Relationship Id="rId33" Type="http://schemas.openxmlformats.org/officeDocument/2006/relationships/hyperlink" Target="https://ca1.aconex.com/ViewDoc?trackingid=271341877551634191&amp;projectid=1879053289&amp;cversion=1&amp;tab=0" TargetMode="External"/><Relationship Id="rId38" Type="http://schemas.openxmlformats.org/officeDocument/2006/relationships/hyperlink" Target="https://ca1.aconex.com/ViewDoc?trackingid=271341877551633921&amp;projectid=1879053289&amp;cversion=1&amp;tab=0" TargetMode="External"/><Relationship Id="rId46" Type="http://schemas.openxmlformats.org/officeDocument/2006/relationships/hyperlink" Target="https://ca1.aconex.com/ViewCorrespondence?Correspondence_ID=1882034110&amp;CORRESPONDENCE_MAILBOX=5&amp;PROJECT_ID=1879053289&amp;RETURN_URL=%2Frsrc%2F20250521.1518%2Fen_AU_DOC%2FmailSearch%2FCorrespondenceSearch.html%3Fmailbox%3DALLBOX&amp;index=1" TargetMode="External"/><Relationship Id="rId59" Type="http://schemas.openxmlformats.org/officeDocument/2006/relationships/hyperlink" Target="https://ca1.aconex.com/ViewCorrespondence?Correspondence_ID=1882159153&amp;CORRESPONDENCE_MAILBOX=5&amp;PROJECT_ID=1879053289&amp;RETURN_URL=%2Frsrc%2F20250605.0757%2Fen_AU_DOC%2FmailSearch%2FCorrespondenceSearch.html%3Fmailbox%3DALLBOX&amp;index=1" TargetMode="External"/><Relationship Id="rId20" Type="http://schemas.openxmlformats.org/officeDocument/2006/relationships/hyperlink" Target="https://ca1.aconex.com/ViewDoc?trackingid=271341877551639543&amp;projectid=1879053289&amp;cversion=1&amp;tab=0" TargetMode="External"/><Relationship Id="rId41" Type="http://schemas.openxmlformats.org/officeDocument/2006/relationships/hyperlink" Target="https://ca1.aconex.com/rsrc/20250521.1518/en_AU_DOC/document/view/index.html?ControlledDocument_ID=271341877559267666&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54" Type="http://schemas.openxmlformats.org/officeDocument/2006/relationships/hyperlink" Target="https://ca1.aconex.com/ViewCorrespondence?Correspondence_ID=1882159127&amp;CORRESPONDENCE_MAILBOX=5&amp;PROJECT_ID=1879053289&amp;RETURN_URL=%2Frsrc%2F20250605.0757%2Fen_AU_DOC%2FmailSearch%2FCorrespondenceSearch.html%3Fmailbox%3DALLBOX&amp;index=2" TargetMode="External"/><Relationship Id="rId62" Type="http://schemas.openxmlformats.org/officeDocument/2006/relationships/hyperlink" Target="https://ca1.aconex.com/rsrc/20250711.0528/en_AU_DOC/document/view/index.html?ControlledDocument_ID=271341877567719499&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1" Type="http://schemas.openxmlformats.org/officeDocument/2006/relationships/hyperlink" Target="https://ca1.aconex.com/ViewDoc?trackingid=271341877551634206&amp;projectid=1879053289&amp;cversion=1&amp;tab=0" TargetMode="External"/><Relationship Id="rId6" Type="http://schemas.openxmlformats.org/officeDocument/2006/relationships/hyperlink" Target="https://ca1.aconex.com/ViewDoc?trackingid=271341877551634207&amp;projectid=1879053289&amp;cversion=1&amp;tab=0" TargetMode="External"/><Relationship Id="rId15" Type="http://schemas.openxmlformats.org/officeDocument/2006/relationships/hyperlink" Target="https://ca1.aconex.com/ViewDoc?trackingid=271341877551634200&amp;projectid=1879053289&amp;cversion=1&amp;tab=0" TargetMode="External"/><Relationship Id="rId23" Type="http://schemas.openxmlformats.org/officeDocument/2006/relationships/hyperlink" Target="https://ca1.aconex.com/ViewDoc?trackingid=271341877551639546&amp;projectid=1879053289&amp;cversion=1&amp;tab=0" TargetMode="External"/><Relationship Id="rId28" Type="http://schemas.openxmlformats.org/officeDocument/2006/relationships/hyperlink" Target="https://ca1.aconex.com/ViewDoc?trackingid=271341877551634191&amp;projectid=1879053289&amp;cversion=1&amp;tab=0" TargetMode="External"/><Relationship Id="rId36" Type="http://schemas.openxmlformats.org/officeDocument/2006/relationships/hyperlink" Target="https://ca1.aconex.com/ViewDoc?trackingid=271341877551634198&amp;projectid=1879053289&amp;cversion=1&amp;tab=0" TargetMode="External"/><Relationship Id="rId49" Type="http://schemas.openxmlformats.org/officeDocument/2006/relationships/hyperlink" Target="https://ca1.aconex.com/rsrc/20250521.1518/en_AU_DOC/document/view/index.html?ControlledDocument_ID=271341877559441663&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57" Type="http://schemas.openxmlformats.org/officeDocument/2006/relationships/hyperlink" Target="https://ca1.aconex.com/ViewCorrespondence?Correspondence_ID=1882159127&amp;CORRESPONDENCE_MAILBOX=5&amp;PROJECT_ID=1879053289&amp;RETURN_URL=%2Frsrc%2F20250605.0757%2Fen_AU_DOC%2FmailSearch%2FCorrespondenceSearch.html%3Fmailbox%3DALLBOX&amp;index=2" TargetMode="External"/><Relationship Id="rId10" Type="http://schemas.openxmlformats.org/officeDocument/2006/relationships/hyperlink" Target="https://ca1.aconex.com/ViewDoc?trackingid=271341877551634209&amp;projectid=1879053289&amp;cversion=1&amp;tab=0" TargetMode="External"/><Relationship Id="rId31" Type="http://schemas.openxmlformats.org/officeDocument/2006/relationships/hyperlink" Target="https://ca1.aconex.com/ViewDoc?trackingid=271341877551634191&amp;projectid=1879053289&amp;cversion=1&amp;tab=0" TargetMode="External"/><Relationship Id="rId44" Type="http://schemas.openxmlformats.org/officeDocument/2006/relationships/hyperlink" Target="https://ca1.aconex.com/rsrc/20250521.1518/en_AU_DOC/document/view/index.html?ControlledDocument_ID=271341877559267666&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 Id="rId52" Type="http://schemas.openxmlformats.org/officeDocument/2006/relationships/hyperlink" Target="https://ca1.aconex.com/ViewCorrespondence?Correspondence_ID=1882159127&amp;CORRESPONDENCE_MAILBOX=5&amp;PROJECT_ID=1879053289&amp;RETURN_URL=%2Frsrc%2F20250605.0757%2Fen_AU_DOC%2FmailSearch%2FCorrespondenceSearch.html%3Fmailbox%3DALLBOX&amp;index=2" TargetMode="External"/><Relationship Id="rId60" Type="http://schemas.openxmlformats.org/officeDocument/2006/relationships/hyperlink" Target="https://ca1.aconex.com/ViewCorrespondence?Correspondence_ID=1882159153&amp;CORRESPONDENCE_MAILBOX=5&amp;PROJECT_ID=1879053289&amp;RETURN_URL=%2Frsrc%2F20250605.0757%2Fen_AU_DOC%2FmailSearch%2FCorrespondenceSearch.html%3Fmailbox%3DALLBOX&amp;index=1" TargetMode="External"/><Relationship Id="rId65" Type="http://schemas.openxmlformats.org/officeDocument/2006/relationships/drawing" Target="../drawings/drawing25.xml"/><Relationship Id="rId4" Type="http://schemas.openxmlformats.org/officeDocument/2006/relationships/hyperlink" Target="https://ca1.aconex.com/ViewDoc?trackingid=271341877551634206&amp;projectid=1879053289&amp;cversion=1&amp;tab=0" TargetMode="External"/><Relationship Id="rId9" Type="http://schemas.openxmlformats.org/officeDocument/2006/relationships/hyperlink" Target="https://ca1.aconex.com/ViewDoc?trackingid=271341877551634207&amp;projectid=1879053289&amp;cversion=1&amp;tab=0" TargetMode="External"/><Relationship Id="rId13" Type="http://schemas.openxmlformats.org/officeDocument/2006/relationships/hyperlink" Target="https://ca1.aconex.com/ViewDoc?trackingid=271341877551634200&amp;projectid=1879053289&amp;cversion=1&amp;tab=0" TargetMode="External"/><Relationship Id="rId18" Type="http://schemas.openxmlformats.org/officeDocument/2006/relationships/hyperlink" Target="https://ca1.aconex.com/ViewDoc?trackingid=271341877551634199&amp;projectid=1879053289&amp;cversion=1&amp;tab=0" TargetMode="External"/><Relationship Id="rId39" Type="http://schemas.openxmlformats.org/officeDocument/2006/relationships/hyperlink" Target="https://ca1.aconex.com/rsrc/20250521.1518/en_AU_DOC/document/view/index.html?ControlledDocument_ID=271341877559267666&amp;ControlledDocument_projectID=1879053289&amp;VIEW_CD_RETURN_URL=%2FSearchControlledDoc%3FSESSION_SAVE_DOCUMENTNO%3D%26SESSION_SAVE_TITLE%3D%2B%26SESSION_SAVE_REVISION%3D%2B%26SESSION_SAVE_STATUS%3D0%26SESSION_SAVE_TYPE%3D0%26SESSION_SAVE_DISCIPLINE%3D%2B%26SESSION_CREATION_DATE%3Dnull%26SESSION_REVISION_DATE%3Dnull%26SESSION_SAVE_REVIEW_DATE%3Dnull%26SESSION_SAVE_REVIEWED_DATE%3Dnull%26SESSION_SAVE_AUTHOR%3D%2B%26SESSION_SAVE_FILETYPE%3Dnull%26SESSION_REFERENCE%3D%2B%26SESSION_SAVE_FOLDER_PATH%3D%26SESSION_SAVE_ALL_REVS%3Dnull%26SESSION_SAVE_SORT_DIR%3DASC%26SESSION_SAVE_SORT_FIELD%3Ddocno%26SESSION_SHARED_TO%3D-1%26SESSION_LINKED_TO_PUBLIC%3D0" TargetMode="Externa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46.xml.rels><?xml version="1.0" encoding="UTF-8" standalone="yes"?>
<Relationships xmlns="http://schemas.openxmlformats.org/package/2006/relationships"><Relationship Id="rId8" Type="http://schemas.microsoft.com/office/2007/relationships/slicer" Target="../slicers/slicer2.xml"/><Relationship Id="rId3" Type="http://schemas.openxmlformats.org/officeDocument/2006/relationships/pivotTable" Target="../pivotTables/pivotTable4.xml"/><Relationship Id="rId7" Type="http://schemas.openxmlformats.org/officeDocument/2006/relationships/drawing" Target="../drawings/drawing2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4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49.xml.rels><?xml version="1.0" encoding="UTF-8" standalone="yes"?>
<Relationships xmlns="http://schemas.openxmlformats.org/package/2006/relationships"><Relationship Id="rId3" Type="http://schemas.openxmlformats.org/officeDocument/2006/relationships/hyperlink" Target="mailto:ksoulas@hellenic-cables.com" TargetMode="External"/><Relationship Id="rId2" Type="http://schemas.openxmlformats.org/officeDocument/2006/relationships/hyperlink" Target="mailto:TBJ@semcomaritime.com" TargetMode="External"/><Relationship Id="rId1" Type="http://schemas.openxmlformats.org/officeDocument/2006/relationships/hyperlink" Target="mailto:Mhairi.simpson@seaway7.com" TargetMode="External"/><Relationship Id="rId5" Type="http://schemas.openxmlformats.org/officeDocument/2006/relationships/printerSettings" Target="../printerSettings/printerSettings19.bin"/><Relationship Id="rId4" Type="http://schemas.openxmlformats.org/officeDocument/2006/relationships/hyperlink" Target="mailto:kgiannopoulou@hellenic-cables.com" TargetMode="External"/></Relationships>
</file>

<file path=xl/worksheets/_rels/sheet5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66.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67.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68.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69.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70.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23.bin"/></Relationships>
</file>

<file path=xl/worksheets/_rels/sheet72.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76.xml.rels><?xml version="1.0" encoding="UTF-8" standalone="yes"?>
<Relationships xmlns="http://schemas.openxmlformats.org/package/2006/relationships"><Relationship Id="rId1" Type="http://schemas.openxmlformats.org/officeDocument/2006/relationships/drawing" Target="../drawings/drawing3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6DDC3-5B07-411C-89DD-2EB932A87912}">
  <sheetPr codeName="Sheet111">
    <pageSetUpPr fitToPage="1"/>
  </sheetPr>
  <dimension ref="A1:N293"/>
  <sheetViews>
    <sheetView zoomScale="70" zoomScaleNormal="70" zoomScaleSheetLayoutView="85" zoomScalePageLayoutView="85" workbookViewId="0">
      <pane xSplit="7" ySplit="3" topLeftCell="H4" activePane="bottomRight" state="frozen"/>
      <selection activeCell="I100" sqref="I100"/>
      <selection pane="topRight" activeCell="I100" sqref="I100"/>
      <selection pane="bottomLeft" activeCell="I100" sqref="I100"/>
      <selection pane="bottomRight" activeCell="A4" sqref="A4"/>
    </sheetView>
  </sheetViews>
  <sheetFormatPr defaultColWidth="9.85546875" defaultRowHeight="16.5" outlineLevelRow="1"/>
  <cols>
    <col min="1" max="1" width="5.7109375" style="188" bestFit="1" customWidth="1"/>
    <col min="2" max="3" width="30.5703125" style="188" customWidth="1"/>
    <col min="4" max="4" width="37.85546875" style="190" customWidth="1"/>
    <col min="5" max="5" width="48.42578125" style="189" customWidth="1"/>
    <col min="6" max="7" width="55.140625" style="189" customWidth="1"/>
    <col min="8" max="8" width="23.140625" style="190" bestFit="1" customWidth="1"/>
    <col min="9" max="10" width="21" style="262" bestFit="1" customWidth="1"/>
    <col min="11" max="11" width="18.140625" style="262" bestFit="1" customWidth="1"/>
    <col min="12" max="12" width="17.140625" style="188" bestFit="1" customWidth="1"/>
    <col min="13" max="13" width="22.140625" style="263" customWidth="1"/>
    <col min="14" max="14" width="24.5703125" style="190" customWidth="1"/>
    <col min="15" max="16384" width="9.85546875" style="188"/>
  </cols>
  <sheetData>
    <row r="1" spans="1:14" ht="66.75" customHeight="1" outlineLevel="1" thickBot="1">
      <c r="D1" s="1078" t="s">
        <v>987</v>
      </c>
      <c r="E1" s="1079"/>
      <c r="F1" s="1079"/>
      <c r="G1" s="1079"/>
      <c r="H1" s="1079"/>
      <c r="I1" s="1079"/>
      <c r="J1" s="1079"/>
      <c r="K1" s="1079"/>
      <c r="L1" s="1079"/>
      <c r="M1" s="1079"/>
    </row>
    <row r="2" spans="1:14" s="191" customFormat="1" ht="25.15" customHeight="1">
      <c r="A2" s="1067" t="s">
        <v>988</v>
      </c>
      <c r="B2" s="1069" t="s">
        <v>989</v>
      </c>
      <c r="C2" s="1069" t="s">
        <v>26</v>
      </c>
      <c r="D2" s="1071" t="s">
        <v>990</v>
      </c>
      <c r="E2" s="1071" t="s">
        <v>991</v>
      </c>
      <c r="F2" s="1071" t="s">
        <v>992</v>
      </c>
      <c r="G2" s="1071" t="s">
        <v>993</v>
      </c>
      <c r="H2" s="1071" t="s">
        <v>994</v>
      </c>
      <c r="I2" s="1073" t="s">
        <v>995</v>
      </c>
      <c r="J2" s="1073" t="s">
        <v>996</v>
      </c>
      <c r="K2" s="1073"/>
      <c r="L2" s="1071" t="s">
        <v>27</v>
      </c>
      <c r="M2" s="1074" t="s">
        <v>997</v>
      </c>
      <c r="N2" s="1076" t="s">
        <v>998</v>
      </c>
    </row>
    <row r="3" spans="1:14" s="191" customFormat="1" ht="25.15" customHeight="1" thickBot="1">
      <c r="A3" s="1068"/>
      <c r="B3" s="1070"/>
      <c r="C3" s="1070"/>
      <c r="D3" s="1072"/>
      <c r="E3" s="1072"/>
      <c r="F3" s="1072"/>
      <c r="G3" s="1072"/>
      <c r="H3" s="1072"/>
      <c r="I3" s="1080"/>
      <c r="J3" s="192" t="s">
        <v>999</v>
      </c>
      <c r="K3" s="192" t="s">
        <v>1000</v>
      </c>
      <c r="L3" s="1072"/>
      <c r="M3" s="1075"/>
      <c r="N3" s="1077"/>
    </row>
    <row r="4" spans="1:14" ht="50.1" customHeight="1" thickBot="1">
      <c r="A4" s="193">
        <f>ROW()-ROW($A$4)+1</f>
        <v>1</v>
      </c>
      <c r="B4" s="194"/>
      <c r="C4" s="194"/>
      <c r="D4" s="195"/>
      <c r="E4" s="196"/>
      <c r="F4" s="197"/>
      <c r="G4" s="198"/>
      <c r="H4" s="199"/>
      <c r="I4" s="200"/>
      <c r="J4" s="200"/>
      <c r="K4" s="200"/>
      <c r="L4" s="201" t="s">
        <v>1001</v>
      </c>
      <c r="M4" s="202" t="str">
        <f t="shared" ref="M4:M26" ca="1" si="0">IF(AND(J4="",K4=""),"NA",IFERROR(IF(L4="closed","Completed",TEXT(J4-TODAY(),"還有0天;逾期0天;今天到期")),"NA"))</f>
        <v>NA</v>
      </c>
      <c r="N4" s="203"/>
    </row>
    <row r="5" spans="1:14" ht="50.1" customHeight="1">
      <c r="A5" s="193">
        <f>ROW()-ROW($A$4)+1</f>
        <v>2</v>
      </c>
      <c r="B5" s="205"/>
      <c r="C5" s="205"/>
      <c r="D5" s="206"/>
      <c r="E5" s="207"/>
      <c r="F5" s="208"/>
      <c r="G5" s="209"/>
      <c r="H5" s="210"/>
      <c r="I5" s="211"/>
      <c r="J5" s="211"/>
      <c r="K5" s="211"/>
      <c r="L5" s="212"/>
      <c r="M5" s="213" t="str">
        <f t="shared" ca="1" si="0"/>
        <v>NA</v>
      </c>
      <c r="N5" s="214"/>
    </row>
    <row r="6" spans="1:14" s="223" customFormat="1" ht="50.1" customHeight="1">
      <c r="A6" s="204">
        <v>7</v>
      </c>
      <c r="B6" s="205"/>
      <c r="C6" s="205"/>
      <c r="D6" s="215"/>
      <c r="E6" s="216"/>
      <c r="F6" s="217"/>
      <c r="G6" s="218"/>
      <c r="H6" s="219"/>
      <c r="I6" s="220"/>
      <c r="J6" s="220"/>
      <c r="K6" s="220"/>
      <c r="L6" s="221"/>
      <c r="M6" s="213" t="str">
        <f t="shared" ca="1" si="0"/>
        <v>NA</v>
      </c>
      <c r="N6" s="222"/>
    </row>
    <row r="7" spans="1:14" s="223" customFormat="1" ht="50.1" customHeight="1">
      <c r="A7" s="204">
        <v>7</v>
      </c>
      <c r="B7" s="205"/>
      <c r="C7" s="205"/>
      <c r="D7" s="215"/>
      <c r="E7" s="216"/>
      <c r="F7" s="217"/>
      <c r="G7" s="218"/>
      <c r="H7" s="219"/>
      <c r="I7" s="220"/>
      <c r="J7" s="220"/>
      <c r="K7" s="220"/>
      <c r="L7" s="215"/>
      <c r="M7" s="213" t="str">
        <f t="shared" ca="1" si="0"/>
        <v>NA</v>
      </c>
      <c r="N7" s="224"/>
    </row>
    <row r="8" spans="1:14" ht="50.1" customHeight="1">
      <c r="A8" s="204">
        <v>7</v>
      </c>
      <c r="B8" s="205"/>
      <c r="C8" s="205"/>
      <c r="D8" s="206"/>
      <c r="E8" s="207"/>
      <c r="F8" s="208"/>
      <c r="G8" s="209"/>
      <c r="H8" s="225"/>
      <c r="I8" s="211"/>
      <c r="J8" s="211"/>
      <c r="K8" s="211"/>
      <c r="L8" s="212"/>
      <c r="M8" s="213" t="str">
        <f t="shared" ca="1" si="0"/>
        <v>NA</v>
      </c>
      <c r="N8" s="226"/>
    </row>
    <row r="9" spans="1:14" ht="50.1" customHeight="1">
      <c r="A9" s="204">
        <v>7</v>
      </c>
      <c r="B9" s="205"/>
      <c r="C9" s="205"/>
      <c r="D9" s="206"/>
      <c r="E9" s="207"/>
      <c r="F9" s="208"/>
      <c r="G9" s="209"/>
      <c r="H9" s="225"/>
      <c r="I9" s="211"/>
      <c r="J9" s="227"/>
      <c r="K9" s="211"/>
      <c r="L9" s="212"/>
      <c r="M9" s="213" t="str">
        <f t="shared" ca="1" si="0"/>
        <v>NA</v>
      </c>
      <c r="N9" s="226"/>
    </row>
    <row r="10" spans="1:14" ht="50.1" customHeight="1">
      <c r="A10" s="204">
        <v>7</v>
      </c>
      <c r="B10" s="205"/>
      <c r="C10" s="205"/>
      <c r="D10" s="206"/>
      <c r="E10" s="207"/>
      <c r="F10" s="228"/>
      <c r="G10" s="209"/>
      <c r="H10" s="225"/>
      <c r="I10" s="211"/>
      <c r="J10" s="211"/>
      <c r="K10" s="211"/>
      <c r="L10" s="206"/>
      <c r="M10" s="213" t="str">
        <f t="shared" ca="1" si="0"/>
        <v>NA</v>
      </c>
      <c r="N10" s="229"/>
    </row>
    <row r="11" spans="1:14" ht="50.1" customHeight="1">
      <c r="A11" s="204">
        <v>8</v>
      </c>
      <c r="B11" s="205"/>
      <c r="C11" s="205"/>
      <c r="D11" s="206"/>
      <c r="E11" s="207"/>
      <c r="F11" s="228"/>
      <c r="G11" s="209"/>
      <c r="H11" s="225"/>
      <c r="I11" s="211"/>
      <c r="J11" s="211"/>
      <c r="K11" s="211"/>
      <c r="L11" s="206"/>
      <c r="M11" s="213" t="str">
        <f t="shared" ca="1" si="0"/>
        <v>NA</v>
      </c>
      <c r="N11" s="230"/>
    </row>
    <row r="12" spans="1:14" ht="50.1" customHeight="1">
      <c r="A12" s="204">
        <v>9</v>
      </c>
      <c r="B12" s="205"/>
      <c r="C12" s="205"/>
      <c r="D12" s="206"/>
      <c r="E12" s="207"/>
      <c r="F12" s="209"/>
      <c r="G12" s="209"/>
      <c r="H12" s="210"/>
      <c r="I12" s="211"/>
      <c r="J12" s="211"/>
      <c r="K12" s="211"/>
      <c r="L12" s="206"/>
      <c r="M12" s="213" t="str">
        <f t="shared" ca="1" si="0"/>
        <v>NA</v>
      </c>
      <c r="N12" s="229"/>
    </row>
    <row r="13" spans="1:14" s="232" customFormat="1" ht="50.1" customHeight="1">
      <c r="A13" s="204">
        <v>10</v>
      </c>
      <c r="B13" s="205"/>
      <c r="C13" s="205"/>
      <c r="D13" s="215"/>
      <c r="E13" s="218"/>
      <c r="F13" s="218"/>
      <c r="G13" s="218"/>
      <c r="H13" s="219"/>
      <c r="I13" s="220"/>
      <c r="J13" s="220"/>
      <c r="K13" s="220"/>
      <c r="L13" s="215"/>
      <c r="M13" s="213" t="str">
        <f t="shared" ca="1" si="0"/>
        <v>NA</v>
      </c>
      <c r="N13" s="231"/>
    </row>
    <row r="14" spans="1:14" s="232" customFormat="1" ht="50.1" customHeight="1">
      <c r="A14" s="204">
        <v>11</v>
      </c>
      <c r="B14" s="205"/>
      <c r="C14" s="205"/>
      <c r="D14" s="215"/>
      <c r="E14" s="218"/>
      <c r="F14" s="218"/>
      <c r="G14" s="218"/>
      <c r="H14" s="219"/>
      <c r="I14" s="220"/>
      <c r="J14" s="220"/>
      <c r="K14" s="220"/>
      <c r="L14" s="215"/>
      <c r="M14" s="213" t="str">
        <f t="shared" ca="1" si="0"/>
        <v>NA</v>
      </c>
      <c r="N14" s="231"/>
    </row>
    <row r="15" spans="1:14" s="232" customFormat="1" ht="50.1" customHeight="1">
      <c r="A15" s="204">
        <v>12</v>
      </c>
      <c r="B15" s="205"/>
      <c r="C15" s="205"/>
      <c r="D15" s="215"/>
      <c r="E15" s="218"/>
      <c r="F15" s="218"/>
      <c r="G15" s="218"/>
      <c r="H15" s="219"/>
      <c r="I15" s="220"/>
      <c r="J15" s="220"/>
      <c r="K15" s="220"/>
      <c r="L15" s="215"/>
      <c r="M15" s="213" t="str">
        <f t="shared" ca="1" si="0"/>
        <v>NA</v>
      </c>
      <c r="N15" s="233"/>
    </row>
    <row r="16" spans="1:14" s="232" customFormat="1" ht="50.1" customHeight="1">
      <c r="A16" s="204">
        <v>13</v>
      </c>
      <c r="B16" s="205"/>
      <c r="C16" s="205"/>
      <c r="D16" s="215"/>
      <c r="E16" s="234"/>
      <c r="F16" s="218"/>
      <c r="G16" s="218"/>
      <c r="H16" s="219"/>
      <c r="I16" s="220"/>
      <c r="J16" s="220"/>
      <c r="K16" s="220"/>
      <c r="L16" s="215"/>
      <c r="M16" s="213" t="str">
        <f t="shared" ca="1" si="0"/>
        <v>NA</v>
      </c>
      <c r="N16" s="233"/>
    </row>
    <row r="17" spans="1:14" ht="50.1" customHeight="1">
      <c r="A17" s="204">
        <v>14</v>
      </c>
      <c r="B17" s="205"/>
      <c r="C17" s="205"/>
      <c r="D17" s="206"/>
      <c r="E17" s="209"/>
      <c r="F17" s="209"/>
      <c r="G17" s="209"/>
      <c r="H17" s="225"/>
      <c r="I17" s="211"/>
      <c r="J17" s="211"/>
      <c r="K17" s="235"/>
      <c r="L17" s="206"/>
      <c r="M17" s="213" t="str">
        <f t="shared" ca="1" si="0"/>
        <v>NA</v>
      </c>
      <c r="N17" s="236"/>
    </row>
    <row r="18" spans="1:14" ht="50.1" customHeight="1">
      <c r="A18" s="204">
        <v>15</v>
      </c>
      <c r="B18" s="205"/>
      <c r="C18" s="205"/>
      <c r="D18" s="206"/>
      <c r="E18" s="209"/>
      <c r="F18" s="209"/>
      <c r="G18" s="209"/>
      <c r="H18" s="225"/>
      <c r="I18" s="211"/>
      <c r="J18" s="211"/>
      <c r="K18" s="235"/>
      <c r="L18" s="206"/>
      <c r="M18" s="213" t="str">
        <f t="shared" ca="1" si="0"/>
        <v>NA</v>
      </c>
      <c r="N18" s="236"/>
    </row>
    <row r="19" spans="1:14" s="232" customFormat="1" ht="50.1" customHeight="1">
      <c r="A19" s="204">
        <v>16</v>
      </c>
      <c r="B19" s="205"/>
      <c r="C19" s="205"/>
      <c r="D19" s="215"/>
      <c r="E19" s="219"/>
      <c r="F19" s="234"/>
      <c r="G19" s="218"/>
      <c r="H19" s="219"/>
      <c r="I19" s="220"/>
      <c r="J19" s="220"/>
      <c r="K19" s="237"/>
      <c r="L19" s="215"/>
      <c r="M19" s="213" t="str">
        <f t="shared" ca="1" si="0"/>
        <v>NA</v>
      </c>
      <c r="N19" s="233"/>
    </row>
    <row r="20" spans="1:14" ht="50.1" customHeight="1">
      <c r="A20" s="204">
        <v>17</v>
      </c>
      <c r="B20" s="205"/>
      <c r="C20" s="205"/>
      <c r="D20" s="206"/>
      <c r="E20" s="209"/>
      <c r="F20" s="209"/>
      <c r="G20" s="209"/>
      <c r="H20" s="225"/>
      <c r="I20" s="211"/>
      <c r="J20" s="211"/>
      <c r="K20" s="235"/>
      <c r="L20" s="206"/>
      <c r="M20" s="213" t="str">
        <f t="shared" ca="1" si="0"/>
        <v>NA</v>
      </c>
      <c r="N20" s="236"/>
    </row>
    <row r="21" spans="1:14" ht="50.1" customHeight="1">
      <c r="A21" s="204">
        <v>18</v>
      </c>
      <c r="B21" s="205"/>
      <c r="C21" s="205"/>
      <c r="D21" s="206"/>
      <c r="E21" s="209"/>
      <c r="F21" s="209"/>
      <c r="G21" s="238"/>
      <c r="H21" s="225"/>
      <c r="I21" s="211"/>
      <c r="J21" s="211"/>
      <c r="K21" s="235"/>
      <c r="L21" s="206"/>
      <c r="M21" s="213" t="str">
        <f t="shared" ca="1" si="0"/>
        <v>NA</v>
      </c>
      <c r="N21" s="236"/>
    </row>
    <row r="22" spans="1:14" ht="50.1" customHeight="1">
      <c r="A22" s="204">
        <v>19</v>
      </c>
      <c r="B22" s="205"/>
      <c r="C22" s="205"/>
      <c r="D22" s="206"/>
      <c r="E22" s="209"/>
      <c r="F22" s="209"/>
      <c r="G22" s="228"/>
      <c r="H22" s="225"/>
      <c r="I22" s="211"/>
      <c r="J22" s="211"/>
      <c r="K22" s="235"/>
      <c r="L22" s="206"/>
      <c r="M22" s="213" t="str">
        <f t="shared" ca="1" si="0"/>
        <v>NA</v>
      </c>
      <c r="N22" s="239"/>
    </row>
    <row r="23" spans="1:14" ht="50.1" customHeight="1">
      <c r="A23" s="204">
        <v>20</v>
      </c>
      <c r="B23" s="205"/>
      <c r="C23" s="205"/>
      <c r="D23" s="206"/>
      <c r="E23" s="209"/>
      <c r="F23" s="209"/>
      <c r="G23" s="238"/>
      <c r="H23" s="225"/>
      <c r="I23" s="211"/>
      <c r="J23" s="211"/>
      <c r="K23" s="235"/>
      <c r="L23" s="206"/>
      <c r="M23" s="213" t="str">
        <f t="shared" ca="1" si="0"/>
        <v>NA</v>
      </c>
      <c r="N23" s="239"/>
    </row>
    <row r="24" spans="1:14" ht="50.1" customHeight="1">
      <c r="A24" s="204">
        <v>21</v>
      </c>
      <c r="B24" s="205"/>
      <c r="C24" s="205"/>
      <c r="D24" s="206"/>
      <c r="E24" s="209"/>
      <c r="F24" s="228"/>
      <c r="G24" s="240"/>
      <c r="H24" s="225"/>
      <c r="I24" s="211"/>
      <c r="J24" s="211"/>
      <c r="K24" s="235"/>
      <c r="L24" s="206"/>
      <c r="M24" s="213" t="str">
        <f t="shared" ca="1" si="0"/>
        <v>NA</v>
      </c>
      <c r="N24" s="239"/>
    </row>
    <row r="25" spans="1:14" ht="50.1" customHeight="1">
      <c r="A25" s="204">
        <v>22</v>
      </c>
      <c r="B25" s="205"/>
      <c r="C25" s="205"/>
      <c r="D25" s="206"/>
      <c r="E25" s="209"/>
      <c r="F25" s="209"/>
      <c r="G25" s="240"/>
      <c r="H25" s="225"/>
      <c r="I25" s="211"/>
      <c r="J25" s="211"/>
      <c r="K25" s="235"/>
      <c r="L25" s="206"/>
      <c r="M25" s="213" t="str">
        <f t="shared" ca="1" si="0"/>
        <v>NA</v>
      </c>
      <c r="N25" s="236"/>
    </row>
    <row r="26" spans="1:14" ht="50.1" customHeight="1">
      <c r="A26" s="204">
        <v>23</v>
      </c>
      <c r="B26" s="205"/>
      <c r="C26" s="205"/>
      <c r="D26" s="206"/>
      <c r="E26" s="209"/>
      <c r="F26" s="209"/>
      <c r="G26" s="209"/>
      <c r="H26" s="225"/>
      <c r="I26" s="211"/>
      <c r="J26" s="211"/>
      <c r="K26" s="235"/>
      <c r="L26" s="206"/>
      <c r="M26" s="213" t="str">
        <f t="shared" ca="1" si="0"/>
        <v>NA</v>
      </c>
      <c r="N26" s="236"/>
    </row>
    <row r="27" spans="1:14" ht="50.1" customHeight="1">
      <c r="A27" s="204">
        <v>24</v>
      </c>
      <c r="B27" s="205"/>
      <c r="C27" s="205"/>
      <c r="D27" s="206"/>
      <c r="E27" s="209"/>
      <c r="F27" s="209"/>
      <c r="G27" s="209"/>
      <c r="H27" s="225"/>
      <c r="I27" s="211"/>
      <c r="J27" s="211"/>
      <c r="K27" s="235"/>
      <c r="L27" s="206"/>
      <c r="M27" s="213" t="str">
        <f t="shared" ref="M27:M90" ca="1" si="1">IF(AND(J27="",K27=""),"NA",IFERROR(IF(L27="closed","完成",TEXT(J27-TODAY(),"還有0天;逾期0天;今天到期")),"NA"))</f>
        <v>NA</v>
      </c>
      <c r="N27" s="236"/>
    </row>
    <row r="28" spans="1:14" ht="50.1" customHeight="1">
      <c r="A28" s="204">
        <v>25</v>
      </c>
      <c r="B28" s="205"/>
      <c r="C28" s="205"/>
      <c r="D28" s="225"/>
      <c r="E28" s="209"/>
      <c r="F28" s="209"/>
      <c r="G28" s="209"/>
      <c r="H28" s="225"/>
      <c r="I28" s="211"/>
      <c r="J28" s="211"/>
      <c r="K28" s="235"/>
      <c r="L28" s="206"/>
      <c r="M28" s="213" t="str">
        <f t="shared" ca="1" si="1"/>
        <v>NA</v>
      </c>
      <c r="N28" s="236"/>
    </row>
    <row r="29" spans="1:14" ht="50.1" customHeight="1">
      <c r="A29" s="204">
        <v>26</v>
      </c>
      <c r="B29" s="205"/>
      <c r="C29" s="205"/>
      <c r="D29" s="225"/>
      <c r="E29" s="209"/>
      <c r="F29" s="209"/>
      <c r="G29" s="209"/>
      <c r="H29" s="225"/>
      <c r="I29" s="211"/>
      <c r="J29" s="211"/>
      <c r="K29" s="235"/>
      <c r="L29" s="206"/>
      <c r="M29" s="213" t="str">
        <f t="shared" ca="1" si="1"/>
        <v>NA</v>
      </c>
      <c r="N29" s="229"/>
    </row>
    <row r="30" spans="1:14" ht="50.1" customHeight="1">
      <c r="A30" s="204">
        <v>27</v>
      </c>
      <c r="B30" s="205"/>
      <c r="C30" s="205"/>
      <c r="D30" s="225"/>
      <c r="E30" s="209"/>
      <c r="F30" s="209"/>
      <c r="G30" s="209"/>
      <c r="H30" s="225"/>
      <c r="I30" s="211"/>
      <c r="J30" s="211"/>
      <c r="K30" s="235"/>
      <c r="L30" s="206"/>
      <c r="M30" s="213" t="str">
        <f t="shared" ca="1" si="1"/>
        <v>NA</v>
      </c>
      <c r="N30" s="236"/>
    </row>
    <row r="31" spans="1:14" ht="50.1" customHeight="1">
      <c r="A31" s="204">
        <v>28</v>
      </c>
      <c r="B31" s="205"/>
      <c r="C31" s="205"/>
      <c r="D31" s="225"/>
      <c r="E31" s="209"/>
      <c r="F31" s="209"/>
      <c r="G31" s="209"/>
      <c r="H31" s="225"/>
      <c r="I31" s="211"/>
      <c r="J31" s="211"/>
      <c r="K31" s="235"/>
      <c r="L31" s="206"/>
      <c r="M31" s="213" t="str">
        <f t="shared" ca="1" si="1"/>
        <v>NA</v>
      </c>
      <c r="N31" s="229"/>
    </row>
    <row r="32" spans="1:14" ht="50.1" customHeight="1">
      <c r="A32" s="204">
        <v>29</v>
      </c>
      <c r="B32" s="205"/>
      <c r="C32" s="205"/>
      <c r="D32" s="225"/>
      <c r="E32" s="209"/>
      <c r="F32" s="209"/>
      <c r="G32" s="209"/>
      <c r="H32" s="225"/>
      <c r="I32" s="211"/>
      <c r="J32" s="211"/>
      <c r="K32" s="235"/>
      <c r="L32" s="206"/>
      <c r="M32" s="213" t="str">
        <f t="shared" ca="1" si="1"/>
        <v>NA</v>
      </c>
      <c r="N32" s="229"/>
    </row>
    <row r="33" spans="1:14" ht="50.1" customHeight="1">
      <c r="A33" s="204">
        <v>30</v>
      </c>
      <c r="B33" s="205"/>
      <c r="C33" s="205"/>
      <c r="D33" s="225"/>
      <c r="E33" s="209"/>
      <c r="F33" s="209"/>
      <c r="G33" s="209"/>
      <c r="H33" s="225"/>
      <c r="I33" s="211"/>
      <c r="J33" s="211"/>
      <c r="K33" s="235"/>
      <c r="L33" s="206"/>
      <c r="M33" s="213" t="str">
        <f t="shared" ca="1" si="1"/>
        <v>NA</v>
      </c>
      <c r="N33" s="236"/>
    </row>
    <row r="34" spans="1:14" ht="50.1" customHeight="1">
      <c r="A34" s="204">
        <v>31</v>
      </c>
      <c r="B34" s="205"/>
      <c r="C34" s="205"/>
      <c r="D34" s="225"/>
      <c r="E34" s="209"/>
      <c r="F34" s="209"/>
      <c r="G34" s="209"/>
      <c r="H34" s="225"/>
      <c r="I34" s="211"/>
      <c r="J34" s="211"/>
      <c r="K34" s="235"/>
      <c r="L34" s="206"/>
      <c r="M34" s="213" t="str">
        <f t="shared" ca="1" si="1"/>
        <v>NA</v>
      </c>
      <c r="N34" s="229"/>
    </row>
    <row r="35" spans="1:14" ht="50.1" customHeight="1">
      <c r="A35" s="204">
        <v>32</v>
      </c>
      <c r="B35" s="205"/>
      <c r="C35" s="205"/>
      <c r="D35" s="225"/>
      <c r="E35" s="209"/>
      <c r="F35" s="209"/>
      <c r="G35" s="209"/>
      <c r="H35" s="225"/>
      <c r="I35" s="211"/>
      <c r="J35" s="211"/>
      <c r="K35" s="235"/>
      <c r="L35" s="206"/>
      <c r="M35" s="213" t="str">
        <f t="shared" ca="1" si="1"/>
        <v>NA</v>
      </c>
      <c r="N35" s="229"/>
    </row>
    <row r="36" spans="1:14" ht="50.1" customHeight="1">
      <c r="A36" s="204">
        <v>33</v>
      </c>
      <c r="B36" s="205"/>
      <c r="C36" s="205"/>
      <c r="D36" s="225"/>
      <c r="E36" s="209"/>
      <c r="F36" s="209"/>
      <c r="G36" s="209"/>
      <c r="H36" s="225"/>
      <c r="I36" s="211"/>
      <c r="J36" s="211"/>
      <c r="K36" s="235"/>
      <c r="L36" s="206"/>
      <c r="M36" s="213" t="str">
        <f t="shared" ca="1" si="1"/>
        <v>NA</v>
      </c>
      <c r="N36" s="229"/>
    </row>
    <row r="37" spans="1:14" ht="50.1" customHeight="1">
      <c r="A37" s="204">
        <v>34</v>
      </c>
      <c r="B37" s="205"/>
      <c r="C37" s="205"/>
      <c r="D37" s="225"/>
      <c r="E37" s="209"/>
      <c r="F37" s="209"/>
      <c r="G37" s="209"/>
      <c r="H37" s="225"/>
      <c r="I37" s="211"/>
      <c r="J37" s="211"/>
      <c r="K37" s="235"/>
      <c r="L37" s="206"/>
      <c r="M37" s="213" t="str">
        <f t="shared" ca="1" si="1"/>
        <v>NA</v>
      </c>
      <c r="N37" s="229"/>
    </row>
    <row r="38" spans="1:14" ht="50.1" customHeight="1">
      <c r="A38" s="204">
        <v>35</v>
      </c>
      <c r="B38" s="205"/>
      <c r="C38" s="205"/>
      <c r="D38" s="225"/>
      <c r="E38" s="209"/>
      <c r="F38" s="209"/>
      <c r="G38" s="209"/>
      <c r="H38" s="225"/>
      <c r="I38" s="211"/>
      <c r="J38" s="211"/>
      <c r="K38" s="235"/>
      <c r="L38" s="206"/>
      <c r="M38" s="213" t="str">
        <f t="shared" ca="1" si="1"/>
        <v>NA</v>
      </c>
      <c r="N38" s="229"/>
    </row>
    <row r="39" spans="1:14" ht="50.1" customHeight="1">
      <c r="A39" s="204">
        <v>36</v>
      </c>
      <c r="B39" s="205"/>
      <c r="C39" s="205"/>
      <c r="D39" s="225"/>
      <c r="E39" s="209"/>
      <c r="F39" s="209"/>
      <c r="G39" s="209"/>
      <c r="H39" s="225"/>
      <c r="I39" s="211"/>
      <c r="J39" s="211"/>
      <c r="K39" s="235"/>
      <c r="L39" s="206"/>
      <c r="M39" s="213" t="str">
        <f t="shared" ca="1" si="1"/>
        <v>NA</v>
      </c>
      <c r="N39" s="229"/>
    </row>
    <row r="40" spans="1:14" ht="50.1" customHeight="1">
      <c r="A40" s="204">
        <v>37</v>
      </c>
      <c r="B40" s="205"/>
      <c r="C40" s="205"/>
      <c r="D40" s="225"/>
      <c r="E40" s="209"/>
      <c r="F40" s="209"/>
      <c r="G40" s="209"/>
      <c r="H40" s="225"/>
      <c r="I40" s="211"/>
      <c r="J40" s="211"/>
      <c r="K40" s="235"/>
      <c r="L40" s="206"/>
      <c r="M40" s="213" t="str">
        <f t="shared" ca="1" si="1"/>
        <v>NA</v>
      </c>
      <c r="N40" s="229"/>
    </row>
    <row r="41" spans="1:14" ht="60" customHeight="1">
      <c r="A41" s="204">
        <v>38</v>
      </c>
      <c r="B41" s="205"/>
      <c r="C41" s="205"/>
      <c r="D41" s="225"/>
      <c r="E41" s="209"/>
      <c r="F41" s="209"/>
      <c r="G41" s="209"/>
      <c r="H41" s="225"/>
      <c r="I41" s="211"/>
      <c r="J41" s="211"/>
      <c r="K41" s="235"/>
      <c r="L41" s="206"/>
      <c r="M41" s="213" t="str">
        <f t="shared" ca="1" si="1"/>
        <v>NA</v>
      </c>
      <c r="N41" s="229"/>
    </row>
    <row r="42" spans="1:14" ht="60" customHeight="1">
      <c r="A42" s="204">
        <v>39</v>
      </c>
      <c r="B42" s="205"/>
      <c r="C42" s="205"/>
      <c r="D42" s="225"/>
      <c r="E42" s="209"/>
      <c r="F42" s="209"/>
      <c r="G42" s="209"/>
      <c r="H42" s="225"/>
      <c r="I42" s="211"/>
      <c r="J42" s="211"/>
      <c r="K42" s="235"/>
      <c r="L42" s="206"/>
      <c r="M42" s="213" t="str">
        <f t="shared" ca="1" si="1"/>
        <v>NA</v>
      </c>
      <c r="N42" s="229"/>
    </row>
    <row r="43" spans="1:14" ht="60" customHeight="1">
      <c r="A43" s="204">
        <v>40</v>
      </c>
      <c r="B43" s="205"/>
      <c r="C43" s="205"/>
      <c r="D43" s="225"/>
      <c r="E43" s="209"/>
      <c r="F43" s="209"/>
      <c r="G43" s="209"/>
      <c r="H43" s="225"/>
      <c r="I43" s="211"/>
      <c r="J43" s="211"/>
      <c r="K43" s="235"/>
      <c r="L43" s="206"/>
      <c r="M43" s="213" t="str">
        <f t="shared" ca="1" si="1"/>
        <v>NA</v>
      </c>
      <c r="N43" s="229"/>
    </row>
    <row r="44" spans="1:14" ht="60" customHeight="1">
      <c r="A44" s="204">
        <v>41</v>
      </c>
      <c r="B44" s="205"/>
      <c r="C44" s="205"/>
      <c r="D44" s="225"/>
      <c r="E44" s="209"/>
      <c r="F44" s="209"/>
      <c r="G44" s="209"/>
      <c r="H44" s="225"/>
      <c r="I44" s="211"/>
      <c r="J44" s="211"/>
      <c r="K44" s="235"/>
      <c r="L44" s="206"/>
      <c r="M44" s="213" t="str">
        <f t="shared" ca="1" si="1"/>
        <v>NA</v>
      </c>
      <c r="N44" s="229"/>
    </row>
    <row r="45" spans="1:14" ht="60" customHeight="1">
      <c r="A45" s="204">
        <v>42</v>
      </c>
      <c r="B45" s="205"/>
      <c r="C45" s="205"/>
      <c r="D45" s="225"/>
      <c r="E45" s="209"/>
      <c r="F45" s="209"/>
      <c r="G45" s="209"/>
      <c r="H45" s="225"/>
      <c r="I45" s="235"/>
      <c r="J45" s="211"/>
      <c r="K45" s="235"/>
      <c r="L45" s="206"/>
      <c r="M45" s="213" t="str">
        <f t="shared" ca="1" si="1"/>
        <v>NA</v>
      </c>
      <c r="N45" s="229"/>
    </row>
    <row r="46" spans="1:14" ht="60" customHeight="1">
      <c r="A46" s="204">
        <v>43</v>
      </c>
      <c r="B46" s="205"/>
      <c r="C46" s="205"/>
      <c r="D46" s="225"/>
      <c r="E46" s="209"/>
      <c r="F46" s="209"/>
      <c r="G46" s="209"/>
      <c r="H46" s="225"/>
      <c r="I46" s="235"/>
      <c r="J46" s="211"/>
      <c r="K46" s="235"/>
      <c r="L46" s="206"/>
      <c r="M46" s="213" t="str">
        <f t="shared" ca="1" si="1"/>
        <v>NA</v>
      </c>
      <c r="N46" s="229"/>
    </row>
    <row r="47" spans="1:14" ht="60" customHeight="1">
      <c r="A47" s="204">
        <v>44</v>
      </c>
      <c r="B47" s="205"/>
      <c r="C47" s="205"/>
      <c r="D47" s="225"/>
      <c r="E47" s="209"/>
      <c r="F47" s="209"/>
      <c r="G47" s="209"/>
      <c r="H47" s="225"/>
      <c r="I47" s="235"/>
      <c r="J47" s="211"/>
      <c r="K47" s="235"/>
      <c r="L47" s="206"/>
      <c r="M47" s="213" t="str">
        <f t="shared" ca="1" si="1"/>
        <v>NA</v>
      </c>
      <c r="N47" s="229"/>
    </row>
    <row r="48" spans="1:14" ht="60" customHeight="1">
      <c r="A48" s="204">
        <v>45</v>
      </c>
      <c r="B48" s="205"/>
      <c r="C48" s="205"/>
      <c r="D48" s="225"/>
      <c r="E48" s="209"/>
      <c r="F48" s="209"/>
      <c r="G48" s="209"/>
      <c r="H48" s="225"/>
      <c r="I48" s="235"/>
      <c r="J48" s="211"/>
      <c r="K48" s="235"/>
      <c r="L48" s="206"/>
      <c r="M48" s="213" t="str">
        <f t="shared" ca="1" si="1"/>
        <v>NA</v>
      </c>
      <c r="N48" s="229"/>
    </row>
    <row r="49" spans="1:14" ht="60" customHeight="1">
      <c r="A49" s="204">
        <v>46</v>
      </c>
      <c r="B49" s="205"/>
      <c r="C49" s="205"/>
      <c r="D49" s="225"/>
      <c r="E49" s="209"/>
      <c r="F49" s="209"/>
      <c r="G49" s="209"/>
      <c r="H49" s="225"/>
      <c r="I49" s="235"/>
      <c r="J49" s="211"/>
      <c r="K49" s="235"/>
      <c r="L49" s="206"/>
      <c r="M49" s="213" t="str">
        <f t="shared" ca="1" si="1"/>
        <v>NA</v>
      </c>
      <c r="N49" s="229"/>
    </row>
    <row r="50" spans="1:14" ht="60" customHeight="1">
      <c r="A50" s="204">
        <v>47</v>
      </c>
      <c r="B50" s="205"/>
      <c r="C50" s="205"/>
      <c r="D50" s="225"/>
      <c r="E50" s="209"/>
      <c r="F50" s="209"/>
      <c r="G50" s="209"/>
      <c r="H50" s="225"/>
      <c r="I50" s="235"/>
      <c r="J50" s="211"/>
      <c r="K50" s="235"/>
      <c r="L50" s="206"/>
      <c r="M50" s="213" t="str">
        <f t="shared" ca="1" si="1"/>
        <v>NA</v>
      </c>
      <c r="N50" s="229"/>
    </row>
    <row r="51" spans="1:14" ht="60" customHeight="1">
      <c r="A51" s="204">
        <v>48</v>
      </c>
      <c r="B51" s="205"/>
      <c r="C51" s="205"/>
      <c r="D51" s="225"/>
      <c r="E51" s="209"/>
      <c r="F51" s="209"/>
      <c r="G51" s="209"/>
      <c r="H51" s="225"/>
      <c r="I51" s="235"/>
      <c r="J51" s="211"/>
      <c r="K51" s="235"/>
      <c r="L51" s="206"/>
      <c r="M51" s="213" t="str">
        <f t="shared" ca="1" si="1"/>
        <v>NA</v>
      </c>
      <c r="N51" s="229"/>
    </row>
    <row r="52" spans="1:14" ht="60" customHeight="1">
      <c r="A52" s="204">
        <v>49</v>
      </c>
      <c r="B52" s="205"/>
      <c r="C52" s="205"/>
      <c r="D52" s="225"/>
      <c r="E52" s="209"/>
      <c r="F52" s="209"/>
      <c r="G52" s="209"/>
      <c r="H52" s="225"/>
      <c r="I52" s="235"/>
      <c r="J52" s="211"/>
      <c r="K52" s="235"/>
      <c r="L52" s="206"/>
      <c r="M52" s="213" t="str">
        <f t="shared" ca="1" si="1"/>
        <v>NA</v>
      </c>
      <c r="N52" s="229"/>
    </row>
    <row r="53" spans="1:14" ht="60" customHeight="1">
      <c r="A53" s="204">
        <v>50</v>
      </c>
      <c r="B53" s="205"/>
      <c r="C53" s="205"/>
      <c r="D53" s="225"/>
      <c r="E53" s="209"/>
      <c r="F53" s="209"/>
      <c r="G53" s="209"/>
      <c r="H53" s="225"/>
      <c r="I53" s="235"/>
      <c r="J53" s="211"/>
      <c r="K53" s="235"/>
      <c r="L53" s="206"/>
      <c r="M53" s="213" t="str">
        <f t="shared" ca="1" si="1"/>
        <v>NA</v>
      </c>
      <c r="N53" s="229"/>
    </row>
    <row r="54" spans="1:14" ht="60" customHeight="1">
      <c r="A54" s="204">
        <v>51</v>
      </c>
      <c r="B54" s="205"/>
      <c r="C54" s="205"/>
      <c r="D54" s="225"/>
      <c r="E54" s="209"/>
      <c r="F54" s="209"/>
      <c r="G54" s="209"/>
      <c r="H54" s="225"/>
      <c r="I54" s="235"/>
      <c r="J54" s="211"/>
      <c r="K54" s="235"/>
      <c r="L54" s="206"/>
      <c r="M54" s="213" t="str">
        <f t="shared" ca="1" si="1"/>
        <v>NA</v>
      </c>
      <c r="N54" s="229"/>
    </row>
    <row r="55" spans="1:14" ht="60" customHeight="1">
      <c r="A55" s="204">
        <v>52</v>
      </c>
      <c r="B55" s="205"/>
      <c r="C55" s="205"/>
      <c r="D55" s="241"/>
      <c r="E55" s="228"/>
      <c r="F55" s="228"/>
      <c r="G55" s="228"/>
      <c r="H55" s="241"/>
      <c r="I55" s="235"/>
      <c r="J55" s="211"/>
      <c r="K55" s="235"/>
      <c r="L55" s="206"/>
      <c r="M55" s="213" t="str">
        <f t="shared" ca="1" si="1"/>
        <v>NA</v>
      </c>
      <c r="N55" s="229"/>
    </row>
    <row r="56" spans="1:14" ht="60" customHeight="1">
      <c r="A56" s="204">
        <v>53</v>
      </c>
      <c r="B56" s="205"/>
      <c r="C56" s="205"/>
      <c r="D56" s="241"/>
      <c r="E56" s="228"/>
      <c r="F56" s="228"/>
      <c r="G56" s="228"/>
      <c r="H56" s="241"/>
      <c r="I56" s="235"/>
      <c r="J56" s="235"/>
      <c r="K56" s="235"/>
      <c r="L56" s="206"/>
      <c r="M56" s="213" t="str">
        <f t="shared" ca="1" si="1"/>
        <v>NA</v>
      </c>
      <c r="N56" s="229"/>
    </row>
    <row r="57" spans="1:14" ht="60" customHeight="1">
      <c r="A57" s="204">
        <v>54</v>
      </c>
      <c r="B57" s="205"/>
      <c r="C57" s="205"/>
      <c r="D57" s="225"/>
      <c r="E57" s="209"/>
      <c r="F57" s="209"/>
      <c r="G57" s="209"/>
      <c r="H57" s="225"/>
      <c r="I57" s="235"/>
      <c r="J57" s="235"/>
      <c r="K57" s="235"/>
      <c r="L57" s="206"/>
      <c r="M57" s="213" t="str">
        <f t="shared" ca="1" si="1"/>
        <v>NA</v>
      </c>
      <c r="N57" s="229"/>
    </row>
    <row r="58" spans="1:14" ht="60" customHeight="1">
      <c r="A58" s="204">
        <v>55</v>
      </c>
      <c r="B58" s="205"/>
      <c r="C58" s="205"/>
      <c r="D58" s="225"/>
      <c r="E58" s="209"/>
      <c r="F58" s="209"/>
      <c r="G58" s="209"/>
      <c r="H58" s="225"/>
      <c r="I58" s="235"/>
      <c r="J58" s="235"/>
      <c r="K58" s="235"/>
      <c r="L58" s="206"/>
      <c r="M58" s="213" t="str">
        <f t="shared" ca="1" si="1"/>
        <v>NA</v>
      </c>
      <c r="N58" s="229"/>
    </row>
    <row r="59" spans="1:14" s="242" customFormat="1" ht="60" customHeight="1">
      <c r="A59" s="204">
        <v>56</v>
      </c>
      <c r="B59" s="205"/>
      <c r="C59" s="205"/>
      <c r="D59" s="225"/>
      <c r="E59" s="209"/>
      <c r="F59" s="209"/>
      <c r="G59" s="209"/>
      <c r="H59" s="225"/>
      <c r="I59" s="235"/>
      <c r="J59" s="235"/>
      <c r="K59" s="235"/>
      <c r="L59" s="206"/>
      <c r="M59" s="213" t="str">
        <f t="shared" ca="1" si="1"/>
        <v>NA</v>
      </c>
      <c r="N59" s="229"/>
    </row>
    <row r="60" spans="1:14" ht="60" customHeight="1">
      <c r="A60" s="204">
        <v>57</v>
      </c>
      <c r="B60" s="205"/>
      <c r="C60" s="205"/>
      <c r="D60" s="225"/>
      <c r="E60" s="209"/>
      <c r="F60" s="209"/>
      <c r="G60" s="209"/>
      <c r="H60" s="225"/>
      <c r="I60" s="235"/>
      <c r="J60" s="235"/>
      <c r="K60" s="235"/>
      <c r="L60" s="206"/>
      <c r="M60" s="213" t="str">
        <f t="shared" ca="1" si="1"/>
        <v>NA</v>
      </c>
      <c r="N60" s="229"/>
    </row>
    <row r="61" spans="1:14" ht="60" customHeight="1">
      <c r="A61" s="204">
        <v>58</v>
      </c>
      <c r="B61" s="205"/>
      <c r="C61" s="205"/>
      <c r="D61" s="243"/>
      <c r="E61" s="244"/>
      <c r="F61" s="244"/>
      <c r="G61" s="244"/>
      <c r="H61" s="243"/>
      <c r="I61" s="235"/>
      <c r="J61" s="235"/>
      <c r="K61" s="235"/>
      <c r="L61" s="206"/>
      <c r="M61" s="213" t="str">
        <f t="shared" ca="1" si="1"/>
        <v>NA</v>
      </c>
      <c r="N61" s="229"/>
    </row>
    <row r="62" spans="1:14" ht="60" customHeight="1">
      <c r="A62" s="204">
        <v>59</v>
      </c>
      <c r="B62" s="205"/>
      <c r="C62" s="205"/>
      <c r="D62" s="241"/>
      <c r="E62" s="228"/>
      <c r="F62" s="228"/>
      <c r="G62" s="228"/>
      <c r="H62" s="241"/>
      <c r="I62" s="235"/>
      <c r="J62" s="235"/>
      <c r="K62" s="235"/>
      <c r="L62" s="206"/>
      <c r="M62" s="213" t="str">
        <f t="shared" ca="1" si="1"/>
        <v>NA</v>
      </c>
      <c r="N62" s="229"/>
    </row>
    <row r="63" spans="1:14" ht="60" customHeight="1">
      <c r="A63" s="204">
        <v>60</v>
      </c>
      <c r="B63" s="205"/>
      <c r="C63" s="205"/>
      <c r="D63" s="225"/>
      <c r="E63" s="209"/>
      <c r="F63" s="209"/>
      <c r="G63" s="209"/>
      <c r="H63" s="225"/>
      <c r="I63" s="235"/>
      <c r="J63" s="235"/>
      <c r="K63" s="235"/>
      <c r="L63" s="206"/>
      <c r="M63" s="213" t="str">
        <f t="shared" ca="1" si="1"/>
        <v>NA</v>
      </c>
      <c r="N63" s="229"/>
    </row>
    <row r="64" spans="1:14" ht="60" customHeight="1">
      <c r="A64" s="204">
        <v>61</v>
      </c>
      <c r="B64" s="205"/>
      <c r="C64" s="205"/>
      <c r="D64" s="225"/>
      <c r="E64" s="209"/>
      <c r="F64" s="209"/>
      <c r="G64" s="209"/>
      <c r="H64" s="225"/>
      <c r="I64" s="235"/>
      <c r="J64" s="235"/>
      <c r="K64" s="235"/>
      <c r="L64" s="206"/>
      <c r="M64" s="213" t="str">
        <f t="shared" ca="1" si="1"/>
        <v>NA</v>
      </c>
      <c r="N64" s="229"/>
    </row>
    <row r="65" spans="1:14" ht="60" customHeight="1">
      <c r="A65" s="204">
        <v>62</v>
      </c>
      <c r="B65" s="205"/>
      <c r="C65" s="205"/>
      <c r="D65" s="245"/>
      <c r="E65" s="246"/>
      <c r="F65" s="246"/>
      <c r="G65" s="246"/>
      <c r="H65" s="245"/>
      <c r="I65" s="247"/>
      <c r="J65" s="247"/>
      <c r="K65" s="247"/>
      <c r="L65" s="248"/>
      <c r="M65" s="213" t="str">
        <f t="shared" ca="1" si="1"/>
        <v>NA</v>
      </c>
      <c r="N65" s="249"/>
    </row>
    <row r="66" spans="1:14" ht="60" customHeight="1">
      <c r="A66" s="204">
        <v>63</v>
      </c>
      <c r="B66" s="205"/>
      <c r="C66" s="205"/>
      <c r="D66" s="225"/>
      <c r="E66" s="209"/>
      <c r="F66" s="209"/>
      <c r="G66" s="209"/>
      <c r="H66" s="225"/>
      <c r="I66" s="235"/>
      <c r="J66" s="235"/>
      <c r="K66" s="235"/>
      <c r="L66" s="206"/>
      <c r="M66" s="213" t="str">
        <f t="shared" ca="1" si="1"/>
        <v>NA</v>
      </c>
      <c r="N66" s="229"/>
    </row>
    <row r="67" spans="1:14" ht="60" customHeight="1">
      <c r="A67" s="204">
        <v>64</v>
      </c>
      <c r="B67" s="205"/>
      <c r="C67" s="205"/>
      <c r="D67" s="225"/>
      <c r="E67" s="209"/>
      <c r="F67" s="209"/>
      <c r="G67" s="209"/>
      <c r="H67" s="225"/>
      <c r="I67" s="235"/>
      <c r="J67" s="235"/>
      <c r="K67" s="235"/>
      <c r="L67" s="206"/>
      <c r="M67" s="213" t="str">
        <f t="shared" ca="1" si="1"/>
        <v>NA</v>
      </c>
      <c r="N67" s="229"/>
    </row>
    <row r="68" spans="1:14" ht="60" customHeight="1">
      <c r="A68" s="204">
        <v>65</v>
      </c>
      <c r="B68" s="205"/>
      <c r="C68" s="205"/>
      <c r="D68" s="225"/>
      <c r="E68" s="209"/>
      <c r="F68" s="209"/>
      <c r="G68" s="209"/>
      <c r="H68" s="225"/>
      <c r="I68" s="235"/>
      <c r="J68" s="235"/>
      <c r="K68" s="235"/>
      <c r="L68" s="206"/>
      <c r="M68" s="213" t="str">
        <f t="shared" ca="1" si="1"/>
        <v>NA</v>
      </c>
      <c r="N68" s="229"/>
    </row>
    <row r="69" spans="1:14" ht="60" customHeight="1">
      <c r="A69" s="204">
        <v>66</v>
      </c>
      <c r="B69" s="205"/>
      <c r="C69" s="205"/>
      <c r="D69" s="225"/>
      <c r="E69" s="209"/>
      <c r="F69" s="209"/>
      <c r="G69" s="209"/>
      <c r="H69" s="225"/>
      <c r="I69" s="235"/>
      <c r="J69" s="235"/>
      <c r="K69" s="235"/>
      <c r="L69" s="206"/>
      <c r="M69" s="213" t="str">
        <f t="shared" ca="1" si="1"/>
        <v>NA</v>
      </c>
      <c r="N69" s="229"/>
    </row>
    <row r="70" spans="1:14" ht="60" customHeight="1">
      <c r="A70" s="204">
        <v>67</v>
      </c>
      <c r="B70" s="205"/>
      <c r="C70" s="205"/>
      <c r="D70" s="225"/>
      <c r="E70" s="209"/>
      <c r="F70" s="209"/>
      <c r="G70" s="209"/>
      <c r="H70" s="225"/>
      <c r="I70" s="235"/>
      <c r="J70" s="235"/>
      <c r="K70" s="235"/>
      <c r="L70" s="206"/>
      <c r="M70" s="213" t="str">
        <f t="shared" ca="1" si="1"/>
        <v>NA</v>
      </c>
      <c r="N70" s="229"/>
    </row>
    <row r="71" spans="1:14" ht="60" customHeight="1">
      <c r="A71" s="204">
        <v>68</v>
      </c>
      <c r="B71" s="205"/>
      <c r="C71" s="205"/>
      <c r="D71" s="225"/>
      <c r="E71" s="209"/>
      <c r="F71" s="209"/>
      <c r="G71" s="209"/>
      <c r="H71" s="225"/>
      <c r="I71" s="235"/>
      <c r="J71" s="235"/>
      <c r="K71" s="235"/>
      <c r="L71" s="206"/>
      <c r="M71" s="213" t="str">
        <f t="shared" ca="1" si="1"/>
        <v>NA</v>
      </c>
      <c r="N71" s="229"/>
    </row>
    <row r="72" spans="1:14" ht="60" customHeight="1">
      <c r="A72" s="204">
        <v>69</v>
      </c>
      <c r="B72" s="205"/>
      <c r="C72" s="205"/>
      <c r="D72" s="225"/>
      <c r="E72" s="209"/>
      <c r="F72" s="209"/>
      <c r="G72" s="209"/>
      <c r="H72" s="225"/>
      <c r="I72" s="235"/>
      <c r="J72" s="235"/>
      <c r="K72" s="235"/>
      <c r="L72" s="206"/>
      <c r="M72" s="213" t="str">
        <f t="shared" ca="1" si="1"/>
        <v>NA</v>
      </c>
      <c r="N72" s="229"/>
    </row>
    <row r="73" spans="1:14" ht="60" customHeight="1">
      <c r="A73" s="204">
        <v>70</v>
      </c>
      <c r="B73" s="205"/>
      <c r="C73" s="205"/>
      <c r="D73" s="225"/>
      <c r="E73" s="209"/>
      <c r="F73" s="209"/>
      <c r="G73" s="209"/>
      <c r="H73" s="225"/>
      <c r="I73" s="235"/>
      <c r="J73" s="235"/>
      <c r="K73" s="235"/>
      <c r="L73" s="206"/>
      <c r="M73" s="213" t="str">
        <f t="shared" ca="1" si="1"/>
        <v>NA</v>
      </c>
      <c r="N73" s="229"/>
    </row>
    <row r="74" spans="1:14" ht="60" customHeight="1">
      <c r="A74" s="204">
        <v>71</v>
      </c>
      <c r="B74" s="205"/>
      <c r="C74" s="205"/>
      <c r="D74" s="225"/>
      <c r="E74" s="209"/>
      <c r="F74" s="209"/>
      <c r="G74" s="209"/>
      <c r="H74" s="225"/>
      <c r="I74" s="235"/>
      <c r="J74" s="235"/>
      <c r="K74" s="235"/>
      <c r="L74" s="206"/>
      <c r="M74" s="213" t="str">
        <f t="shared" ca="1" si="1"/>
        <v>NA</v>
      </c>
      <c r="N74" s="229"/>
    </row>
    <row r="75" spans="1:14" ht="60" customHeight="1">
      <c r="A75" s="204">
        <v>72</v>
      </c>
      <c r="B75" s="205"/>
      <c r="C75" s="205"/>
      <c r="D75" s="225"/>
      <c r="E75" s="209"/>
      <c r="F75" s="209"/>
      <c r="G75" s="209"/>
      <c r="H75" s="225"/>
      <c r="I75" s="235"/>
      <c r="J75" s="235"/>
      <c r="K75" s="235"/>
      <c r="L75" s="206"/>
      <c r="M75" s="213" t="str">
        <f t="shared" ca="1" si="1"/>
        <v>NA</v>
      </c>
      <c r="N75" s="229"/>
    </row>
    <row r="76" spans="1:14" ht="60" customHeight="1">
      <c r="A76" s="204">
        <v>73</v>
      </c>
      <c r="B76" s="205"/>
      <c r="C76" s="205"/>
      <c r="D76" s="225"/>
      <c r="E76" s="209"/>
      <c r="F76" s="209"/>
      <c r="G76" s="209"/>
      <c r="H76" s="225"/>
      <c r="I76" s="235"/>
      <c r="J76" s="235"/>
      <c r="K76" s="235"/>
      <c r="L76" s="206"/>
      <c r="M76" s="213" t="str">
        <f t="shared" ca="1" si="1"/>
        <v>NA</v>
      </c>
      <c r="N76" s="229"/>
    </row>
    <row r="77" spans="1:14" ht="60" customHeight="1">
      <c r="A77" s="204">
        <v>74</v>
      </c>
      <c r="B77" s="205"/>
      <c r="C77" s="205"/>
      <c r="D77" s="225"/>
      <c r="E77" s="209"/>
      <c r="F77" s="209"/>
      <c r="G77" s="209"/>
      <c r="H77" s="225"/>
      <c r="I77" s="235"/>
      <c r="J77" s="235"/>
      <c r="K77" s="235"/>
      <c r="L77" s="206"/>
      <c r="M77" s="213" t="str">
        <f t="shared" ca="1" si="1"/>
        <v>NA</v>
      </c>
      <c r="N77" s="229"/>
    </row>
    <row r="78" spans="1:14" ht="60" customHeight="1">
      <c r="A78" s="204">
        <v>75</v>
      </c>
      <c r="B78" s="205"/>
      <c r="C78" s="205"/>
      <c r="D78" s="225"/>
      <c r="E78" s="209"/>
      <c r="F78" s="209"/>
      <c r="G78" s="209"/>
      <c r="H78" s="225"/>
      <c r="I78" s="235"/>
      <c r="J78" s="235"/>
      <c r="K78" s="235"/>
      <c r="L78" s="206"/>
      <c r="M78" s="213" t="str">
        <f t="shared" ca="1" si="1"/>
        <v>NA</v>
      </c>
      <c r="N78" s="229"/>
    </row>
    <row r="79" spans="1:14" ht="60" customHeight="1">
      <c r="A79" s="204">
        <v>76</v>
      </c>
      <c r="B79" s="205"/>
      <c r="C79" s="205"/>
      <c r="D79" s="225"/>
      <c r="E79" s="209"/>
      <c r="F79" s="209"/>
      <c r="G79" s="209"/>
      <c r="H79" s="225"/>
      <c r="I79" s="235"/>
      <c r="J79" s="235"/>
      <c r="K79" s="235"/>
      <c r="L79" s="206"/>
      <c r="M79" s="213" t="str">
        <f t="shared" ca="1" si="1"/>
        <v>NA</v>
      </c>
      <c r="N79" s="229"/>
    </row>
    <row r="80" spans="1:14" ht="60" customHeight="1">
      <c r="A80" s="204">
        <v>77</v>
      </c>
      <c r="B80" s="205"/>
      <c r="C80" s="205"/>
      <c r="D80" s="225"/>
      <c r="E80" s="209"/>
      <c r="F80" s="209"/>
      <c r="G80" s="209"/>
      <c r="H80" s="225"/>
      <c r="I80" s="235"/>
      <c r="J80" s="235"/>
      <c r="K80" s="235"/>
      <c r="L80" s="206"/>
      <c r="M80" s="213" t="str">
        <f t="shared" ca="1" si="1"/>
        <v>NA</v>
      </c>
      <c r="N80" s="229"/>
    </row>
    <row r="81" spans="1:14" ht="60" customHeight="1">
      <c r="A81" s="204">
        <v>78</v>
      </c>
      <c r="B81" s="205"/>
      <c r="C81" s="205"/>
      <c r="D81" s="225"/>
      <c r="E81" s="209"/>
      <c r="F81" s="209"/>
      <c r="G81" s="209"/>
      <c r="H81" s="225"/>
      <c r="I81" s="235"/>
      <c r="J81" s="235"/>
      <c r="K81" s="235"/>
      <c r="L81" s="206"/>
      <c r="M81" s="213" t="str">
        <f t="shared" ca="1" si="1"/>
        <v>NA</v>
      </c>
      <c r="N81" s="229"/>
    </row>
    <row r="82" spans="1:14" ht="60" customHeight="1">
      <c r="A82" s="204">
        <v>79</v>
      </c>
      <c r="B82" s="205"/>
      <c r="C82" s="205"/>
      <c r="D82" s="225"/>
      <c r="E82" s="209"/>
      <c r="F82" s="209"/>
      <c r="G82" s="209"/>
      <c r="H82" s="225"/>
      <c r="I82" s="235"/>
      <c r="J82" s="235"/>
      <c r="K82" s="235"/>
      <c r="L82" s="206"/>
      <c r="M82" s="213" t="str">
        <f t="shared" ca="1" si="1"/>
        <v>NA</v>
      </c>
      <c r="N82" s="229"/>
    </row>
    <row r="83" spans="1:14" ht="60" customHeight="1">
      <c r="A83" s="204">
        <v>80</v>
      </c>
      <c r="B83" s="205"/>
      <c r="C83" s="205"/>
      <c r="D83" s="225"/>
      <c r="E83" s="209"/>
      <c r="F83" s="209"/>
      <c r="G83" s="209"/>
      <c r="H83" s="225"/>
      <c r="I83" s="235"/>
      <c r="J83" s="235"/>
      <c r="K83" s="235"/>
      <c r="L83" s="206"/>
      <c r="M83" s="213" t="str">
        <f t="shared" ca="1" si="1"/>
        <v>NA</v>
      </c>
      <c r="N83" s="229"/>
    </row>
    <row r="84" spans="1:14" ht="60" customHeight="1">
      <c r="A84" s="204">
        <v>81</v>
      </c>
      <c r="B84" s="205"/>
      <c r="C84" s="205"/>
      <c r="D84" s="225"/>
      <c r="E84" s="209"/>
      <c r="F84" s="209"/>
      <c r="G84" s="209"/>
      <c r="H84" s="225"/>
      <c r="I84" s="235"/>
      <c r="J84" s="235"/>
      <c r="K84" s="235"/>
      <c r="L84" s="206"/>
      <c r="M84" s="213" t="str">
        <f t="shared" ca="1" si="1"/>
        <v>NA</v>
      </c>
      <c r="N84" s="229"/>
    </row>
    <row r="85" spans="1:14" ht="60" customHeight="1">
      <c r="A85" s="204">
        <v>82</v>
      </c>
      <c r="B85" s="205"/>
      <c r="C85" s="205"/>
      <c r="D85" s="225"/>
      <c r="E85" s="209"/>
      <c r="F85" s="209"/>
      <c r="G85" s="209"/>
      <c r="H85" s="225"/>
      <c r="I85" s="235"/>
      <c r="J85" s="235"/>
      <c r="K85" s="235"/>
      <c r="L85" s="206"/>
      <c r="M85" s="213" t="str">
        <f t="shared" ca="1" si="1"/>
        <v>NA</v>
      </c>
      <c r="N85" s="229"/>
    </row>
    <row r="86" spans="1:14" ht="60" customHeight="1">
      <c r="A86" s="204">
        <v>83</v>
      </c>
      <c r="B86" s="205"/>
      <c r="C86" s="205"/>
      <c r="D86" s="250"/>
      <c r="E86" s="251"/>
      <c r="F86" s="251"/>
      <c r="G86" s="251"/>
      <c r="H86" s="250"/>
      <c r="I86" s="235"/>
      <c r="J86" s="235"/>
      <c r="K86" s="235"/>
      <c r="L86" s="206"/>
      <c r="M86" s="213" t="str">
        <f t="shared" ca="1" si="1"/>
        <v>NA</v>
      </c>
      <c r="N86" s="229"/>
    </row>
    <row r="87" spans="1:14" ht="60" customHeight="1">
      <c r="A87" s="204">
        <v>84</v>
      </c>
      <c r="B87" s="205"/>
      <c r="C87" s="205"/>
      <c r="D87" s="225"/>
      <c r="E87" s="209"/>
      <c r="F87" s="209"/>
      <c r="G87" s="209"/>
      <c r="H87" s="225"/>
      <c r="I87" s="235"/>
      <c r="J87" s="235"/>
      <c r="K87" s="235"/>
      <c r="L87" s="206"/>
      <c r="M87" s="213" t="str">
        <f t="shared" ca="1" si="1"/>
        <v>NA</v>
      </c>
      <c r="N87" s="229"/>
    </row>
    <row r="88" spans="1:14" ht="60" customHeight="1">
      <c r="A88" s="204">
        <v>85</v>
      </c>
      <c r="B88" s="205"/>
      <c r="C88" s="205"/>
      <c r="D88" s="225"/>
      <c r="E88" s="209"/>
      <c r="F88" s="209"/>
      <c r="G88" s="209"/>
      <c r="H88" s="225"/>
      <c r="I88" s="235"/>
      <c r="J88" s="235"/>
      <c r="K88" s="235"/>
      <c r="L88" s="206"/>
      <c r="M88" s="213" t="str">
        <f t="shared" ca="1" si="1"/>
        <v>NA</v>
      </c>
      <c r="N88" s="229"/>
    </row>
    <row r="89" spans="1:14" ht="60" customHeight="1">
      <c r="A89" s="204">
        <v>86</v>
      </c>
      <c r="B89" s="205"/>
      <c r="C89" s="205"/>
      <c r="D89" s="225"/>
      <c r="E89" s="209"/>
      <c r="F89" s="209"/>
      <c r="G89" s="209"/>
      <c r="H89" s="225"/>
      <c r="I89" s="235"/>
      <c r="J89" s="235"/>
      <c r="K89" s="235"/>
      <c r="L89" s="206"/>
      <c r="M89" s="213" t="str">
        <f t="shared" ca="1" si="1"/>
        <v>NA</v>
      </c>
      <c r="N89" s="229"/>
    </row>
    <row r="90" spans="1:14" ht="60" customHeight="1">
      <c r="A90" s="204">
        <v>87</v>
      </c>
      <c r="B90" s="205"/>
      <c r="C90" s="205"/>
      <c r="D90" s="225"/>
      <c r="E90" s="209"/>
      <c r="F90" s="209"/>
      <c r="G90" s="209"/>
      <c r="H90" s="225"/>
      <c r="I90" s="235"/>
      <c r="J90" s="235"/>
      <c r="K90" s="235"/>
      <c r="L90" s="206"/>
      <c r="M90" s="213" t="str">
        <f t="shared" ca="1" si="1"/>
        <v>NA</v>
      </c>
      <c r="N90" s="229"/>
    </row>
    <row r="91" spans="1:14" ht="60" customHeight="1">
      <c r="A91" s="204">
        <v>88</v>
      </c>
      <c r="B91" s="205"/>
      <c r="C91" s="205"/>
      <c r="D91" s="225"/>
      <c r="E91" s="209"/>
      <c r="F91" s="209"/>
      <c r="G91" s="209"/>
      <c r="H91" s="225"/>
      <c r="I91" s="235"/>
      <c r="J91" s="235"/>
      <c r="K91" s="235"/>
      <c r="L91" s="206"/>
      <c r="M91" s="213" t="str">
        <f t="shared" ref="M91:M154" ca="1" si="2">IF(AND(J91="",K91=""),"NA",IFERROR(IF(L91="closed","完成",TEXT(J91-TODAY(),"還有0天;逾期0天;今天到期")),"NA"))</f>
        <v>NA</v>
      </c>
      <c r="N91" s="229"/>
    </row>
    <row r="92" spans="1:14" ht="60" customHeight="1">
      <c r="A92" s="204">
        <v>89</v>
      </c>
      <c r="B92" s="205"/>
      <c r="C92" s="205"/>
      <c r="D92" s="225"/>
      <c r="E92" s="209"/>
      <c r="F92" s="209"/>
      <c r="G92" s="209"/>
      <c r="H92" s="225"/>
      <c r="I92" s="235"/>
      <c r="J92" s="235"/>
      <c r="K92" s="235"/>
      <c r="L92" s="206"/>
      <c r="M92" s="213" t="str">
        <f t="shared" ca="1" si="2"/>
        <v>NA</v>
      </c>
      <c r="N92" s="229"/>
    </row>
    <row r="93" spans="1:14" ht="60" customHeight="1">
      <c r="A93" s="204">
        <v>90</v>
      </c>
      <c r="B93" s="205"/>
      <c r="C93" s="205"/>
      <c r="D93" s="225"/>
      <c r="E93" s="209"/>
      <c r="F93" s="209"/>
      <c r="G93" s="209"/>
      <c r="H93" s="225"/>
      <c r="I93" s="235"/>
      <c r="J93" s="235"/>
      <c r="K93" s="235"/>
      <c r="L93" s="206"/>
      <c r="M93" s="213" t="str">
        <f t="shared" ca="1" si="2"/>
        <v>NA</v>
      </c>
      <c r="N93" s="229"/>
    </row>
    <row r="94" spans="1:14" ht="60" customHeight="1">
      <c r="A94" s="204">
        <v>91</v>
      </c>
      <c r="B94" s="205"/>
      <c r="C94" s="205"/>
      <c r="D94" s="225"/>
      <c r="E94" s="209"/>
      <c r="F94" s="209"/>
      <c r="G94" s="209"/>
      <c r="H94" s="225"/>
      <c r="I94" s="235"/>
      <c r="J94" s="235"/>
      <c r="K94" s="235"/>
      <c r="L94" s="206"/>
      <c r="M94" s="213" t="str">
        <f t="shared" ca="1" si="2"/>
        <v>NA</v>
      </c>
      <c r="N94" s="229"/>
    </row>
    <row r="95" spans="1:14" ht="60" customHeight="1">
      <c r="A95" s="204">
        <v>92</v>
      </c>
      <c r="B95" s="205"/>
      <c r="C95" s="205"/>
      <c r="D95" s="225"/>
      <c r="E95" s="209"/>
      <c r="F95" s="209"/>
      <c r="G95" s="209"/>
      <c r="H95" s="225"/>
      <c r="I95" s="235"/>
      <c r="J95" s="235"/>
      <c r="K95" s="235"/>
      <c r="L95" s="206"/>
      <c r="M95" s="213" t="str">
        <f t="shared" ca="1" si="2"/>
        <v>NA</v>
      </c>
      <c r="N95" s="229"/>
    </row>
    <row r="96" spans="1:14" ht="60" customHeight="1">
      <c r="A96" s="204">
        <v>93</v>
      </c>
      <c r="B96" s="205"/>
      <c r="C96" s="205"/>
      <c r="D96" s="225"/>
      <c r="E96" s="209"/>
      <c r="F96" s="209"/>
      <c r="G96" s="209"/>
      <c r="H96" s="225"/>
      <c r="I96" s="235"/>
      <c r="J96" s="235"/>
      <c r="K96" s="235"/>
      <c r="L96" s="206"/>
      <c r="M96" s="213" t="str">
        <f t="shared" ca="1" si="2"/>
        <v>NA</v>
      </c>
      <c r="N96" s="229"/>
    </row>
    <row r="97" spans="1:14" ht="60" customHeight="1">
      <c r="A97" s="204">
        <v>94</v>
      </c>
      <c r="B97" s="205"/>
      <c r="C97" s="205"/>
      <c r="D97" s="225"/>
      <c r="E97" s="209"/>
      <c r="F97" s="209"/>
      <c r="G97" s="209"/>
      <c r="H97" s="225"/>
      <c r="I97" s="235"/>
      <c r="J97" s="235"/>
      <c r="K97" s="235"/>
      <c r="L97" s="206"/>
      <c r="M97" s="213" t="str">
        <f t="shared" ca="1" si="2"/>
        <v>NA</v>
      </c>
      <c r="N97" s="229"/>
    </row>
    <row r="98" spans="1:14" ht="60" customHeight="1">
      <c r="A98" s="204">
        <v>95</v>
      </c>
      <c r="B98" s="205"/>
      <c r="C98" s="205"/>
      <c r="D98" s="225"/>
      <c r="E98" s="209"/>
      <c r="F98" s="209"/>
      <c r="G98" s="209"/>
      <c r="H98" s="225"/>
      <c r="I98" s="235"/>
      <c r="J98" s="235"/>
      <c r="K98" s="235"/>
      <c r="L98" s="206"/>
      <c r="M98" s="213" t="str">
        <f t="shared" ca="1" si="2"/>
        <v>NA</v>
      </c>
      <c r="N98" s="229"/>
    </row>
    <row r="99" spans="1:14" ht="60" customHeight="1">
      <c r="A99" s="204">
        <v>96</v>
      </c>
      <c r="B99" s="205"/>
      <c r="C99" s="205"/>
      <c r="D99" s="225"/>
      <c r="E99" s="209"/>
      <c r="F99" s="209"/>
      <c r="G99" s="209"/>
      <c r="H99" s="225"/>
      <c r="I99" s="235"/>
      <c r="J99" s="235"/>
      <c r="K99" s="235"/>
      <c r="L99" s="206"/>
      <c r="M99" s="213" t="str">
        <f t="shared" ca="1" si="2"/>
        <v>NA</v>
      </c>
      <c r="N99" s="229"/>
    </row>
    <row r="100" spans="1:14" ht="60" customHeight="1">
      <c r="A100" s="204">
        <v>97</v>
      </c>
      <c r="B100" s="205"/>
      <c r="C100" s="205"/>
      <c r="D100" s="225"/>
      <c r="E100" s="209"/>
      <c r="F100" s="209"/>
      <c r="G100" s="209"/>
      <c r="H100" s="225"/>
      <c r="I100" s="235"/>
      <c r="J100" s="235"/>
      <c r="K100" s="235"/>
      <c r="L100" s="206"/>
      <c r="M100" s="213" t="str">
        <f t="shared" ca="1" si="2"/>
        <v>NA</v>
      </c>
      <c r="N100" s="229"/>
    </row>
    <row r="101" spans="1:14" ht="60" customHeight="1">
      <c r="A101" s="204">
        <v>98</v>
      </c>
      <c r="B101" s="205"/>
      <c r="C101" s="205"/>
      <c r="D101" s="225"/>
      <c r="E101" s="209"/>
      <c r="F101" s="209"/>
      <c r="G101" s="209"/>
      <c r="H101" s="225"/>
      <c r="I101" s="235"/>
      <c r="J101" s="235"/>
      <c r="K101" s="235"/>
      <c r="L101" s="206"/>
      <c r="M101" s="213" t="str">
        <f t="shared" ca="1" si="2"/>
        <v>NA</v>
      </c>
      <c r="N101" s="229"/>
    </row>
    <row r="102" spans="1:14" ht="60" customHeight="1">
      <c r="A102" s="204">
        <v>99</v>
      </c>
      <c r="B102" s="205"/>
      <c r="C102" s="205"/>
      <c r="D102" s="225"/>
      <c r="E102" s="209"/>
      <c r="F102" s="209"/>
      <c r="G102" s="209"/>
      <c r="H102" s="225"/>
      <c r="I102" s="235"/>
      <c r="J102" s="235"/>
      <c r="K102" s="235"/>
      <c r="L102" s="206"/>
      <c r="M102" s="213" t="str">
        <f t="shared" ca="1" si="2"/>
        <v>NA</v>
      </c>
      <c r="N102" s="229"/>
    </row>
    <row r="103" spans="1:14" ht="60" customHeight="1">
      <c r="A103" s="204">
        <v>100</v>
      </c>
      <c r="B103" s="205"/>
      <c r="C103" s="205"/>
      <c r="D103" s="225"/>
      <c r="E103" s="209"/>
      <c r="F103" s="209"/>
      <c r="G103" s="209"/>
      <c r="H103" s="225"/>
      <c r="I103" s="235"/>
      <c r="J103" s="235"/>
      <c r="K103" s="235"/>
      <c r="L103" s="206"/>
      <c r="M103" s="213" t="str">
        <f t="shared" ca="1" si="2"/>
        <v>NA</v>
      </c>
      <c r="N103" s="229"/>
    </row>
    <row r="104" spans="1:14" ht="60" customHeight="1">
      <c r="A104" s="204">
        <v>101</v>
      </c>
      <c r="B104" s="205"/>
      <c r="C104" s="205"/>
      <c r="D104" s="225"/>
      <c r="E104" s="209"/>
      <c r="F104" s="209"/>
      <c r="G104" s="209"/>
      <c r="H104" s="225"/>
      <c r="I104" s="235"/>
      <c r="J104" s="235"/>
      <c r="K104" s="235"/>
      <c r="L104" s="206"/>
      <c r="M104" s="213" t="str">
        <f t="shared" ca="1" si="2"/>
        <v>NA</v>
      </c>
      <c r="N104" s="229"/>
    </row>
    <row r="105" spans="1:14" ht="60" customHeight="1">
      <c r="A105" s="204">
        <v>102</v>
      </c>
      <c r="B105" s="205"/>
      <c r="C105" s="205"/>
      <c r="D105" s="225"/>
      <c r="E105" s="209"/>
      <c r="F105" s="209"/>
      <c r="G105" s="209"/>
      <c r="H105" s="225"/>
      <c r="I105" s="235"/>
      <c r="J105" s="235"/>
      <c r="K105" s="235"/>
      <c r="L105" s="206"/>
      <c r="M105" s="213" t="str">
        <f t="shared" ca="1" si="2"/>
        <v>NA</v>
      </c>
      <c r="N105" s="229"/>
    </row>
    <row r="106" spans="1:14" ht="60" customHeight="1">
      <c r="A106" s="204">
        <v>103</v>
      </c>
      <c r="B106" s="205"/>
      <c r="C106" s="205"/>
      <c r="D106" s="225"/>
      <c r="E106" s="209"/>
      <c r="F106" s="209"/>
      <c r="G106" s="209"/>
      <c r="H106" s="225"/>
      <c r="I106" s="235"/>
      <c r="J106" s="235"/>
      <c r="K106" s="235"/>
      <c r="L106" s="206"/>
      <c r="M106" s="213" t="str">
        <f t="shared" ca="1" si="2"/>
        <v>NA</v>
      </c>
      <c r="N106" s="229"/>
    </row>
    <row r="107" spans="1:14" ht="60" customHeight="1">
      <c r="A107" s="204">
        <v>104</v>
      </c>
      <c r="B107" s="205"/>
      <c r="C107" s="205"/>
      <c r="D107" s="225"/>
      <c r="E107" s="209"/>
      <c r="F107" s="209"/>
      <c r="G107" s="209"/>
      <c r="H107" s="225"/>
      <c r="I107" s="235"/>
      <c r="J107" s="235"/>
      <c r="K107" s="235"/>
      <c r="L107" s="206"/>
      <c r="M107" s="213" t="str">
        <f t="shared" ca="1" si="2"/>
        <v>NA</v>
      </c>
      <c r="N107" s="229"/>
    </row>
    <row r="108" spans="1:14" ht="60" customHeight="1">
      <c r="A108" s="204">
        <v>105</v>
      </c>
      <c r="B108" s="205"/>
      <c r="C108" s="205"/>
      <c r="D108" s="225"/>
      <c r="E108" s="209"/>
      <c r="F108" s="209"/>
      <c r="G108" s="209"/>
      <c r="H108" s="225"/>
      <c r="I108" s="235"/>
      <c r="J108" s="235"/>
      <c r="K108" s="235"/>
      <c r="L108" s="206"/>
      <c r="M108" s="213" t="str">
        <f t="shared" ca="1" si="2"/>
        <v>NA</v>
      </c>
      <c r="N108" s="229"/>
    </row>
    <row r="109" spans="1:14" ht="60" customHeight="1">
      <c r="A109" s="204">
        <v>106</v>
      </c>
      <c r="B109" s="205"/>
      <c r="C109" s="205"/>
      <c r="D109" s="225"/>
      <c r="E109" s="209"/>
      <c r="F109" s="209"/>
      <c r="G109" s="209"/>
      <c r="H109" s="225"/>
      <c r="I109" s="235"/>
      <c r="J109" s="235"/>
      <c r="K109" s="235"/>
      <c r="L109" s="206"/>
      <c r="M109" s="213" t="str">
        <f t="shared" ca="1" si="2"/>
        <v>NA</v>
      </c>
      <c r="N109" s="229"/>
    </row>
    <row r="110" spans="1:14" ht="60" customHeight="1">
      <c r="A110" s="204">
        <v>107</v>
      </c>
      <c r="B110" s="205"/>
      <c r="C110" s="205"/>
      <c r="D110" s="225"/>
      <c r="E110" s="209"/>
      <c r="F110" s="209"/>
      <c r="G110" s="209"/>
      <c r="H110" s="225"/>
      <c r="I110" s="235"/>
      <c r="J110" s="235"/>
      <c r="K110" s="235"/>
      <c r="L110" s="206"/>
      <c r="M110" s="213" t="str">
        <f t="shared" ca="1" si="2"/>
        <v>NA</v>
      </c>
      <c r="N110" s="229"/>
    </row>
    <row r="111" spans="1:14" ht="60" customHeight="1">
      <c r="A111" s="204">
        <v>108</v>
      </c>
      <c r="B111" s="205"/>
      <c r="C111" s="205"/>
      <c r="D111" s="225"/>
      <c r="E111" s="209"/>
      <c r="F111" s="209"/>
      <c r="G111" s="209"/>
      <c r="H111" s="225"/>
      <c r="I111" s="235"/>
      <c r="J111" s="235"/>
      <c r="K111" s="235"/>
      <c r="L111" s="206"/>
      <c r="M111" s="213" t="str">
        <f t="shared" ca="1" si="2"/>
        <v>NA</v>
      </c>
      <c r="N111" s="229"/>
    </row>
    <row r="112" spans="1:14" ht="60" customHeight="1">
      <c r="A112" s="204">
        <v>109</v>
      </c>
      <c r="B112" s="205"/>
      <c r="C112" s="205"/>
      <c r="D112" s="225"/>
      <c r="E112" s="209"/>
      <c r="F112" s="209"/>
      <c r="G112" s="209"/>
      <c r="H112" s="225"/>
      <c r="I112" s="235"/>
      <c r="J112" s="235"/>
      <c r="K112" s="235"/>
      <c r="L112" s="206"/>
      <c r="M112" s="213" t="str">
        <f t="shared" ca="1" si="2"/>
        <v>NA</v>
      </c>
      <c r="N112" s="229"/>
    </row>
    <row r="113" spans="1:14" ht="60" customHeight="1">
      <c r="A113" s="204">
        <v>110</v>
      </c>
      <c r="B113" s="205"/>
      <c r="C113" s="205"/>
      <c r="D113" s="225"/>
      <c r="E113" s="209"/>
      <c r="F113" s="209"/>
      <c r="G113" s="209"/>
      <c r="H113" s="225"/>
      <c r="I113" s="235"/>
      <c r="J113" s="235"/>
      <c r="K113" s="235"/>
      <c r="L113" s="206"/>
      <c r="M113" s="213" t="str">
        <f t="shared" ca="1" si="2"/>
        <v>NA</v>
      </c>
      <c r="N113" s="229"/>
    </row>
    <row r="114" spans="1:14" ht="60" customHeight="1">
      <c r="A114" s="204">
        <v>111</v>
      </c>
      <c r="B114" s="205"/>
      <c r="C114" s="205"/>
      <c r="D114" s="225"/>
      <c r="E114" s="209"/>
      <c r="F114" s="209"/>
      <c r="G114" s="209"/>
      <c r="H114" s="225"/>
      <c r="I114" s="235"/>
      <c r="J114" s="235"/>
      <c r="K114" s="235"/>
      <c r="L114" s="206"/>
      <c r="M114" s="213" t="str">
        <f t="shared" ca="1" si="2"/>
        <v>NA</v>
      </c>
      <c r="N114" s="229"/>
    </row>
    <row r="115" spans="1:14" ht="60" customHeight="1">
      <c r="A115" s="204">
        <v>112</v>
      </c>
      <c r="B115" s="205"/>
      <c r="C115" s="205"/>
      <c r="D115" s="225"/>
      <c r="E115" s="209"/>
      <c r="F115" s="209"/>
      <c r="G115" s="209"/>
      <c r="H115" s="225"/>
      <c r="I115" s="235"/>
      <c r="J115" s="235"/>
      <c r="K115" s="235"/>
      <c r="L115" s="206"/>
      <c r="M115" s="213" t="str">
        <f t="shared" ca="1" si="2"/>
        <v>NA</v>
      </c>
      <c r="N115" s="229"/>
    </row>
    <row r="116" spans="1:14" ht="60" customHeight="1">
      <c r="A116" s="204">
        <v>113</v>
      </c>
      <c r="B116" s="205"/>
      <c r="C116" s="205"/>
      <c r="D116" s="225"/>
      <c r="E116" s="209"/>
      <c r="F116" s="209"/>
      <c r="G116" s="209"/>
      <c r="H116" s="225"/>
      <c r="I116" s="235"/>
      <c r="J116" s="235"/>
      <c r="K116" s="235"/>
      <c r="L116" s="206"/>
      <c r="M116" s="213" t="str">
        <f t="shared" ca="1" si="2"/>
        <v>NA</v>
      </c>
      <c r="N116" s="229"/>
    </row>
    <row r="117" spans="1:14" ht="60" customHeight="1">
      <c r="A117" s="204">
        <v>114</v>
      </c>
      <c r="B117" s="205"/>
      <c r="C117" s="205"/>
      <c r="D117" s="225"/>
      <c r="E117" s="209"/>
      <c r="F117" s="209"/>
      <c r="G117" s="209"/>
      <c r="H117" s="225"/>
      <c r="I117" s="235"/>
      <c r="J117" s="235"/>
      <c r="K117" s="235"/>
      <c r="L117" s="206"/>
      <c r="M117" s="213" t="str">
        <f t="shared" ca="1" si="2"/>
        <v>NA</v>
      </c>
      <c r="N117" s="229"/>
    </row>
    <row r="118" spans="1:14" ht="60" customHeight="1">
      <c r="A118" s="204">
        <v>115</v>
      </c>
      <c r="B118" s="205"/>
      <c r="C118" s="205"/>
      <c r="D118" s="225"/>
      <c r="E118" s="209"/>
      <c r="F118" s="209"/>
      <c r="G118" s="209"/>
      <c r="H118" s="225"/>
      <c r="I118" s="235"/>
      <c r="J118" s="235"/>
      <c r="K118" s="235"/>
      <c r="L118" s="206"/>
      <c r="M118" s="213" t="str">
        <f t="shared" ca="1" si="2"/>
        <v>NA</v>
      </c>
      <c r="N118" s="229"/>
    </row>
    <row r="119" spans="1:14" ht="60" customHeight="1">
      <c r="A119" s="204">
        <v>116</v>
      </c>
      <c r="B119" s="205"/>
      <c r="C119" s="205"/>
      <c r="D119" s="225"/>
      <c r="E119" s="209"/>
      <c r="F119" s="209"/>
      <c r="G119" s="209"/>
      <c r="H119" s="225"/>
      <c r="I119" s="235"/>
      <c r="J119" s="235"/>
      <c r="K119" s="235"/>
      <c r="L119" s="206"/>
      <c r="M119" s="213" t="str">
        <f t="shared" ca="1" si="2"/>
        <v>NA</v>
      </c>
      <c r="N119" s="229"/>
    </row>
    <row r="120" spans="1:14" ht="60" customHeight="1">
      <c r="A120" s="204">
        <v>117</v>
      </c>
      <c r="B120" s="205"/>
      <c r="C120" s="205"/>
      <c r="D120" s="225"/>
      <c r="E120" s="209"/>
      <c r="F120" s="209"/>
      <c r="G120" s="209"/>
      <c r="H120" s="225"/>
      <c r="I120" s="235"/>
      <c r="J120" s="235"/>
      <c r="K120" s="235"/>
      <c r="L120" s="206"/>
      <c r="M120" s="213" t="str">
        <f t="shared" ca="1" si="2"/>
        <v>NA</v>
      </c>
      <c r="N120" s="229"/>
    </row>
    <row r="121" spans="1:14" ht="60" customHeight="1">
      <c r="A121" s="204">
        <v>118</v>
      </c>
      <c r="B121" s="205"/>
      <c r="C121" s="205"/>
      <c r="D121" s="225"/>
      <c r="E121" s="209"/>
      <c r="F121" s="209"/>
      <c r="G121" s="209"/>
      <c r="H121" s="225"/>
      <c r="I121" s="235"/>
      <c r="J121" s="235"/>
      <c r="K121" s="235"/>
      <c r="L121" s="206"/>
      <c r="M121" s="213" t="str">
        <f t="shared" ca="1" si="2"/>
        <v>NA</v>
      </c>
      <c r="N121" s="229"/>
    </row>
    <row r="122" spans="1:14" ht="60" customHeight="1">
      <c r="A122" s="204">
        <v>119</v>
      </c>
      <c r="B122" s="205"/>
      <c r="C122" s="205"/>
      <c r="D122" s="225"/>
      <c r="E122" s="209"/>
      <c r="F122" s="209"/>
      <c r="G122" s="209"/>
      <c r="H122" s="225"/>
      <c r="I122" s="235"/>
      <c r="J122" s="235"/>
      <c r="K122" s="235"/>
      <c r="L122" s="206"/>
      <c r="M122" s="213" t="str">
        <f t="shared" ca="1" si="2"/>
        <v>NA</v>
      </c>
      <c r="N122" s="229"/>
    </row>
    <row r="123" spans="1:14" ht="60" customHeight="1">
      <c r="A123" s="204">
        <v>120</v>
      </c>
      <c r="B123" s="205"/>
      <c r="C123" s="205"/>
      <c r="D123" s="225"/>
      <c r="E123" s="209"/>
      <c r="F123" s="209"/>
      <c r="G123" s="209"/>
      <c r="H123" s="225"/>
      <c r="I123" s="235"/>
      <c r="J123" s="235"/>
      <c r="K123" s="235"/>
      <c r="L123" s="206"/>
      <c r="M123" s="213" t="str">
        <f t="shared" ca="1" si="2"/>
        <v>NA</v>
      </c>
      <c r="N123" s="229"/>
    </row>
    <row r="124" spans="1:14" ht="60" customHeight="1">
      <c r="A124" s="204">
        <v>121</v>
      </c>
      <c r="B124" s="205"/>
      <c r="C124" s="205"/>
      <c r="D124" s="225"/>
      <c r="E124" s="209"/>
      <c r="F124" s="209"/>
      <c r="G124" s="209"/>
      <c r="H124" s="225"/>
      <c r="I124" s="235"/>
      <c r="J124" s="235"/>
      <c r="K124" s="235"/>
      <c r="L124" s="206"/>
      <c r="M124" s="213" t="str">
        <f t="shared" ca="1" si="2"/>
        <v>NA</v>
      </c>
      <c r="N124" s="229"/>
    </row>
    <row r="125" spans="1:14" ht="60" customHeight="1">
      <c r="A125" s="204">
        <v>122</v>
      </c>
      <c r="B125" s="205"/>
      <c r="C125" s="205"/>
      <c r="D125" s="225"/>
      <c r="E125" s="209"/>
      <c r="F125" s="209"/>
      <c r="G125" s="209"/>
      <c r="H125" s="225"/>
      <c r="I125" s="235"/>
      <c r="J125" s="235"/>
      <c r="K125" s="235"/>
      <c r="L125" s="206"/>
      <c r="M125" s="213" t="str">
        <f t="shared" ca="1" si="2"/>
        <v>NA</v>
      </c>
      <c r="N125" s="229"/>
    </row>
    <row r="126" spans="1:14" ht="60" customHeight="1">
      <c r="A126" s="204">
        <v>123</v>
      </c>
      <c r="B126" s="205"/>
      <c r="C126" s="205"/>
      <c r="D126" s="225"/>
      <c r="E126" s="209"/>
      <c r="F126" s="209"/>
      <c r="G126" s="209"/>
      <c r="H126" s="225"/>
      <c r="I126" s="235"/>
      <c r="J126" s="235"/>
      <c r="K126" s="235"/>
      <c r="L126" s="206"/>
      <c r="M126" s="213" t="str">
        <f t="shared" ca="1" si="2"/>
        <v>NA</v>
      </c>
      <c r="N126" s="229"/>
    </row>
    <row r="127" spans="1:14" ht="60" customHeight="1">
      <c r="A127" s="204">
        <v>124</v>
      </c>
      <c r="B127" s="205"/>
      <c r="C127" s="205"/>
      <c r="D127" s="225"/>
      <c r="E127" s="209"/>
      <c r="F127" s="209"/>
      <c r="G127" s="209"/>
      <c r="H127" s="225"/>
      <c r="I127" s="235"/>
      <c r="J127" s="235"/>
      <c r="K127" s="235"/>
      <c r="L127" s="206"/>
      <c r="M127" s="213" t="str">
        <f t="shared" ca="1" si="2"/>
        <v>NA</v>
      </c>
      <c r="N127" s="229"/>
    </row>
    <row r="128" spans="1:14" ht="60" customHeight="1">
      <c r="A128" s="204">
        <v>125</v>
      </c>
      <c r="B128" s="205"/>
      <c r="C128" s="205"/>
      <c r="D128" s="225"/>
      <c r="E128" s="209"/>
      <c r="F128" s="209"/>
      <c r="G128" s="209"/>
      <c r="H128" s="225"/>
      <c r="I128" s="235"/>
      <c r="J128" s="235"/>
      <c r="K128" s="235"/>
      <c r="L128" s="206"/>
      <c r="M128" s="213" t="str">
        <f t="shared" ca="1" si="2"/>
        <v>NA</v>
      </c>
      <c r="N128" s="229"/>
    </row>
    <row r="129" spans="1:14" ht="60" customHeight="1">
      <c r="A129" s="204">
        <v>126</v>
      </c>
      <c r="B129" s="205"/>
      <c r="C129" s="205"/>
      <c r="D129" s="225"/>
      <c r="E129" s="209"/>
      <c r="F129" s="209"/>
      <c r="G129" s="209"/>
      <c r="H129" s="225"/>
      <c r="I129" s="235"/>
      <c r="J129" s="235"/>
      <c r="K129" s="235"/>
      <c r="L129" s="206"/>
      <c r="M129" s="213" t="str">
        <f t="shared" ca="1" si="2"/>
        <v>NA</v>
      </c>
      <c r="N129" s="229"/>
    </row>
    <row r="130" spans="1:14" ht="60" customHeight="1">
      <c r="A130" s="204">
        <v>127</v>
      </c>
      <c r="B130" s="205"/>
      <c r="C130" s="205"/>
      <c r="D130" s="225"/>
      <c r="E130" s="209"/>
      <c r="F130" s="209"/>
      <c r="G130" s="209"/>
      <c r="H130" s="225"/>
      <c r="I130" s="235"/>
      <c r="J130" s="235"/>
      <c r="K130" s="235"/>
      <c r="L130" s="206"/>
      <c r="M130" s="213" t="str">
        <f t="shared" ca="1" si="2"/>
        <v>NA</v>
      </c>
      <c r="N130" s="229"/>
    </row>
    <row r="131" spans="1:14" ht="60" customHeight="1">
      <c r="A131" s="204">
        <v>128</v>
      </c>
      <c r="B131" s="205"/>
      <c r="C131" s="205"/>
      <c r="D131" s="225"/>
      <c r="E131" s="209"/>
      <c r="F131" s="209"/>
      <c r="G131" s="209"/>
      <c r="H131" s="225"/>
      <c r="I131" s="235"/>
      <c r="J131" s="235"/>
      <c r="K131" s="235"/>
      <c r="L131" s="206"/>
      <c r="M131" s="213" t="str">
        <f t="shared" ca="1" si="2"/>
        <v>NA</v>
      </c>
      <c r="N131" s="229"/>
    </row>
    <row r="132" spans="1:14" ht="60" customHeight="1">
      <c r="A132" s="204">
        <v>129</v>
      </c>
      <c r="B132" s="205"/>
      <c r="C132" s="205"/>
      <c r="D132" s="225"/>
      <c r="E132" s="209"/>
      <c r="F132" s="209"/>
      <c r="G132" s="209"/>
      <c r="H132" s="225"/>
      <c r="I132" s="235"/>
      <c r="J132" s="235"/>
      <c r="K132" s="235"/>
      <c r="L132" s="206"/>
      <c r="M132" s="213" t="str">
        <f t="shared" ca="1" si="2"/>
        <v>NA</v>
      </c>
      <c r="N132" s="229"/>
    </row>
    <row r="133" spans="1:14" ht="60" customHeight="1">
      <c r="A133" s="204">
        <v>130</v>
      </c>
      <c r="B133" s="205"/>
      <c r="C133" s="205"/>
      <c r="D133" s="225"/>
      <c r="E133" s="209"/>
      <c r="F133" s="209"/>
      <c r="G133" s="209"/>
      <c r="H133" s="225"/>
      <c r="I133" s="235"/>
      <c r="J133" s="235"/>
      <c r="K133" s="235"/>
      <c r="L133" s="206"/>
      <c r="M133" s="213" t="str">
        <f t="shared" ca="1" si="2"/>
        <v>NA</v>
      </c>
      <c r="N133" s="229"/>
    </row>
    <row r="134" spans="1:14" ht="60" customHeight="1">
      <c r="A134" s="204">
        <v>131</v>
      </c>
      <c r="B134" s="205"/>
      <c r="C134" s="205"/>
      <c r="D134" s="225"/>
      <c r="E134" s="209"/>
      <c r="F134" s="209"/>
      <c r="G134" s="209"/>
      <c r="H134" s="225"/>
      <c r="I134" s="235"/>
      <c r="J134" s="235"/>
      <c r="K134" s="235"/>
      <c r="L134" s="206"/>
      <c r="M134" s="213" t="str">
        <f t="shared" ca="1" si="2"/>
        <v>NA</v>
      </c>
      <c r="N134" s="229"/>
    </row>
    <row r="135" spans="1:14" ht="60" customHeight="1">
      <c r="A135" s="204">
        <v>132</v>
      </c>
      <c r="B135" s="205"/>
      <c r="C135" s="205"/>
      <c r="D135" s="225"/>
      <c r="E135" s="209"/>
      <c r="F135" s="209"/>
      <c r="G135" s="209"/>
      <c r="H135" s="225"/>
      <c r="I135" s="235"/>
      <c r="J135" s="235"/>
      <c r="K135" s="235"/>
      <c r="L135" s="206"/>
      <c r="M135" s="213" t="str">
        <f t="shared" ca="1" si="2"/>
        <v>NA</v>
      </c>
      <c r="N135" s="229"/>
    </row>
    <row r="136" spans="1:14" ht="60" customHeight="1">
      <c r="A136" s="204">
        <v>133</v>
      </c>
      <c r="B136" s="205"/>
      <c r="C136" s="205"/>
      <c r="D136" s="225"/>
      <c r="E136" s="209"/>
      <c r="F136" s="209"/>
      <c r="G136" s="209"/>
      <c r="H136" s="225"/>
      <c r="I136" s="235"/>
      <c r="J136" s="235"/>
      <c r="K136" s="235"/>
      <c r="L136" s="206"/>
      <c r="M136" s="213" t="str">
        <f t="shared" ca="1" si="2"/>
        <v>NA</v>
      </c>
      <c r="N136" s="229"/>
    </row>
    <row r="137" spans="1:14" ht="60" customHeight="1">
      <c r="A137" s="204">
        <v>134</v>
      </c>
      <c r="B137" s="205"/>
      <c r="C137" s="205"/>
      <c r="D137" s="225"/>
      <c r="E137" s="209"/>
      <c r="F137" s="209"/>
      <c r="G137" s="209"/>
      <c r="H137" s="225"/>
      <c r="I137" s="235"/>
      <c r="J137" s="235"/>
      <c r="K137" s="235"/>
      <c r="L137" s="206"/>
      <c r="M137" s="213" t="str">
        <f t="shared" ca="1" si="2"/>
        <v>NA</v>
      </c>
      <c r="N137" s="229"/>
    </row>
    <row r="138" spans="1:14" ht="60" customHeight="1">
      <c r="A138" s="204">
        <v>135</v>
      </c>
      <c r="B138" s="205"/>
      <c r="C138" s="205"/>
      <c r="D138" s="225"/>
      <c r="E138" s="209"/>
      <c r="F138" s="209"/>
      <c r="G138" s="209"/>
      <c r="H138" s="225"/>
      <c r="I138" s="235"/>
      <c r="J138" s="235"/>
      <c r="K138" s="235"/>
      <c r="L138" s="206"/>
      <c r="M138" s="213" t="str">
        <f t="shared" ca="1" si="2"/>
        <v>NA</v>
      </c>
      <c r="N138" s="229"/>
    </row>
    <row r="139" spans="1:14" ht="60" customHeight="1">
      <c r="A139" s="204">
        <v>136</v>
      </c>
      <c r="B139" s="205"/>
      <c r="C139" s="205"/>
      <c r="D139" s="225"/>
      <c r="E139" s="209"/>
      <c r="F139" s="209"/>
      <c r="G139" s="209"/>
      <c r="H139" s="225"/>
      <c r="I139" s="235"/>
      <c r="J139" s="235"/>
      <c r="K139" s="235"/>
      <c r="L139" s="206"/>
      <c r="M139" s="213" t="str">
        <f t="shared" ca="1" si="2"/>
        <v>NA</v>
      </c>
      <c r="N139" s="229"/>
    </row>
    <row r="140" spans="1:14" ht="60" customHeight="1">
      <c r="A140" s="204">
        <v>137</v>
      </c>
      <c r="B140" s="205"/>
      <c r="C140" s="205"/>
      <c r="D140" s="225"/>
      <c r="E140" s="209"/>
      <c r="F140" s="209"/>
      <c r="G140" s="209"/>
      <c r="H140" s="225"/>
      <c r="I140" s="235"/>
      <c r="J140" s="235"/>
      <c r="K140" s="235"/>
      <c r="L140" s="206"/>
      <c r="M140" s="213" t="str">
        <f t="shared" ca="1" si="2"/>
        <v>NA</v>
      </c>
      <c r="N140" s="229"/>
    </row>
    <row r="141" spans="1:14" ht="60" customHeight="1">
      <c r="A141" s="204">
        <v>138</v>
      </c>
      <c r="B141" s="205"/>
      <c r="C141" s="205"/>
      <c r="D141" s="225"/>
      <c r="E141" s="209"/>
      <c r="F141" s="209"/>
      <c r="G141" s="209"/>
      <c r="H141" s="225"/>
      <c r="I141" s="235"/>
      <c r="J141" s="235"/>
      <c r="K141" s="235"/>
      <c r="L141" s="206"/>
      <c r="M141" s="213" t="str">
        <f t="shared" ca="1" si="2"/>
        <v>NA</v>
      </c>
      <c r="N141" s="229"/>
    </row>
    <row r="142" spans="1:14" ht="60" customHeight="1">
      <c r="A142" s="204">
        <v>139</v>
      </c>
      <c r="B142" s="205"/>
      <c r="C142" s="205"/>
      <c r="D142" s="225"/>
      <c r="E142" s="209"/>
      <c r="F142" s="209"/>
      <c r="G142" s="209"/>
      <c r="H142" s="225"/>
      <c r="I142" s="235"/>
      <c r="J142" s="235"/>
      <c r="K142" s="235"/>
      <c r="L142" s="206"/>
      <c r="M142" s="213" t="str">
        <f t="shared" ca="1" si="2"/>
        <v>NA</v>
      </c>
      <c r="N142" s="229"/>
    </row>
    <row r="143" spans="1:14" ht="60" customHeight="1">
      <c r="A143" s="204">
        <v>140</v>
      </c>
      <c r="B143" s="205"/>
      <c r="C143" s="205"/>
      <c r="D143" s="225"/>
      <c r="E143" s="209"/>
      <c r="F143" s="209"/>
      <c r="G143" s="209"/>
      <c r="H143" s="225"/>
      <c r="I143" s="235"/>
      <c r="J143" s="235"/>
      <c r="K143" s="235"/>
      <c r="L143" s="206"/>
      <c r="M143" s="213" t="str">
        <f t="shared" ca="1" si="2"/>
        <v>NA</v>
      </c>
      <c r="N143" s="229"/>
    </row>
    <row r="144" spans="1:14" ht="60" customHeight="1">
      <c r="A144" s="204">
        <v>141</v>
      </c>
      <c r="B144" s="205"/>
      <c r="C144" s="205"/>
      <c r="D144" s="225"/>
      <c r="E144" s="209"/>
      <c r="F144" s="209"/>
      <c r="G144" s="209"/>
      <c r="H144" s="225"/>
      <c r="I144" s="235"/>
      <c r="J144" s="235"/>
      <c r="K144" s="235"/>
      <c r="L144" s="206"/>
      <c r="M144" s="213" t="str">
        <f t="shared" ca="1" si="2"/>
        <v>NA</v>
      </c>
      <c r="N144" s="229"/>
    </row>
    <row r="145" spans="1:14" ht="60" customHeight="1">
      <c r="A145" s="204">
        <v>142</v>
      </c>
      <c r="B145" s="205"/>
      <c r="C145" s="205"/>
      <c r="D145" s="225"/>
      <c r="E145" s="209"/>
      <c r="F145" s="209"/>
      <c r="G145" s="209"/>
      <c r="H145" s="225"/>
      <c r="I145" s="235"/>
      <c r="J145" s="235"/>
      <c r="K145" s="235"/>
      <c r="L145" s="206"/>
      <c r="M145" s="213" t="str">
        <f t="shared" ca="1" si="2"/>
        <v>NA</v>
      </c>
      <c r="N145" s="229"/>
    </row>
    <row r="146" spans="1:14" ht="60" customHeight="1">
      <c r="A146" s="204">
        <v>143</v>
      </c>
      <c r="B146" s="205"/>
      <c r="C146" s="205"/>
      <c r="D146" s="225"/>
      <c r="E146" s="209"/>
      <c r="F146" s="209"/>
      <c r="G146" s="209"/>
      <c r="H146" s="225"/>
      <c r="I146" s="235"/>
      <c r="J146" s="235"/>
      <c r="K146" s="235"/>
      <c r="L146" s="206"/>
      <c r="M146" s="213" t="str">
        <f t="shared" ca="1" si="2"/>
        <v>NA</v>
      </c>
      <c r="N146" s="229"/>
    </row>
    <row r="147" spans="1:14" ht="60" customHeight="1">
      <c r="A147" s="204">
        <v>144</v>
      </c>
      <c r="B147" s="205"/>
      <c r="C147" s="205"/>
      <c r="D147" s="225"/>
      <c r="E147" s="209"/>
      <c r="F147" s="209"/>
      <c r="G147" s="209"/>
      <c r="H147" s="225"/>
      <c r="I147" s="235"/>
      <c r="J147" s="235"/>
      <c r="K147" s="235"/>
      <c r="L147" s="206"/>
      <c r="M147" s="213" t="str">
        <f t="shared" ca="1" si="2"/>
        <v>NA</v>
      </c>
      <c r="N147" s="229"/>
    </row>
    <row r="148" spans="1:14" ht="60" customHeight="1">
      <c r="A148" s="204">
        <v>145</v>
      </c>
      <c r="B148" s="205"/>
      <c r="C148" s="205"/>
      <c r="D148" s="225"/>
      <c r="E148" s="209"/>
      <c r="F148" s="209"/>
      <c r="G148" s="209"/>
      <c r="H148" s="225"/>
      <c r="I148" s="235"/>
      <c r="J148" s="235"/>
      <c r="K148" s="235"/>
      <c r="L148" s="206"/>
      <c r="M148" s="213" t="str">
        <f t="shared" ca="1" si="2"/>
        <v>NA</v>
      </c>
      <c r="N148" s="229"/>
    </row>
    <row r="149" spans="1:14" ht="60" customHeight="1">
      <c r="A149" s="204">
        <v>146</v>
      </c>
      <c r="B149" s="205"/>
      <c r="C149" s="205"/>
      <c r="D149" s="225"/>
      <c r="E149" s="209"/>
      <c r="F149" s="209"/>
      <c r="G149" s="209"/>
      <c r="H149" s="225"/>
      <c r="I149" s="235"/>
      <c r="J149" s="235"/>
      <c r="K149" s="235"/>
      <c r="L149" s="206"/>
      <c r="M149" s="213" t="str">
        <f t="shared" ca="1" si="2"/>
        <v>NA</v>
      </c>
      <c r="N149" s="229"/>
    </row>
    <row r="150" spans="1:14" ht="60" customHeight="1">
      <c r="A150" s="204">
        <v>147</v>
      </c>
      <c r="B150" s="205"/>
      <c r="C150" s="205"/>
      <c r="D150" s="225"/>
      <c r="E150" s="209"/>
      <c r="F150" s="209"/>
      <c r="G150" s="209"/>
      <c r="H150" s="225"/>
      <c r="I150" s="235"/>
      <c r="J150" s="235"/>
      <c r="K150" s="235"/>
      <c r="L150" s="206"/>
      <c r="M150" s="213" t="str">
        <f t="shared" ca="1" si="2"/>
        <v>NA</v>
      </c>
      <c r="N150" s="229"/>
    </row>
    <row r="151" spans="1:14" ht="60" customHeight="1">
      <c r="A151" s="204">
        <v>148</v>
      </c>
      <c r="B151" s="205"/>
      <c r="C151" s="205"/>
      <c r="D151" s="225"/>
      <c r="E151" s="209"/>
      <c r="F151" s="209"/>
      <c r="G151" s="209"/>
      <c r="H151" s="225"/>
      <c r="I151" s="235"/>
      <c r="J151" s="235"/>
      <c r="K151" s="235"/>
      <c r="L151" s="206"/>
      <c r="M151" s="213" t="str">
        <f t="shared" ca="1" si="2"/>
        <v>NA</v>
      </c>
      <c r="N151" s="229"/>
    </row>
    <row r="152" spans="1:14" ht="60" customHeight="1">
      <c r="A152" s="204">
        <v>149</v>
      </c>
      <c r="B152" s="205"/>
      <c r="C152" s="205"/>
      <c r="D152" s="225"/>
      <c r="E152" s="209"/>
      <c r="F152" s="209"/>
      <c r="G152" s="209"/>
      <c r="H152" s="225"/>
      <c r="I152" s="235"/>
      <c r="J152" s="235"/>
      <c r="K152" s="235"/>
      <c r="L152" s="206"/>
      <c r="M152" s="213" t="str">
        <f t="shared" ca="1" si="2"/>
        <v>NA</v>
      </c>
      <c r="N152" s="229"/>
    </row>
    <row r="153" spans="1:14" ht="60" customHeight="1">
      <c r="A153" s="204">
        <v>150</v>
      </c>
      <c r="B153" s="205"/>
      <c r="C153" s="205"/>
      <c r="D153" s="225"/>
      <c r="E153" s="209"/>
      <c r="F153" s="209"/>
      <c r="G153" s="209"/>
      <c r="H153" s="225"/>
      <c r="I153" s="235"/>
      <c r="J153" s="235"/>
      <c r="K153" s="235"/>
      <c r="L153" s="206"/>
      <c r="M153" s="213" t="str">
        <f t="shared" ca="1" si="2"/>
        <v>NA</v>
      </c>
      <c r="N153" s="229"/>
    </row>
    <row r="154" spans="1:14" ht="60" customHeight="1">
      <c r="A154" s="204">
        <v>151</v>
      </c>
      <c r="B154" s="205"/>
      <c r="C154" s="205"/>
      <c r="D154" s="225"/>
      <c r="E154" s="209"/>
      <c r="F154" s="209"/>
      <c r="G154" s="209"/>
      <c r="H154" s="225"/>
      <c r="I154" s="235"/>
      <c r="J154" s="235"/>
      <c r="K154" s="235"/>
      <c r="L154" s="206"/>
      <c r="M154" s="213" t="str">
        <f t="shared" ca="1" si="2"/>
        <v>NA</v>
      </c>
      <c r="N154" s="229"/>
    </row>
    <row r="155" spans="1:14" ht="60" customHeight="1">
      <c r="A155" s="204">
        <v>152</v>
      </c>
      <c r="B155" s="205"/>
      <c r="C155" s="205"/>
      <c r="D155" s="225"/>
      <c r="E155" s="209"/>
      <c r="F155" s="209"/>
      <c r="G155" s="209"/>
      <c r="H155" s="225"/>
      <c r="I155" s="235"/>
      <c r="J155" s="235"/>
      <c r="K155" s="235"/>
      <c r="L155" s="206"/>
      <c r="M155" s="213" t="str">
        <f t="shared" ref="M155:M218" ca="1" si="3">IF(AND(J155="",K155=""),"NA",IFERROR(IF(L155="closed","完成",TEXT(J155-TODAY(),"還有0天;逾期0天;今天到期")),"NA"))</f>
        <v>NA</v>
      </c>
      <c r="N155" s="229"/>
    </row>
    <row r="156" spans="1:14" ht="60" customHeight="1">
      <c r="A156" s="204">
        <v>153</v>
      </c>
      <c r="B156" s="205"/>
      <c r="C156" s="205"/>
      <c r="D156" s="225"/>
      <c r="E156" s="209"/>
      <c r="F156" s="209"/>
      <c r="G156" s="209"/>
      <c r="H156" s="225"/>
      <c r="I156" s="235"/>
      <c r="J156" s="235"/>
      <c r="K156" s="235"/>
      <c r="L156" s="206"/>
      <c r="M156" s="213" t="str">
        <f t="shared" ca="1" si="3"/>
        <v>NA</v>
      </c>
      <c r="N156" s="229"/>
    </row>
    <row r="157" spans="1:14" ht="60" customHeight="1">
      <c r="A157" s="204">
        <v>154</v>
      </c>
      <c r="B157" s="205"/>
      <c r="C157" s="205"/>
      <c r="D157" s="225"/>
      <c r="E157" s="209"/>
      <c r="F157" s="209"/>
      <c r="G157" s="209"/>
      <c r="H157" s="225"/>
      <c r="I157" s="235"/>
      <c r="J157" s="235"/>
      <c r="K157" s="235"/>
      <c r="L157" s="206"/>
      <c r="M157" s="213" t="str">
        <f t="shared" ca="1" si="3"/>
        <v>NA</v>
      </c>
      <c r="N157" s="229"/>
    </row>
    <row r="158" spans="1:14" ht="60" customHeight="1">
      <c r="A158" s="204">
        <v>155</v>
      </c>
      <c r="B158" s="205"/>
      <c r="C158" s="205"/>
      <c r="D158" s="225"/>
      <c r="E158" s="209"/>
      <c r="F158" s="209"/>
      <c r="G158" s="209"/>
      <c r="H158" s="225"/>
      <c r="I158" s="235"/>
      <c r="J158" s="235"/>
      <c r="K158" s="235"/>
      <c r="L158" s="206"/>
      <c r="M158" s="213" t="str">
        <f t="shared" ca="1" si="3"/>
        <v>NA</v>
      </c>
      <c r="N158" s="229"/>
    </row>
    <row r="159" spans="1:14" ht="60" customHeight="1">
      <c r="A159" s="204">
        <v>156</v>
      </c>
      <c r="B159" s="205"/>
      <c r="C159" s="205"/>
      <c r="D159" s="225"/>
      <c r="E159" s="209"/>
      <c r="F159" s="209"/>
      <c r="G159" s="209"/>
      <c r="H159" s="225"/>
      <c r="I159" s="235"/>
      <c r="J159" s="235"/>
      <c r="K159" s="235"/>
      <c r="L159" s="206"/>
      <c r="M159" s="213" t="str">
        <f t="shared" ca="1" si="3"/>
        <v>NA</v>
      </c>
      <c r="N159" s="229"/>
    </row>
    <row r="160" spans="1:14" ht="60" customHeight="1">
      <c r="A160" s="204">
        <v>157</v>
      </c>
      <c r="B160" s="205"/>
      <c r="C160" s="205"/>
      <c r="D160" s="225"/>
      <c r="E160" s="209"/>
      <c r="F160" s="209"/>
      <c r="G160" s="209"/>
      <c r="H160" s="225"/>
      <c r="I160" s="235"/>
      <c r="J160" s="235"/>
      <c r="K160" s="235"/>
      <c r="L160" s="206"/>
      <c r="M160" s="213" t="str">
        <f t="shared" ca="1" si="3"/>
        <v>NA</v>
      </c>
      <c r="N160" s="229"/>
    </row>
    <row r="161" spans="1:14" ht="60" customHeight="1">
      <c r="A161" s="204">
        <v>158</v>
      </c>
      <c r="B161" s="205"/>
      <c r="C161" s="205"/>
      <c r="D161" s="225"/>
      <c r="E161" s="209"/>
      <c r="F161" s="209"/>
      <c r="G161" s="209"/>
      <c r="H161" s="225"/>
      <c r="I161" s="235"/>
      <c r="J161" s="235"/>
      <c r="K161" s="235"/>
      <c r="L161" s="206"/>
      <c r="M161" s="213" t="str">
        <f t="shared" ca="1" si="3"/>
        <v>NA</v>
      </c>
      <c r="N161" s="229"/>
    </row>
    <row r="162" spans="1:14" ht="60" customHeight="1">
      <c r="A162" s="204">
        <v>159</v>
      </c>
      <c r="B162" s="205"/>
      <c r="C162" s="205"/>
      <c r="D162" s="225"/>
      <c r="E162" s="209"/>
      <c r="F162" s="209"/>
      <c r="G162" s="209"/>
      <c r="H162" s="225"/>
      <c r="I162" s="235"/>
      <c r="J162" s="235"/>
      <c r="K162" s="235"/>
      <c r="L162" s="206"/>
      <c r="M162" s="213" t="str">
        <f t="shared" ca="1" si="3"/>
        <v>NA</v>
      </c>
      <c r="N162" s="229"/>
    </row>
    <row r="163" spans="1:14" ht="60" customHeight="1">
      <c r="A163" s="204">
        <v>160</v>
      </c>
      <c r="B163" s="205"/>
      <c r="C163" s="205"/>
      <c r="D163" s="225"/>
      <c r="E163" s="209"/>
      <c r="F163" s="209"/>
      <c r="G163" s="209"/>
      <c r="H163" s="225"/>
      <c r="I163" s="235"/>
      <c r="J163" s="235"/>
      <c r="K163" s="235"/>
      <c r="L163" s="206"/>
      <c r="M163" s="213" t="str">
        <f t="shared" ca="1" si="3"/>
        <v>NA</v>
      </c>
      <c r="N163" s="252"/>
    </row>
    <row r="164" spans="1:14" ht="60" customHeight="1">
      <c r="A164" s="204">
        <v>161</v>
      </c>
      <c r="B164" s="205"/>
      <c r="C164" s="205"/>
      <c r="D164" s="225"/>
      <c r="E164" s="209"/>
      <c r="F164" s="209"/>
      <c r="G164" s="209"/>
      <c r="H164" s="225"/>
      <c r="I164" s="235"/>
      <c r="J164" s="235"/>
      <c r="K164" s="235"/>
      <c r="L164" s="206"/>
      <c r="M164" s="213" t="str">
        <f t="shared" ca="1" si="3"/>
        <v>NA</v>
      </c>
      <c r="N164" s="229"/>
    </row>
    <row r="165" spans="1:14" ht="60" customHeight="1">
      <c r="A165" s="204">
        <v>162</v>
      </c>
      <c r="B165" s="205"/>
      <c r="C165" s="205"/>
      <c r="D165" s="225"/>
      <c r="E165" s="209"/>
      <c r="F165" s="209"/>
      <c r="G165" s="209"/>
      <c r="H165" s="225"/>
      <c r="I165" s="235"/>
      <c r="J165" s="235"/>
      <c r="K165" s="235"/>
      <c r="L165" s="206"/>
      <c r="M165" s="213" t="str">
        <f t="shared" ca="1" si="3"/>
        <v>NA</v>
      </c>
      <c r="N165" s="229"/>
    </row>
    <row r="166" spans="1:14" ht="60" customHeight="1">
      <c r="A166" s="204">
        <v>163</v>
      </c>
      <c r="B166" s="205"/>
      <c r="C166" s="205"/>
      <c r="D166" s="225"/>
      <c r="E166" s="209"/>
      <c r="F166" s="209"/>
      <c r="G166" s="209"/>
      <c r="H166" s="225"/>
      <c r="I166" s="235"/>
      <c r="J166" s="235"/>
      <c r="K166" s="235"/>
      <c r="L166" s="206"/>
      <c r="M166" s="213" t="str">
        <f t="shared" ca="1" si="3"/>
        <v>NA</v>
      </c>
      <c r="N166" s="229"/>
    </row>
    <row r="167" spans="1:14" ht="60" customHeight="1">
      <c r="A167" s="204">
        <v>164</v>
      </c>
      <c r="B167" s="205"/>
      <c r="C167" s="205"/>
      <c r="D167" s="225"/>
      <c r="E167" s="209"/>
      <c r="F167" s="209"/>
      <c r="G167" s="209"/>
      <c r="H167" s="225"/>
      <c r="I167" s="235"/>
      <c r="J167" s="235"/>
      <c r="K167" s="235"/>
      <c r="L167" s="206"/>
      <c r="M167" s="213" t="str">
        <f t="shared" ca="1" si="3"/>
        <v>NA</v>
      </c>
      <c r="N167" s="229"/>
    </row>
    <row r="168" spans="1:14" ht="60" customHeight="1">
      <c r="A168" s="204">
        <v>165</v>
      </c>
      <c r="B168" s="205"/>
      <c r="C168" s="205"/>
      <c r="D168" s="225"/>
      <c r="E168" s="209"/>
      <c r="F168" s="209"/>
      <c r="G168" s="209"/>
      <c r="H168" s="225"/>
      <c r="I168" s="235"/>
      <c r="J168" s="235"/>
      <c r="K168" s="235"/>
      <c r="L168" s="206"/>
      <c r="M168" s="213" t="str">
        <f t="shared" ca="1" si="3"/>
        <v>NA</v>
      </c>
      <c r="N168" s="229"/>
    </row>
    <row r="169" spans="1:14" ht="60" customHeight="1">
      <c r="A169" s="204">
        <v>166</v>
      </c>
      <c r="B169" s="205"/>
      <c r="C169" s="205"/>
      <c r="D169" s="225"/>
      <c r="E169" s="209"/>
      <c r="F169" s="209"/>
      <c r="G169" s="209"/>
      <c r="H169" s="225"/>
      <c r="I169" s="235"/>
      <c r="J169" s="235"/>
      <c r="K169" s="235"/>
      <c r="L169" s="206"/>
      <c r="M169" s="213" t="str">
        <f t="shared" ca="1" si="3"/>
        <v>NA</v>
      </c>
      <c r="N169" s="229"/>
    </row>
    <row r="170" spans="1:14" ht="60" customHeight="1">
      <c r="A170" s="204">
        <v>167</v>
      </c>
      <c r="B170" s="205"/>
      <c r="C170" s="205"/>
      <c r="D170" s="225"/>
      <c r="E170" s="209"/>
      <c r="F170" s="209"/>
      <c r="G170" s="209"/>
      <c r="H170" s="225"/>
      <c r="I170" s="235"/>
      <c r="J170" s="235"/>
      <c r="K170" s="235"/>
      <c r="L170" s="206"/>
      <c r="M170" s="213" t="str">
        <f t="shared" ca="1" si="3"/>
        <v>NA</v>
      </c>
      <c r="N170" s="229"/>
    </row>
    <row r="171" spans="1:14" ht="60" customHeight="1">
      <c r="A171" s="204">
        <v>168</v>
      </c>
      <c r="B171" s="205"/>
      <c r="C171" s="205"/>
      <c r="D171" s="225"/>
      <c r="E171" s="209"/>
      <c r="F171" s="209"/>
      <c r="G171" s="209"/>
      <c r="H171" s="225"/>
      <c r="I171" s="235"/>
      <c r="J171" s="235"/>
      <c r="K171" s="235"/>
      <c r="L171" s="206"/>
      <c r="M171" s="213" t="str">
        <f t="shared" ca="1" si="3"/>
        <v>NA</v>
      </c>
      <c r="N171" s="229"/>
    </row>
    <row r="172" spans="1:14" ht="60" customHeight="1">
      <c r="A172" s="204">
        <v>169</v>
      </c>
      <c r="B172" s="205"/>
      <c r="C172" s="205"/>
      <c r="D172" s="225"/>
      <c r="E172" s="209"/>
      <c r="F172" s="209"/>
      <c r="G172" s="209"/>
      <c r="H172" s="225"/>
      <c r="I172" s="235"/>
      <c r="J172" s="235"/>
      <c r="K172" s="235"/>
      <c r="L172" s="206"/>
      <c r="M172" s="213" t="str">
        <f t="shared" ca="1" si="3"/>
        <v>NA</v>
      </c>
      <c r="N172" s="229"/>
    </row>
    <row r="173" spans="1:14" ht="60" customHeight="1">
      <c r="A173" s="204">
        <v>170</v>
      </c>
      <c r="B173" s="205"/>
      <c r="C173" s="205"/>
      <c r="D173" s="225"/>
      <c r="E173" s="209"/>
      <c r="F173" s="209"/>
      <c r="G173" s="209"/>
      <c r="H173" s="225"/>
      <c r="I173" s="235"/>
      <c r="J173" s="235"/>
      <c r="K173" s="235"/>
      <c r="L173" s="206"/>
      <c r="M173" s="213" t="str">
        <f t="shared" ca="1" si="3"/>
        <v>NA</v>
      </c>
      <c r="N173" s="229"/>
    </row>
    <row r="174" spans="1:14" ht="60" customHeight="1">
      <c r="A174" s="204">
        <v>171</v>
      </c>
      <c r="B174" s="205"/>
      <c r="C174" s="205"/>
      <c r="D174" s="225"/>
      <c r="E174" s="209"/>
      <c r="F174" s="209"/>
      <c r="G174" s="209"/>
      <c r="H174" s="225"/>
      <c r="I174" s="235"/>
      <c r="J174" s="235"/>
      <c r="K174" s="235"/>
      <c r="L174" s="206"/>
      <c r="M174" s="213" t="str">
        <f t="shared" ca="1" si="3"/>
        <v>NA</v>
      </c>
      <c r="N174" s="229"/>
    </row>
    <row r="175" spans="1:14" ht="60" customHeight="1">
      <c r="A175" s="204">
        <v>172</v>
      </c>
      <c r="B175" s="205"/>
      <c r="C175" s="205"/>
      <c r="D175" s="225"/>
      <c r="E175" s="209"/>
      <c r="F175" s="209"/>
      <c r="G175" s="209"/>
      <c r="H175" s="225"/>
      <c r="I175" s="235"/>
      <c r="J175" s="235"/>
      <c r="K175" s="235"/>
      <c r="L175" s="206"/>
      <c r="M175" s="213" t="str">
        <f t="shared" ca="1" si="3"/>
        <v>NA</v>
      </c>
      <c r="N175" s="229"/>
    </row>
    <row r="176" spans="1:14" ht="60" customHeight="1">
      <c r="A176" s="204">
        <v>173</v>
      </c>
      <c r="B176" s="205"/>
      <c r="C176" s="205"/>
      <c r="D176" s="225"/>
      <c r="E176" s="209"/>
      <c r="F176" s="209"/>
      <c r="G176" s="209"/>
      <c r="H176" s="225"/>
      <c r="I176" s="235"/>
      <c r="J176" s="235"/>
      <c r="K176" s="235"/>
      <c r="L176" s="206"/>
      <c r="M176" s="213" t="str">
        <f t="shared" ca="1" si="3"/>
        <v>NA</v>
      </c>
      <c r="N176" s="229"/>
    </row>
    <row r="177" spans="1:14" ht="60" customHeight="1">
      <c r="A177" s="204">
        <v>174</v>
      </c>
      <c r="B177" s="205"/>
      <c r="C177" s="205"/>
      <c r="D177" s="225"/>
      <c r="E177" s="209"/>
      <c r="F177" s="209"/>
      <c r="G177" s="209"/>
      <c r="H177" s="225"/>
      <c r="I177" s="235"/>
      <c r="J177" s="235"/>
      <c r="K177" s="235"/>
      <c r="L177" s="206"/>
      <c r="M177" s="213" t="str">
        <f t="shared" ca="1" si="3"/>
        <v>NA</v>
      </c>
      <c r="N177" s="229"/>
    </row>
    <row r="178" spans="1:14" ht="60" customHeight="1">
      <c r="A178" s="204">
        <v>175</v>
      </c>
      <c r="B178" s="205"/>
      <c r="C178" s="205"/>
      <c r="D178" s="225"/>
      <c r="E178" s="209"/>
      <c r="F178" s="209"/>
      <c r="G178" s="209"/>
      <c r="H178" s="225"/>
      <c r="I178" s="235"/>
      <c r="J178" s="235"/>
      <c r="K178" s="235"/>
      <c r="L178" s="206"/>
      <c r="M178" s="213" t="str">
        <f t="shared" ca="1" si="3"/>
        <v>NA</v>
      </c>
      <c r="N178" s="229"/>
    </row>
    <row r="179" spans="1:14" ht="60" customHeight="1">
      <c r="A179" s="204">
        <v>176</v>
      </c>
      <c r="B179" s="205"/>
      <c r="C179" s="205"/>
      <c r="D179" s="225"/>
      <c r="E179" s="209"/>
      <c r="F179" s="209"/>
      <c r="G179" s="209"/>
      <c r="H179" s="225"/>
      <c r="I179" s="235"/>
      <c r="J179" s="235"/>
      <c r="K179" s="235"/>
      <c r="L179" s="206"/>
      <c r="M179" s="213" t="str">
        <f t="shared" ca="1" si="3"/>
        <v>NA</v>
      </c>
      <c r="N179" s="229"/>
    </row>
    <row r="180" spans="1:14" ht="60" customHeight="1">
      <c r="A180" s="204">
        <v>177</v>
      </c>
      <c r="B180" s="205"/>
      <c r="C180" s="205"/>
      <c r="D180" s="225"/>
      <c r="E180" s="209"/>
      <c r="F180" s="209"/>
      <c r="G180" s="209"/>
      <c r="H180" s="225"/>
      <c r="I180" s="235"/>
      <c r="J180" s="235"/>
      <c r="K180" s="235"/>
      <c r="L180" s="206"/>
      <c r="M180" s="213" t="str">
        <f t="shared" ca="1" si="3"/>
        <v>NA</v>
      </c>
      <c r="N180" s="229"/>
    </row>
    <row r="181" spans="1:14" ht="60" customHeight="1">
      <c r="A181" s="204">
        <v>178</v>
      </c>
      <c r="B181" s="205"/>
      <c r="C181" s="205"/>
      <c r="D181" s="225"/>
      <c r="E181" s="209"/>
      <c r="F181" s="209"/>
      <c r="G181" s="209"/>
      <c r="H181" s="225"/>
      <c r="I181" s="235"/>
      <c r="J181" s="235"/>
      <c r="K181" s="235"/>
      <c r="L181" s="206"/>
      <c r="M181" s="213" t="str">
        <f t="shared" ca="1" si="3"/>
        <v>NA</v>
      </c>
      <c r="N181" s="229"/>
    </row>
    <row r="182" spans="1:14" ht="60" customHeight="1">
      <c r="A182" s="204">
        <v>179</v>
      </c>
      <c r="B182" s="205"/>
      <c r="C182" s="205"/>
      <c r="D182" s="225"/>
      <c r="E182" s="209"/>
      <c r="F182" s="209"/>
      <c r="G182" s="209"/>
      <c r="H182" s="225"/>
      <c r="I182" s="235"/>
      <c r="J182" s="235"/>
      <c r="K182" s="235"/>
      <c r="L182" s="206"/>
      <c r="M182" s="213" t="str">
        <f t="shared" ca="1" si="3"/>
        <v>NA</v>
      </c>
      <c r="N182" s="229"/>
    </row>
    <row r="183" spans="1:14" ht="60" customHeight="1">
      <c r="A183" s="204">
        <v>180</v>
      </c>
      <c r="B183" s="205"/>
      <c r="C183" s="205"/>
      <c r="D183" s="225"/>
      <c r="E183" s="209"/>
      <c r="F183" s="209"/>
      <c r="G183" s="209"/>
      <c r="H183" s="225"/>
      <c r="I183" s="235"/>
      <c r="J183" s="235"/>
      <c r="K183" s="235"/>
      <c r="L183" s="206"/>
      <c r="M183" s="213" t="str">
        <f t="shared" ca="1" si="3"/>
        <v>NA</v>
      </c>
      <c r="N183" s="229"/>
    </row>
    <row r="184" spans="1:14" ht="60" customHeight="1">
      <c r="A184" s="204">
        <v>181</v>
      </c>
      <c r="B184" s="205"/>
      <c r="C184" s="205"/>
      <c r="D184" s="225"/>
      <c r="E184" s="209"/>
      <c r="F184" s="209"/>
      <c r="G184" s="209"/>
      <c r="H184" s="225"/>
      <c r="I184" s="235"/>
      <c r="J184" s="235"/>
      <c r="K184" s="235"/>
      <c r="L184" s="206"/>
      <c r="M184" s="213" t="str">
        <f t="shared" ca="1" si="3"/>
        <v>NA</v>
      </c>
      <c r="N184" s="229"/>
    </row>
    <row r="185" spans="1:14" ht="60" customHeight="1">
      <c r="A185" s="204">
        <v>182</v>
      </c>
      <c r="B185" s="205"/>
      <c r="C185" s="205"/>
      <c r="D185" s="225"/>
      <c r="E185" s="209"/>
      <c r="F185" s="209"/>
      <c r="G185" s="209"/>
      <c r="H185" s="225"/>
      <c r="I185" s="235"/>
      <c r="J185" s="235"/>
      <c r="K185" s="235"/>
      <c r="L185" s="206"/>
      <c r="M185" s="213" t="str">
        <f t="shared" ca="1" si="3"/>
        <v>NA</v>
      </c>
      <c r="N185" s="229"/>
    </row>
    <row r="186" spans="1:14" ht="60" customHeight="1">
      <c r="A186" s="204">
        <v>183</v>
      </c>
      <c r="B186" s="205"/>
      <c r="C186" s="205"/>
      <c r="D186" s="225"/>
      <c r="E186" s="209"/>
      <c r="F186" s="209"/>
      <c r="G186" s="209"/>
      <c r="H186" s="225"/>
      <c r="I186" s="235"/>
      <c r="J186" s="235"/>
      <c r="K186" s="235"/>
      <c r="L186" s="206"/>
      <c r="M186" s="213" t="str">
        <f t="shared" ca="1" si="3"/>
        <v>NA</v>
      </c>
      <c r="N186" s="229"/>
    </row>
    <row r="187" spans="1:14" ht="60" customHeight="1">
      <c r="A187" s="204">
        <v>184</v>
      </c>
      <c r="B187" s="205"/>
      <c r="C187" s="205"/>
      <c r="D187" s="225"/>
      <c r="E187" s="209"/>
      <c r="F187" s="209"/>
      <c r="G187" s="209"/>
      <c r="H187" s="225"/>
      <c r="I187" s="235"/>
      <c r="J187" s="235"/>
      <c r="K187" s="235"/>
      <c r="L187" s="206"/>
      <c r="M187" s="213" t="str">
        <f t="shared" ca="1" si="3"/>
        <v>NA</v>
      </c>
      <c r="N187" s="252"/>
    </row>
    <row r="188" spans="1:14" ht="60" customHeight="1">
      <c r="A188" s="204">
        <v>185</v>
      </c>
      <c r="B188" s="205"/>
      <c r="C188" s="205"/>
      <c r="D188" s="225"/>
      <c r="E188" s="209"/>
      <c r="F188" s="209"/>
      <c r="G188" s="209"/>
      <c r="H188" s="225"/>
      <c r="I188" s="235"/>
      <c r="J188" s="235"/>
      <c r="K188" s="235"/>
      <c r="L188" s="206"/>
      <c r="M188" s="213" t="str">
        <f t="shared" ca="1" si="3"/>
        <v>NA</v>
      </c>
      <c r="N188" s="229"/>
    </row>
    <row r="189" spans="1:14" ht="60" customHeight="1">
      <c r="A189" s="204">
        <v>186</v>
      </c>
      <c r="B189" s="205"/>
      <c r="C189" s="205"/>
      <c r="D189" s="225"/>
      <c r="E189" s="209"/>
      <c r="F189" s="209"/>
      <c r="G189" s="209"/>
      <c r="H189" s="225"/>
      <c r="I189" s="235"/>
      <c r="J189" s="235"/>
      <c r="K189" s="235"/>
      <c r="L189" s="206"/>
      <c r="M189" s="213" t="str">
        <f t="shared" ca="1" si="3"/>
        <v>NA</v>
      </c>
      <c r="N189" s="229"/>
    </row>
    <row r="190" spans="1:14" ht="60" customHeight="1">
      <c r="A190" s="204">
        <v>187</v>
      </c>
      <c r="B190" s="205"/>
      <c r="C190" s="205"/>
      <c r="D190" s="225"/>
      <c r="E190" s="209"/>
      <c r="F190" s="209"/>
      <c r="G190" s="209"/>
      <c r="H190" s="225"/>
      <c r="I190" s="235"/>
      <c r="J190" s="235"/>
      <c r="K190" s="235"/>
      <c r="L190" s="206"/>
      <c r="M190" s="213" t="str">
        <f t="shared" ca="1" si="3"/>
        <v>NA</v>
      </c>
      <c r="N190" s="229"/>
    </row>
    <row r="191" spans="1:14" ht="60" customHeight="1">
      <c r="A191" s="204">
        <v>188</v>
      </c>
      <c r="B191" s="205"/>
      <c r="C191" s="205"/>
      <c r="D191" s="225"/>
      <c r="E191" s="209"/>
      <c r="F191" s="209"/>
      <c r="G191" s="209"/>
      <c r="H191" s="225"/>
      <c r="I191" s="235"/>
      <c r="J191" s="235"/>
      <c r="K191" s="235"/>
      <c r="L191" s="206"/>
      <c r="M191" s="213" t="str">
        <f t="shared" ca="1" si="3"/>
        <v>NA</v>
      </c>
      <c r="N191" s="229"/>
    </row>
    <row r="192" spans="1:14" ht="60" customHeight="1">
      <c r="A192" s="204">
        <v>189</v>
      </c>
      <c r="B192" s="205"/>
      <c r="C192" s="205"/>
      <c r="D192" s="225"/>
      <c r="E192" s="209"/>
      <c r="F192" s="209"/>
      <c r="G192" s="209"/>
      <c r="H192" s="225"/>
      <c r="I192" s="235"/>
      <c r="J192" s="235"/>
      <c r="K192" s="235"/>
      <c r="L192" s="206"/>
      <c r="M192" s="213" t="str">
        <f t="shared" ca="1" si="3"/>
        <v>NA</v>
      </c>
      <c r="N192" s="229"/>
    </row>
    <row r="193" spans="1:14" ht="60" customHeight="1">
      <c r="A193" s="204">
        <v>190</v>
      </c>
      <c r="B193" s="205"/>
      <c r="C193" s="205"/>
      <c r="D193" s="225"/>
      <c r="E193" s="209"/>
      <c r="F193" s="209"/>
      <c r="G193" s="209"/>
      <c r="H193" s="225"/>
      <c r="I193" s="235"/>
      <c r="J193" s="235"/>
      <c r="K193" s="235"/>
      <c r="L193" s="206"/>
      <c r="M193" s="213" t="str">
        <f t="shared" ca="1" si="3"/>
        <v>NA</v>
      </c>
      <c r="N193" s="229"/>
    </row>
    <row r="194" spans="1:14" ht="60" customHeight="1">
      <c r="A194" s="204">
        <v>191</v>
      </c>
      <c r="B194" s="205"/>
      <c r="C194" s="205"/>
      <c r="D194" s="225"/>
      <c r="E194" s="209"/>
      <c r="F194" s="209"/>
      <c r="G194" s="209"/>
      <c r="H194" s="225"/>
      <c r="I194" s="235"/>
      <c r="J194" s="235"/>
      <c r="K194" s="235"/>
      <c r="L194" s="206"/>
      <c r="M194" s="213" t="str">
        <f t="shared" ca="1" si="3"/>
        <v>NA</v>
      </c>
      <c r="N194" s="229"/>
    </row>
    <row r="195" spans="1:14" ht="60" customHeight="1">
      <c r="A195" s="204">
        <v>192</v>
      </c>
      <c r="B195" s="205"/>
      <c r="C195" s="205"/>
      <c r="D195" s="225"/>
      <c r="E195" s="209"/>
      <c r="F195" s="209"/>
      <c r="G195" s="209"/>
      <c r="H195" s="225"/>
      <c r="I195" s="235"/>
      <c r="J195" s="235"/>
      <c r="K195" s="235"/>
      <c r="L195" s="206"/>
      <c r="M195" s="213" t="str">
        <f t="shared" ca="1" si="3"/>
        <v>NA</v>
      </c>
      <c r="N195" s="229"/>
    </row>
    <row r="196" spans="1:14" ht="60" customHeight="1">
      <c r="A196" s="204">
        <v>193</v>
      </c>
      <c r="B196" s="205"/>
      <c r="C196" s="205"/>
      <c r="D196" s="225"/>
      <c r="E196" s="209"/>
      <c r="F196" s="209"/>
      <c r="G196" s="209"/>
      <c r="H196" s="225"/>
      <c r="I196" s="235"/>
      <c r="J196" s="235"/>
      <c r="K196" s="235"/>
      <c r="L196" s="206"/>
      <c r="M196" s="213" t="str">
        <f t="shared" ca="1" si="3"/>
        <v>NA</v>
      </c>
      <c r="N196" s="229"/>
    </row>
    <row r="197" spans="1:14" ht="60" customHeight="1">
      <c r="A197" s="204">
        <v>194</v>
      </c>
      <c r="B197" s="205"/>
      <c r="C197" s="205"/>
      <c r="D197" s="225"/>
      <c r="E197" s="209"/>
      <c r="F197" s="209"/>
      <c r="G197" s="209"/>
      <c r="H197" s="225"/>
      <c r="I197" s="235"/>
      <c r="J197" s="235"/>
      <c r="K197" s="235"/>
      <c r="L197" s="206"/>
      <c r="M197" s="213" t="str">
        <f t="shared" ca="1" si="3"/>
        <v>NA</v>
      </c>
      <c r="N197" s="229"/>
    </row>
    <row r="198" spans="1:14" ht="60" customHeight="1">
      <c r="A198" s="204">
        <v>195</v>
      </c>
      <c r="B198" s="205"/>
      <c r="C198" s="205"/>
      <c r="D198" s="225"/>
      <c r="E198" s="209"/>
      <c r="F198" s="209"/>
      <c r="G198" s="209"/>
      <c r="H198" s="225"/>
      <c r="I198" s="235"/>
      <c r="J198" s="235"/>
      <c r="K198" s="235"/>
      <c r="L198" s="206"/>
      <c r="M198" s="213" t="str">
        <f t="shared" ca="1" si="3"/>
        <v>NA</v>
      </c>
      <c r="N198" s="229"/>
    </row>
    <row r="199" spans="1:14" ht="60" customHeight="1">
      <c r="A199" s="204">
        <v>196</v>
      </c>
      <c r="B199" s="205"/>
      <c r="C199" s="205"/>
      <c r="D199" s="225"/>
      <c r="E199" s="209"/>
      <c r="F199" s="209"/>
      <c r="G199" s="209"/>
      <c r="H199" s="225"/>
      <c r="I199" s="235"/>
      <c r="J199" s="235"/>
      <c r="K199" s="235"/>
      <c r="L199" s="206"/>
      <c r="M199" s="213" t="str">
        <f t="shared" ca="1" si="3"/>
        <v>NA</v>
      </c>
      <c r="N199" s="229"/>
    </row>
    <row r="200" spans="1:14" ht="60" customHeight="1">
      <c r="A200" s="204">
        <v>197</v>
      </c>
      <c r="B200" s="205"/>
      <c r="C200" s="205"/>
      <c r="D200" s="225"/>
      <c r="E200" s="209"/>
      <c r="F200" s="209"/>
      <c r="G200" s="209"/>
      <c r="H200" s="225"/>
      <c r="I200" s="235"/>
      <c r="J200" s="235"/>
      <c r="K200" s="235"/>
      <c r="L200" s="206"/>
      <c r="M200" s="213" t="str">
        <f t="shared" ca="1" si="3"/>
        <v>NA</v>
      </c>
      <c r="N200" s="229"/>
    </row>
    <row r="201" spans="1:14" ht="60" customHeight="1">
      <c r="A201" s="204">
        <v>198</v>
      </c>
      <c r="B201" s="205"/>
      <c r="C201" s="205"/>
      <c r="D201" s="225"/>
      <c r="E201" s="209"/>
      <c r="F201" s="209"/>
      <c r="G201" s="209"/>
      <c r="H201" s="225"/>
      <c r="I201" s="235"/>
      <c r="J201" s="235"/>
      <c r="K201" s="235"/>
      <c r="L201" s="206"/>
      <c r="M201" s="213" t="str">
        <f t="shared" ca="1" si="3"/>
        <v>NA</v>
      </c>
      <c r="N201" s="229"/>
    </row>
    <row r="202" spans="1:14" ht="60" customHeight="1">
      <c r="A202" s="204">
        <v>199</v>
      </c>
      <c r="B202" s="205"/>
      <c r="C202" s="205"/>
      <c r="D202" s="225"/>
      <c r="E202" s="209"/>
      <c r="F202" s="209"/>
      <c r="G202" s="209"/>
      <c r="H202" s="225"/>
      <c r="I202" s="235"/>
      <c r="J202" s="235"/>
      <c r="K202" s="235"/>
      <c r="L202" s="206"/>
      <c r="M202" s="213" t="str">
        <f t="shared" ca="1" si="3"/>
        <v>NA</v>
      </c>
      <c r="N202" s="229"/>
    </row>
    <row r="203" spans="1:14" ht="60" customHeight="1">
      <c r="A203" s="204">
        <v>200</v>
      </c>
      <c r="B203" s="205"/>
      <c r="C203" s="205"/>
      <c r="D203" s="225"/>
      <c r="E203" s="209"/>
      <c r="F203" s="209"/>
      <c r="G203" s="209"/>
      <c r="H203" s="225"/>
      <c r="I203" s="235"/>
      <c r="J203" s="235"/>
      <c r="K203" s="235"/>
      <c r="L203" s="206"/>
      <c r="M203" s="213" t="str">
        <f t="shared" ca="1" si="3"/>
        <v>NA</v>
      </c>
      <c r="N203" s="229"/>
    </row>
    <row r="204" spans="1:14" ht="60" customHeight="1">
      <c r="A204" s="204">
        <v>201</v>
      </c>
      <c r="B204" s="205"/>
      <c r="C204" s="205"/>
      <c r="D204" s="225"/>
      <c r="E204" s="209"/>
      <c r="F204" s="209"/>
      <c r="G204" s="209"/>
      <c r="H204" s="225"/>
      <c r="I204" s="235"/>
      <c r="J204" s="235"/>
      <c r="K204" s="235"/>
      <c r="L204" s="206"/>
      <c r="M204" s="213" t="str">
        <f t="shared" ca="1" si="3"/>
        <v>NA</v>
      </c>
      <c r="N204" s="229"/>
    </row>
    <row r="205" spans="1:14" ht="60" customHeight="1">
      <c r="A205" s="204">
        <v>202</v>
      </c>
      <c r="B205" s="205"/>
      <c r="C205" s="205"/>
      <c r="D205" s="225"/>
      <c r="E205" s="209"/>
      <c r="F205" s="209"/>
      <c r="G205" s="209"/>
      <c r="H205" s="225"/>
      <c r="I205" s="235"/>
      <c r="J205" s="235"/>
      <c r="K205" s="235"/>
      <c r="L205" s="206"/>
      <c r="M205" s="213" t="str">
        <f t="shared" ca="1" si="3"/>
        <v>NA</v>
      </c>
      <c r="N205" s="229"/>
    </row>
    <row r="206" spans="1:14" ht="60" customHeight="1">
      <c r="A206" s="204">
        <v>203</v>
      </c>
      <c r="B206" s="205"/>
      <c r="C206" s="205"/>
      <c r="D206" s="225"/>
      <c r="E206" s="209"/>
      <c r="F206" s="209"/>
      <c r="G206" s="209"/>
      <c r="H206" s="225"/>
      <c r="I206" s="235"/>
      <c r="J206" s="235"/>
      <c r="K206" s="235"/>
      <c r="L206" s="206"/>
      <c r="M206" s="213" t="str">
        <f t="shared" ca="1" si="3"/>
        <v>NA</v>
      </c>
      <c r="N206" s="229"/>
    </row>
    <row r="207" spans="1:14" ht="60" customHeight="1">
      <c r="A207" s="204">
        <v>204</v>
      </c>
      <c r="B207" s="205"/>
      <c r="C207" s="205"/>
      <c r="D207" s="225"/>
      <c r="E207" s="209"/>
      <c r="F207" s="209"/>
      <c r="G207" s="209"/>
      <c r="H207" s="225"/>
      <c r="I207" s="235"/>
      <c r="J207" s="235"/>
      <c r="K207" s="235"/>
      <c r="L207" s="206"/>
      <c r="M207" s="213" t="str">
        <f t="shared" ca="1" si="3"/>
        <v>NA</v>
      </c>
      <c r="N207" s="229"/>
    </row>
    <row r="208" spans="1:14" ht="60" customHeight="1">
      <c r="A208" s="204">
        <v>205</v>
      </c>
      <c r="B208" s="205"/>
      <c r="C208" s="205"/>
      <c r="D208" s="225"/>
      <c r="E208" s="209"/>
      <c r="F208" s="209"/>
      <c r="G208" s="209"/>
      <c r="H208" s="225"/>
      <c r="I208" s="235"/>
      <c r="J208" s="235"/>
      <c r="K208" s="235"/>
      <c r="L208" s="206"/>
      <c r="M208" s="213" t="str">
        <f t="shared" ca="1" si="3"/>
        <v>NA</v>
      </c>
      <c r="N208" s="229"/>
    </row>
    <row r="209" spans="1:14" ht="60" customHeight="1">
      <c r="A209" s="204">
        <v>206</v>
      </c>
      <c r="B209" s="205"/>
      <c r="C209" s="205"/>
      <c r="D209" s="225"/>
      <c r="E209" s="209"/>
      <c r="F209" s="209"/>
      <c r="G209" s="209"/>
      <c r="H209" s="225"/>
      <c r="I209" s="235"/>
      <c r="J209" s="235"/>
      <c r="K209" s="235"/>
      <c r="L209" s="206"/>
      <c r="M209" s="213" t="str">
        <f t="shared" ca="1" si="3"/>
        <v>NA</v>
      </c>
      <c r="N209" s="229"/>
    </row>
    <row r="210" spans="1:14" ht="60" customHeight="1">
      <c r="A210" s="204">
        <v>207</v>
      </c>
      <c r="B210" s="205"/>
      <c r="C210" s="205"/>
      <c r="D210" s="225"/>
      <c r="E210" s="209"/>
      <c r="F210" s="209"/>
      <c r="G210" s="209"/>
      <c r="H210" s="225"/>
      <c r="I210" s="235"/>
      <c r="J210" s="235"/>
      <c r="K210" s="235"/>
      <c r="L210" s="206"/>
      <c r="M210" s="213" t="str">
        <f t="shared" ca="1" si="3"/>
        <v>NA</v>
      </c>
      <c r="N210" s="229"/>
    </row>
    <row r="211" spans="1:14" ht="60" customHeight="1">
      <c r="A211" s="204">
        <v>208</v>
      </c>
      <c r="B211" s="205"/>
      <c r="C211" s="205"/>
      <c r="D211" s="225"/>
      <c r="E211" s="209"/>
      <c r="F211" s="209"/>
      <c r="G211" s="209"/>
      <c r="H211" s="225"/>
      <c r="I211" s="235"/>
      <c r="J211" s="235"/>
      <c r="K211" s="235"/>
      <c r="L211" s="206"/>
      <c r="M211" s="213" t="str">
        <f t="shared" ca="1" si="3"/>
        <v>NA</v>
      </c>
      <c r="N211" s="229"/>
    </row>
    <row r="212" spans="1:14" ht="60" customHeight="1">
      <c r="A212" s="204">
        <v>209</v>
      </c>
      <c r="B212" s="205"/>
      <c r="C212" s="205"/>
      <c r="D212" s="225"/>
      <c r="E212" s="209"/>
      <c r="F212" s="209"/>
      <c r="G212" s="209"/>
      <c r="H212" s="225"/>
      <c r="I212" s="235"/>
      <c r="J212" s="235"/>
      <c r="K212" s="235"/>
      <c r="L212" s="206"/>
      <c r="M212" s="213" t="str">
        <f t="shared" ca="1" si="3"/>
        <v>NA</v>
      </c>
      <c r="N212" s="229"/>
    </row>
    <row r="213" spans="1:14" ht="60" customHeight="1">
      <c r="A213" s="204">
        <v>210</v>
      </c>
      <c r="B213" s="205"/>
      <c r="C213" s="205"/>
      <c r="D213" s="225"/>
      <c r="E213" s="209"/>
      <c r="F213" s="209"/>
      <c r="G213" s="209"/>
      <c r="H213" s="225"/>
      <c r="I213" s="235"/>
      <c r="J213" s="235"/>
      <c r="K213" s="235"/>
      <c r="L213" s="206"/>
      <c r="M213" s="213" t="str">
        <f t="shared" ca="1" si="3"/>
        <v>NA</v>
      </c>
      <c r="N213" s="229"/>
    </row>
    <row r="214" spans="1:14" ht="60" customHeight="1">
      <c r="A214" s="204">
        <v>211</v>
      </c>
      <c r="B214" s="205"/>
      <c r="C214" s="205"/>
      <c r="D214" s="225"/>
      <c r="E214" s="209"/>
      <c r="F214" s="209"/>
      <c r="G214" s="209"/>
      <c r="H214" s="225"/>
      <c r="I214" s="235"/>
      <c r="J214" s="235"/>
      <c r="K214" s="235"/>
      <c r="L214" s="206"/>
      <c r="M214" s="213" t="str">
        <f t="shared" ca="1" si="3"/>
        <v>NA</v>
      </c>
      <c r="N214" s="229"/>
    </row>
    <row r="215" spans="1:14" ht="60" customHeight="1">
      <c r="A215" s="204">
        <v>212</v>
      </c>
      <c r="B215" s="205"/>
      <c r="C215" s="205"/>
      <c r="D215" s="225"/>
      <c r="E215" s="209"/>
      <c r="F215" s="209"/>
      <c r="G215" s="209"/>
      <c r="H215" s="225"/>
      <c r="I215" s="235"/>
      <c r="J215" s="235"/>
      <c r="K215" s="235"/>
      <c r="L215" s="206"/>
      <c r="M215" s="213" t="str">
        <f t="shared" ca="1" si="3"/>
        <v>NA</v>
      </c>
      <c r="N215" s="229"/>
    </row>
    <row r="216" spans="1:14" ht="60" customHeight="1">
      <c r="A216" s="204">
        <v>213</v>
      </c>
      <c r="B216" s="205"/>
      <c r="C216" s="205"/>
      <c r="D216" s="225"/>
      <c r="E216" s="209"/>
      <c r="F216" s="209"/>
      <c r="G216" s="209"/>
      <c r="H216" s="225"/>
      <c r="I216" s="235"/>
      <c r="J216" s="235"/>
      <c r="K216" s="235"/>
      <c r="L216" s="206"/>
      <c r="M216" s="213" t="str">
        <f t="shared" ca="1" si="3"/>
        <v>NA</v>
      </c>
      <c r="N216" s="229"/>
    </row>
    <row r="217" spans="1:14" ht="60" customHeight="1">
      <c r="A217" s="204">
        <v>214</v>
      </c>
      <c r="B217" s="205"/>
      <c r="C217" s="205"/>
      <c r="D217" s="225"/>
      <c r="E217" s="209"/>
      <c r="F217" s="209"/>
      <c r="G217" s="209"/>
      <c r="H217" s="225"/>
      <c r="I217" s="235"/>
      <c r="J217" s="235"/>
      <c r="K217" s="235"/>
      <c r="L217" s="206"/>
      <c r="M217" s="213" t="str">
        <f t="shared" ca="1" si="3"/>
        <v>NA</v>
      </c>
      <c r="N217" s="229"/>
    </row>
    <row r="218" spans="1:14" ht="60" customHeight="1">
      <c r="A218" s="204">
        <v>215</v>
      </c>
      <c r="B218" s="205"/>
      <c r="C218" s="205"/>
      <c r="D218" s="225"/>
      <c r="E218" s="209"/>
      <c r="F218" s="209"/>
      <c r="G218" s="209"/>
      <c r="H218" s="225"/>
      <c r="I218" s="235"/>
      <c r="J218" s="235"/>
      <c r="K218" s="235"/>
      <c r="L218" s="206"/>
      <c r="M218" s="213" t="str">
        <f t="shared" ca="1" si="3"/>
        <v>NA</v>
      </c>
      <c r="N218" s="229"/>
    </row>
    <row r="219" spans="1:14" ht="60" customHeight="1">
      <c r="A219" s="204">
        <v>216</v>
      </c>
      <c r="B219" s="205"/>
      <c r="C219" s="205"/>
      <c r="D219" s="225"/>
      <c r="E219" s="209"/>
      <c r="F219" s="209"/>
      <c r="G219" s="209"/>
      <c r="H219" s="225"/>
      <c r="I219" s="235"/>
      <c r="J219" s="235"/>
      <c r="K219" s="235"/>
      <c r="L219" s="206"/>
      <c r="M219" s="213" t="str">
        <f t="shared" ref="M219:M282" ca="1" si="4">IF(AND(J219="",K219=""),"NA",IFERROR(IF(L219="closed","完成",TEXT(J219-TODAY(),"還有0天;逾期0天;今天到期")),"NA"))</f>
        <v>NA</v>
      </c>
      <c r="N219" s="229"/>
    </row>
    <row r="220" spans="1:14" ht="60" customHeight="1">
      <c r="A220" s="204">
        <v>217</v>
      </c>
      <c r="B220" s="205"/>
      <c r="C220" s="205"/>
      <c r="D220" s="225"/>
      <c r="E220" s="209"/>
      <c r="F220" s="209"/>
      <c r="G220" s="209"/>
      <c r="H220" s="225"/>
      <c r="I220" s="235"/>
      <c r="J220" s="235"/>
      <c r="K220" s="235"/>
      <c r="L220" s="206"/>
      <c r="M220" s="213" t="str">
        <f t="shared" ca="1" si="4"/>
        <v>NA</v>
      </c>
      <c r="N220" s="229"/>
    </row>
    <row r="221" spans="1:14" ht="60" customHeight="1">
      <c r="A221" s="204">
        <v>218</v>
      </c>
      <c r="B221" s="205"/>
      <c r="C221" s="205"/>
      <c r="D221" s="225"/>
      <c r="E221" s="209"/>
      <c r="F221" s="209"/>
      <c r="G221" s="209"/>
      <c r="H221" s="225"/>
      <c r="I221" s="235"/>
      <c r="J221" s="235"/>
      <c r="K221" s="235"/>
      <c r="L221" s="206"/>
      <c r="M221" s="213" t="str">
        <f t="shared" ca="1" si="4"/>
        <v>NA</v>
      </c>
      <c r="N221" s="229"/>
    </row>
    <row r="222" spans="1:14" ht="60" customHeight="1">
      <c r="A222" s="204">
        <v>219</v>
      </c>
      <c r="B222" s="205"/>
      <c r="C222" s="205"/>
      <c r="D222" s="225"/>
      <c r="E222" s="209"/>
      <c r="F222" s="209"/>
      <c r="G222" s="209"/>
      <c r="H222" s="225"/>
      <c r="I222" s="235"/>
      <c r="J222" s="235"/>
      <c r="K222" s="235"/>
      <c r="L222" s="206"/>
      <c r="M222" s="213" t="str">
        <f t="shared" ca="1" si="4"/>
        <v>NA</v>
      </c>
      <c r="N222" s="229"/>
    </row>
    <row r="223" spans="1:14" ht="60" customHeight="1">
      <c r="A223" s="204">
        <v>220</v>
      </c>
      <c r="B223" s="205"/>
      <c r="C223" s="205"/>
      <c r="D223" s="225"/>
      <c r="E223" s="209"/>
      <c r="F223" s="209"/>
      <c r="G223" s="209"/>
      <c r="H223" s="225"/>
      <c r="I223" s="235"/>
      <c r="J223" s="235"/>
      <c r="K223" s="235"/>
      <c r="L223" s="206"/>
      <c r="M223" s="213" t="str">
        <f t="shared" ca="1" si="4"/>
        <v>NA</v>
      </c>
      <c r="N223" s="229"/>
    </row>
    <row r="224" spans="1:14" ht="60" customHeight="1">
      <c r="A224" s="204">
        <v>221</v>
      </c>
      <c r="B224" s="205"/>
      <c r="C224" s="205"/>
      <c r="D224" s="225"/>
      <c r="E224" s="209"/>
      <c r="F224" s="209"/>
      <c r="G224" s="209"/>
      <c r="H224" s="225"/>
      <c r="I224" s="235"/>
      <c r="J224" s="235"/>
      <c r="K224" s="235"/>
      <c r="L224" s="206"/>
      <c r="M224" s="213" t="str">
        <f t="shared" ca="1" si="4"/>
        <v>NA</v>
      </c>
      <c r="N224" s="229"/>
    </row>
    <row r="225" spans="1:14" ht="60" customHeight="1">
      <c r="A225" s="204">
        <v>222</v>
      </c>
      <c r="B225" s="205"/>
      <c r="C225" s="205"/>
      <c r="D225" s="225"/>
      <c r="E225" s="209"/>
      <c r="F225" s="209"/>
      <c r="G225" s="209"/>
      <c r="H225" s="225"/>
      <c r="I225" s="235"/>
      <c r="J225" s="235"/>
      <c r="K225" s="235"/>
      <c r="L225" s="206"/>
      <c r="M225" s="213" t="str">
        <f t="shared" ca="1" si="4"/>
        <v>NA</v>
      </c>
      <c r="N225" s="229"/>
    </row>
    <row r="226" spans="1:14" ht="60" customHeight="1">
      <c r="A226" s="204">
        <v>223</v>
      </c>
      <c r="B226" s="205"/>
      <c r="C226" s="205"/>
      <c r="D226" s="225"/>
      <c r="E226" s="209"/>
      <c r="F226" s="209"/>
      <c r="G226" s="209"/>
      <c r="H226" s="225"/>
      <c r="I226" s="235"/>
      <c r="J226" s="235"/>
      <c r="K226" s="235"/>
      <c r="L226" s="206"/>
      <c r="M226" s="213" t="str">
        <f t="shared" ca="1" si="4"/>
        <v>NA</v>
      </c>
      <c r="N226" s="229"/>
    </row>
    <row r="227" spans="1:14" ht="60" customHeight="1">
      <c r="A227" s="204">
        <v>224</v>
      </c>
      <c r="B227" s="205"/>
      <c r="C227" s="205"/>
      <c r="D227" s="225"/>
      <c r="E227" s="209"/>
      <c r="F227" s="209"/>
      <c r="G227" s="209"/>
      <c r="H227" s="225"/>
      <c r="I227" s="235"/>
      <c r="J227" s="235"/>
      <c r="K227" s="235"/>
      <c r="L227" s="206"/>
      <c r="M227" s="213" t="str">
        <f t="shared" ca="1" si="4"/>
        <v>NA</v>
      </c>
      <c r="N227" s="229"/>
    </row>
    <row r="228" spans="1:14" ht="60" customHeight="1">
      <c r="A228" s="204">
        <v>225</v>
      </c>
      <c r="B228" s="205"/>
      <c r="C228" s="205"/>
      <c r="D228" s="225"/>
      <c r="E228" s="209"/>
      <c r="F228" s="209"/>
      <c r="G228" s="209"/>
      <c r="H228" s="225"/>
      <c r="I228" s="235"/>
      <c r="J228" s="235"/>
      <c r="K228" s="235"/>
      <c r="L228" s="206"/>
      <c r="M228" s="213" t="str">
        <f t="shared" ca="1" si="4"/>
        <v>NA</v>
      </c>
      <c r="N228" s="229"/>
    </row>
    <row r="229" spans="1:14" ht="60" customHeight="1">
      <c r="A229" s="204">
        <v>226</v>
      </c>
      <c r="B229" s="205"/>
      <c r="C229" s="205"/>
      <c r="D229" s="225"/>
      <c r="E229" s="209"/>
      <c r="F229" s="209"/>
      <c r="G229" s="209"/>
      <c r="H229" s="225"/>
      <c r="I229" s="235"/>
      <c r="J229" s="235"/>
      <c r="K229" s="235"/>
      <c r="L229" s="206"/>
      <c r="M229" s="213" t="str">
        <f t="shared" ca="1" si="4"/>
        <v>NA</v>
      </c>
      <c r="N229" s="229"/>
    </row>
    <row r="230" spans="1:14" ht="60" customHeight="1">
      <c r="A230" s="204">
        <v>227</v>
      </c>
      <c r="B230" s="205"/>
      <c r="C230" s="205"/>
      <c r="D230" s="225"/>
      <c r="E230" s="209"/>
      <c r="F230" s="209"/>
      <c r="G230" s="209"/>
      <c r="H230" s="225"/>
      <c r="I230" s="235"/>
      <c r="J230" s="235"/>
      <c r="K230" s="235"/>
      <c r="L230" s="206"/>
      <c r="M230" s="213" t="str">
        <f t="shared" ca="1" si="4"/>
        <v>NA</v>
      </c>
      <c r="N230" s="229"/>
    </row>
    <row r="231" spans="1:14" ht="60" customHeight="1">
      <c r="A231" s="204">
        <v>228</v>
      </c>
      <c r="B231" s="205"/>
      <c r="C231" s="205"/>
      <c r="D231" s="225"/>
      <c r="E231" s="209"/>
      <c r="F231" s="209"/>
      <c r="G231" s="209"/>
      <c r="H231" s="225"/>
      <c r="I231" s="235"/>
      <c r="J231" s="235"/>
      <c r="K231" s="235"/>
      <c r="L231" s="206"/>
      <c r="M231" s="213" t="str">
        <f t="shared" ca="1" si="4"/>
        <v>NA</v>
      </c>
      <c r="N231" s="229"/>
    </row>
    <row r="232" spans="1:14" ht="60" customHeight="1">
      <c r="A232" s="204">
        <v>229</v>
      </c>
      <c r="B232" s="205"/>
      <c r="C232" s="205"/>
      <c r="D232" s="225"/>
      <c r="E232" s="209"/>
      <c r="F232" s="209"/>
      <c r="G232" s="209"/>
      <c r="H232" s="225"/>
      <c r="I232" s="235"/>
      <c r="J232" s="235"/>
      <c r="K232" s="235"/>
      <c r="L232" s="206"/>
      <c r="M232" s="213" t="str">
        <f t="shared" ca="1" si="4"/>
        <v>NA</v>
      </c>
      <c r="N232" s="229"/>
    </row>
    <row r="233" spans="1:14" ht="60" customHeight="1">
      <c r="A233" s="204">
        <v>230</v>
      </c>
      <c r="B233" s="205"/>
      <c r="C233" s="205"/>
      <c r="D233" s="225"/>
      <c r="E233" s="209"/>
      <c r="F233" s="209"/>
      <c r="G233" s="209"/>
      <c r="H233" s="225"/>
      <c r="I233" s="235"/>
      <c r="J233" s="235"/>
      <c r="K233" s="235"/>
      <c r="L233" s="206"/>
      <c r="M233" s="213" t="str">
        <f t="shared" ca="1" si="4"/>
        <v>NA</v>
      </c>
      <c r="N233" s="229"/>
    </row>
    <row r="234" spans="1:14" ht="60" customHeight="1">
      <c r="A234" s="204">
        <v>231</v>
      </c>
      <c r="B234" s="205"/>
      <c r="C234" s="205"/>
      <c r="D234" s="225"/>
      <c r="E234" s="209"/>
      <c r="F234" s="209"/>
      <c r="G234" s="209"/>
      <c r="H234" s="225"/>
      <c r="I234" s="235"/>
      <c r="J234" s="235"/>
      <c r="K234" s="235"/>
      <c r="L234" s="206"/>
      <c r="M234" s="213" t="str">
        <f t="shared" ca="1" si="4"/>
        <v>NA</v>
      </c>
      <c r="N234" s="229"/>
    </row>
    <row r="235" spans="1:14" ht="60" customHeight="1">
      <c r="A235" s="204">
        <v>232</v>
      </c>
      <c r="B235" s="205"/>
      <c r="C235" s="205"/>
      <c r="D235" s="225"/>
      <c r="E235" s="209"/>
      <c r="F235" s="209"/>
      <c r="G235" s="209"/>
      <c r="H235" s="225"/>
      <c r="I235" s="235"/>
      <c r="J235" s="235"/>
      <c r="K235" s="235"/>
      <c r="L235" s="206"/>
      <c r="M235" s="213" t="str">
        <f t="shared" ca="1" si="4"/>
        <v>NA</v>
      </c>
      <c r="N235" s="229"/>
    </row>
    <row r="236" spans="1:14" ht="60" customHeight="1">
      <c r="A236" s="204">
        <v>233</v>
      </c>
      <c r="B236" s="205"/>
      <c r="C236" s="205"/>
      <c r="D236" s="225"/>
      <c r="E236" s="209"/>
      <c r="F236" s="209"/>
      <c r="G236" s="209"/>
      <c r="H236" s="225"/>
      <c r="I236" s="235"/>
      <c r="J236" s="235"/>
      <c r="K236" s="235"/>
      <c r="L236" s="206"/>
      <c r="M236" s="213" t="str">
        <f t="shared" ca="1" si="4"/>
        <v>NA</v>
      </c>
      <c r="N236" s="229"/>
    </row>
    <row r="237" spans="1:14" ht="60" customHeight="1">
      <c r="A237" s="204">
        <v>234</v>
      </c>
      <c r="B237" s="205"/>
      <c r="C237" s="205"/>
      <c r="D237" s="225"/>
      <c r="E237" s="209"/>
      <c r="F237" s="209"/>
      <c r="G237" s="209"/>
      <c r="H237" s="225"/>
      <c r="I237" s="235"/>
      <c r="J237" s="235"/>
      <c r="K237" s="235"/>
      <c r="L237" s="206"/>
      <c r="M237" s="213" t="str">
        <f t="shared" ca="1" si="4"/>
        <v>NA</v>
      </c>
      <c r="N237" s="229"/>
    </row>
    <row r="238" spans="1:14" ht="60" customHeight="1">
      <c r="A238" s="204">
        <v>235</v>
      </c>
      <c r="B238" s="205"/>
      <c r="C238" s="205"/>
      <c r="D238" s="225"/>
      <c r="E238" s="209"/>
      <c r="F238" s="209"/>
      <c r="G238" s="209"/>
      <c r="H238" s="225"/>
      <c r="I238" s="235"/>
      <c r="J238" s="235"/>
      <c r="K238" s="235"/>
      <c r="L238" s="206"/>
      <c r="M238" s="213" t="str">
        <f t="shared" ca="1" si="4"/>
        <v>NA</v>
      </c>
      <c r="N238" s="229"/>
    </row>
    <row r="239" spans="1:14" ht="60" customHeight="1">
      <c r="A239" s="204">
        <v>236</v>
      </c>
      <c r="B239" s="205"/>
      <c r="C239" s="205"/>
      <c r="D239" s="225"/>
      <c r="E239" s="209"/>
      <c r="F239" s="209"/>
      <c r="G239" s="209"/>
      <c r="H239" s="225"/>
      <c r="I239" s="235"/>
      <c r="J239" s="235"/>
      <c r="K239" s="235"/>
      <c r="L239" s="206"/>
      <c r="M239" s="213" t="str">
        <f t="shared" ca="1" si="4"/>
        <v>NA</v>
      </c>
      <c r="N239" s="229"/>
    </row>
    <row r="240" spans="1:14" ht="60" customHeight="1">
      <c r="A240" s="204">
        <v>237</v>
      </c>
      <c r="B240" s="205"/>
      <c r="C240" s="205"/>
      <c r="D240" s="225"/>
      <c r="E240" s="209"/>
      <c r="F240" s="209"/>
      <c r="G240" s="209"/>
      <c r="H240" s="225"/>
      <c r="I240" s="235"/>
      <c r="J240" s="235"/>
      <c r="K240" s="235"/>
      <c r="L240" s="206"/>
      <c r="M240" s="213" t="str">
        <f t="shared" ca="1" si="4"/>
        <v>NA</v>
      </c>
      <c r="N240" s="229"/>
    </row>
    <row r="241" spans="1:14" ht="60" customHeight="1">
      <c r="A241" s="204">
        <v>238</v>
      </c>
      <c r="B241" s="205"/>
      <c r="C241" s="205"/>
      <c r="D241" s="225"/>
      <c r="E241" s="209"/>
      <c r="F241" s="209"/>
      <c r="G241" s="209"/>
      <c r="H241" s="225"/>
      <c r="I241" s="235"/>
      <c r="J241" s="235"/>
      <c r="K241" s="235"/>
      <c r="L241" s="206"/>
      <c r="M241" s="213" t="str">
        <f t="shared" ca="1" si="4"/>
        <v>NA</v>
      </c>
      <c r="N241" s="229"/>
    </row>
    <row r="242" spans="1:14" ht="60" customHeight="1">
      <c r="A242" s="204">
        <v>239</v>
      </c>
      <c r="B242" s="205"/>
      <c r="C242" s="205"/>
      <c r="D242" s="225"/>
      <c r="E242" s="209"/>
      <c r="F242" s="209"/>
      <c r="G242" s="209"/>
      <c r="H242" s="225"/>
      <c r="I242" s="235"/>
      <c r="J242" s="235"/>
      <c r="K242" s="235"/>
      <c r="L242" s="206"/>
      <c r="M242" s="213" t="str">
        <f t="shared" ca="1" si="4"/>
        <v>NA</v>
      </c>
      <c r="N242" s="229"/>
    </row>
    <row r="243" spans="1:14" ht="60" customHeight="1">
      <c r="A243" s="204">
        <v>240</v>
      </c>
      <c r="B243" s="205"/>
      <c r="C243" s="205"/>
      <c r="D243" s="225"/>
      <c r="E243" s="209"/>
      <c r="F243" s="209"/>
      <c r="G243" s="209"/>
      <c r="H243" s="225"/>
      <c r="I243" s="235"/>
      <c r="J243" s="235"/>
      <c r="K243" s="235"/>
      <c r="L243" s="206"/>
      <c r="M243" s="213" t="str">
        <f t="shared" ca="1" si="4"/>
        <v>NA</v>
      </c>
      <c r="N243" s="229"/>
    </row>
    <row r="244" spans="1:14" ht="60" customHeight="1">
      <c r="A244" s="204">
        <v>241</v>
      </c>
      <c r="B244" s="205"/>
      <c r="C244" s="205"/>
      <c r="D244" s="225"/>
      <c r="E244" s="209"/>
      <c r="F244" s="209"/>
      <c r="G244" s="209"/>
      <c r="H244" s="225"/>
      <c r="I244" s="235"/>
      <c r="J244" s="235"/>
      <c r="K244" s="235"/>
      <c r="L244" s="206"/>
      <c r="M244" s="213" t="str">
        <f t="shared" ca="1" si="4"/>
        <v>NA</v>
      </c>
      <c r="N244" s="229"/>
    </row>
    <row r="245" spans="1:14" ht="60" customHeight="1">
      <c r="A245" s="204">
        <v>242</v>
      </c>
      <c r="B245" s="205"/>
      <c r="C245" s="205"/>
      <c r="D245" s="225"/>
      <c r="E245" s="209"/>
      <c r="F245" s="209"/>
      <c r="G245" s="209"/>
      <c r="H245" s="225"/>
      <c r="I245" s="235"/>
      <c r="J245" s="235"/>
      <c r="K245" s="235"/>
      <c r="L245" s="206"/>
      <c r="M245" s="213" t="str">
        <f t="shared" ca="1" si="4"/>
        <v>NA</v>
      </c>
      <c r="N245" s="229"/>
    </row>
    <row r="246" spans="1:14" ht="60" customHeight="1">
      <c r="A246" s="204">
        <v>243</v>
      </c>
      <c r="B246" s="205"/>
      <c r="C246" s="205"/>
      <c r="D246" s="225"/>
      <c r="E246" s="209"/>
      <c r="F246" s="209"/>
      <c r="G246" s="209"/>
      <c r="H246" s="225"/>
      <c r="I246" s="235"/>
      <c r="J246" s="235"/>
      <c r="K246" s="235"/>
      <c r="L246" s="206"/>
      <c r="M246" s="213" t="str">
        <f t="shared" ca="1" si="4"/>
        <v>NA</v>
      </c>
      <c r="N246" s="229"/>
    </row>
    <row r="247" spans="1:14" ht="60" customHeight="1">
      <c r="A247" s="204">
        <v>244</v>
      </c>
      <c r="B247" s="205"/>
      <c r="C247" s="205"/>
      <c r="D247" s="225"/>
      <c r="E247" s="209"/>
      <c r="F247" s="209"/>
      <c r="G247" s="209"/>
      <c r="H247" s="225"/>
      <c r="I247" s="235"/>
      <c r="J247" s="235"/>
      <c r="K247" s="235"/>
      <c r="L247" s="206"/>
      <c r="M247" s="213" t="str">
        <f t="shared" ca="1" si="4"/>
        <v>NA</v>
      </c>
      <c r="N247" s="229"/>
    </row>
    <row r="248" spans="1:14" ht="60" customHeight="1">
      <c r="A248" s="204">
        <v>245</v>
      </c>
      <c r="B248" s="205"/>
      <c r="C248" s="205"/>
      <c r="D248" s="225"/>
      <c r="E248" s="209"/>
      <c r="F248" s="209"/>
      <c r="G248" s="209"/>
      <c r="H248" s="225"/>
      <c r="I248" s="235"/>
      <c r="J248" s="235"/>
      <c r="K248" s="235"/>
      <c r="L248" s="206"/>
      <c r="M248" s="213" t="str">
        <f t="shared" ca="1" si="4"/>
        <v>NA</v>
      </c>
      <c r="N248" s="229"/>
    </row>
    <row r="249" spans="1:14" ht="60" customHeight="1">
      <c r="A249" s="204">
        <v>246</v>
      </c>
      <c r="B249" s="205"/>
      <c r="C249" s="205"/>
      <c r="D249" s="225"/>
      <c r="E249" s="209"/>
      <c r="F249" s="209"/>
      <c r="G249" s="209"/>
      <c r="H249" s="225"/>
      <c r="I249" s="235"/>
      <c r="J249" s="235"/>
      <c r="K249" s="235"/>
      <c r="L249" s="206"/>
      <c r="M249" s="213" t="str">
        <f t="shared" ca="1" si="4"/>
        <v>NA</v>
      </c>
      <c r="N249" s="229"/>
    </row>
    <row r="250" spans="1:14" ht="60" customHeight="1">
      <c r="A250" s="204">
        <v>247</v>
      </c>
      <c r="B250" s="205"/>
      <c r="C250" s="205"/>
      <c r="D250" s="225"/>
      <c r="E250" s="209"/>
      <c r="F250" s="209"/>
      <c r="G250" s="209"/>
      <c r="H250" s="225"/>
      <c r="I250" s="235"/>
      <c r="J250" s="235"/>
      <c r="K250" s="235"/>
      <c r="L250" s="206"/>
      <c r="M250" s="213" t="str">
        <f t="shared" ca="1" si="4"/>
        <v>NA</v>
      </c>
      <c r="N250" s="229"/>
    </row>
    <row r="251" spans="1:14" ht="60" customHeight="1">
      <c r="A251" s="204">
        <v>248</v>
      </c>
      <c r="B251" s="205"/>
      <c r="C251" s="205"/>
      <c r="D251" s="225"/>
      <c r="E251" s="209"/>
      <c r="F251" s="209"/>
      <c r="G251" s="209"/>
      <c r="H251" s="225"/>
      <c r="I251" s="235"/>
      <c r="J251" s="235"/>
      <c r="K251" s="235"/>
      <c r="L251" s="206"/>
      <c r="M251" s="213" t="str">
        <f t="shared" ca="1" si="4"/>
        <v>NA</v>
      </c>
      <c r="N251" s="229"/>
    </row>
    <row r="252" spans="1:14" ht="60" customHeight="1">
      <c r="A252" s="204">
        <v>249</v>
      </c>
      <c r="B252" s="205"/>
      <c r="C252" s="205"/>
      <c r="D252" s="225"/>
      <c r="E252" s="209"/>
      <c r="F252" s="209"/>
      <c r="G252" s="209"/>
      <c r="H252" s="225"/>
      <c r="I252" s="235"/>
      <c r="J252" s="235"/>
      <c r="K252" s="235"/>
      <c r="L252" s="206"/>
      <c r="M252" s="213" t="str">
        <f t="shared" ca="1" si="4"/>
        <v>NA</v>
      </c>
      <c r="N252" s="229"/>
    </row>
    <row r="253" spans="1:14" ht="60" customHeight="1">
      <c r="A253" s="204">
        <v>250</v>
      </c>
      <c r="B253" s="205"/>
      <c r="C253" s="205"/>
      <c r="D253" s="225"/>
      <c r="E253" s="209"/>
      <c r="F253" s="209"/>
      <c r="G253" s="209"/>
      <c r="H253" s="225"/>
      <c r="I253" s="235"/>
      <c r="J253" s="235"/>
      <c r="K253" s="235"/>
      <c r="L253" s="206"/>
      <c r="M253" s="213" t="str">
        <f t="shared" ca="1" si="4"/>
        <v>NA</v>
      </c>
      <c r="N253" s="229"/>
    </row>
    <row r="254" spans="1:14" ht="60" customHeight="1" thickBot="1">
      <c r="A254" s="253">
        <v>251</v>
      </c>
      <c r="B254" s="254"/>
      <c r="C254" s="254"/>
      <c r="D254" s="255"/>
      <c r="E254" s="256"/>
      <c r="F254" s="256"/>
      <c r="G254" s="256"/>
      <c r="H254" s="255"/>
      <c r="I254" s="257"/>
      <c r="J254" s="257"/>
      <c r="K254" s="257"/>
      <c r="L254" s="258"/>
      <c r="M254" s="259" t="str">
        <f t="shared" ca="1" si="4"/>
        <v>NA</v>
      </c>
      <c r="N254" s="260"/>
    </row>
    <row r="255" spans="1:14" ht="60" customHeight="1">
      <c r="A255" s="261">
        <v>252</v>
      </c>
      <c r="B255" s="261"/>
      <c r="C255" s="261"/>
      <c r="M255" s="263" t="str">
        <f t="shared" ca="1" si="4"/>
        <v>NA</v>
      </c>
      <c r="N255" s="264"/>
    </row>
    <row r="256" spans="1:14" ht="60" customHeight="1">
      <c r="A256" s="261">
        <v>253</v>
      </c>
      <c r="B256" s="261"/>
      <c r="C256" s="261"/>
      <c r="M256" s="263" t="str">
        <f t="shared" ca="1" si="4"/>
        <v>NA</v>
      </c>
      <c r="N256" s="264"/>
    </row>
    <row r="257" spans="1:14" ht="60" customHeight="1">
      <c r="A257" s="261">
        <v>254</v>
      </c>
      <c r="B257" s="261"/>
      <c r="C257" s="261"/>
      <c r="M257" s="263" t="str">
        <f t="shared" ca="1" si="4"/>
        <v>NA</v>
      </c>
      <c r="N257" s="264"/>
    </row>
    <row r="258" spans="1:14" ht="60" customHeight="1">
      <c r="A258" s="261">
        <v>255</v>
      </c>
      <c r="B258" s="261"/>
      <c r="C258" s="261"/>
      <c r="M258" s="263" t="str">
        <f t="shared" ca="1" si="4"/>
        <v>NA</v>
      </c>
      <c r="N258" s="264"/>
    </row>
    <row r="259" spans="1:14" ht="60" customHeight="1">
      <c r="A259" s="261">
        <v>256</v>
      </c>
      <c r="B259" s="261"/>
      <c r="C259" s="261"/>
      <c r="M259" s="263" t="str">
        <f t="shared" ca="1" si="4"/>
        <v>NA</v>
      </c>
      <c r="N259" s="264"/>
    </row>
    <row r="260" spans="1:14" ht="60" customHeight="1">
      <c r="A260" s="261">
        <v>257</v>
      </c>
      <c r="B260" s="261"/>
      <c r="C260" s="261"/>
      <c r="M260" s="263" t="str">
        <f t="shared" ca="1" si="4"/>
        <v>NA</v>
      </c>
      <c r="N260" s="264"/>
    </row>
    <row r="261" spans="1:14" ht="60" customHeight="1">
      <c r="A261" s="261">
        <v>258</v>
      </c>
      <c r="B261" s="261"/>
      <c r="C261" s="261"/>
      <c r="M261" s="263" t="str">
        <f t="shared" ca="1" si="4"/>
        <v>NA</v>
      </c>
      <c r="N261" s="264"/>
    </row>
    <row r="262" spans="1:14" ht="60" customHeight="1">
      <c r="A262" s="261">
        <v>259</v>
      </c>
      <c r="B262" s="261"/>
      <c r="C262" s="261"/>
      <c r="M262" s="263" t="str">
        <f t="shared" ca="1" si="4"/>
        <v>NA</v>
      </c>
      <c r="N262" s="264"/>
    </row>
    <row r="263" spans="1:14" ht="60" customHeight="1">
      <c r="A263" s="261">
        <v>260</v>
      </c>
      <c r="B263" s="261"/>
      <c r="C263" s="261"/>
      <c r="M263" s="263" t="str">
        <f t="shared" ca="1" si="4"/>
        <v>NA</v>
      </c>
      <c r="N263" s="264"/>
    </row>
    <row r="264" spans="1:14" ht="60" customHeight="1">
      <c r="A264" s="261">
        <v>261</v>
      </c>
      <c r="B264" s="261"/>
      <c r="C264" s="261"/>
      <c r="M264" s="263" t="str">
        <f t="shared" ca="1" si="4"/>
        <v>NA</v>
      </c>
      <c r="N264" s="264"/>
    </row>
    <row r="265" spans="1:14" ht="60" customHeight="1">
      <c r="A265" s="261">
        <v>262</v>
      </c>
      <c r="B265" s="261"/>
      <c r="C265" s="261"/>
      <c r="M265" s="263" t="str">
        <f t="shared" ca="1" si="4"/>
        <v>NA</v>
      </c>
      <c r="N265" s="264"/>
    </row>
    <row r="266" spans="1:14" ht="60" customHeight="1">
      <c r="A266" s="261">
        <v>263</v>
      </c>
      <c r="B266" s="261"/>
      <c r="C266" s="261"/>
      <c r="M266" s="263" t="str">
        <f t="shared" ca="1" si="4"/>
        <v>NA</v>
      </c>
      <c r="N266" s="264"/>
    </row>
    <row r="267" spans="1:14" ht="60" customHeight="1">
      <c r="A267" s="261">
        <v>264</v>
      </c>
      <c r="B267" s="261"/>
      <c r="C267" s="261"/>
      <c r="M267" s="263" t="str">
        <f t="shared" ca="1" si="4"/>
        <v>NA</v>
      </c>
      <c r="N267" s="264"/>
    </row>
    <row r="268" spans="1:14" ht="60" customHeight="1">
      <c r="A268" s="261">
        <v>265</v>
      </c>
      <c r="B268" s="261"/>
      <c r="C268" s="261"/>
      <c r="M268" s="263" t="str">
        <f t="shared" ca="1" si="4"/>
        <v>NA</v>
      </c>
      <c r="N268" s="264"/>
    </row>
    <row r="269" spans="1:14" ht="60" customHeight="1">
      <c r="A269" s="261">
        <v>266</v>
      </c>
      <c r="B269" s="261"/>
      <c r="C269" s="261"/>
      <c r="M269" s="263" t="str">
        <f t="shared" ca="1" si="4"/>
        <v>NA</v>
      </c>
      <c r="N269" s="264"/>
    </row>
    <row r="270" spans="1:14" ht="60" customHeight="1">
      <c r="A270" s="261">
        <v>267</v>
      </c>
      <c r="B270" s="261"/>
      <c r="C270" s="261"/>
      <c r="M270" s="263" t="str">
        <f t="shared" ca="1" si="4"/>
        <v>NA</v>
      </c>
      <c r="N270" s="264"/>
    </row>
    <row r="271" spans="1:14" ht="60" customHeight="1">
      <c r="A271" s="261">
        <v>268</v>
      </c>
      <c r="B271" s="261"/>
      <c r="C271" s="261"/>
      <c r="M271" s="263" t="str">
        <f t="shared" ca="1" si="4"/>
        <v>NA</v>
      </c>
      <c r="N271" s="264"/>
    </row>
    <row r="272" spans="1:14" ht="60" customHeight="1">
      <c r="A272" s="261">
        <v>269</v>
      </c>
      <c r="B272" s="261"/>
      <c r="C272" s="261"/>
      <c r="M272" s="263" t="str">
        <f t="shared" ca="1" si="4"/>
        <v>NA</v>
      </c>
      <c r="N272" s="264"/>
    </row>
    <row r="273" spans="1:14" ht="60" customHeight="1">
      <c r="A273" s="261">
        <v>270</v>
      </c>
      <c r="B273" s="261"/>
      <c r="C273" s="261"/>
      <c r="M273" s="263" t="str">
        <f t="shared" ca="1" si="4"/>
        <v>NA</v>
      </c>
      <c r="N273" s="264"/>
    </row>
    <row r="274" spans="1:14" ht="60" customHeight="1">
      <c r="A274" s="261">
        <v>271</v>
      </c>
      <c r="B274" s="261"/>
      <c r="C274" s="261"/>
      <c r="M274" s="263" t="str">
        <f t="shared" ca="1" si="4"/>
        <v>NA</v>
      </c>
      <c r="N274" s="264"/>
    </row>
    <row r="275" spans="1:14" ht="60" customHeight="1">
      <c r="A275" s="261">
        <v>272</v>
      </c>
      <c r="B275" s="261"/>
      <c r="C275" s="261"/>
      <c r="M275" s="263" t="str">
        <f t="shared" ca="1" si="4"/>
        <v>NA</v>
      </c>
      <c r="N275" s="264"/>
    </row>
    <row r="276" spans="1:14" ht="60" customHeight="1">
      <c r="A276" s="261">
        <v>273</v>
      </c>
      <c r="B276" s="261"/>
      <c r="C276" s="261"/>
      <c r="M276" s="263" t="str">
        <f t="shared" ca="1" si="4"/>
        <v>NA</v>
      </c>
      <c r="N276" s="264"/>
    </row>
    <row r="277" spans="1:14" ht="60" customHeight="1">
      <c r="A277" s="261">
        <v>274</v>
      </c>
      <c r="B277" s="261"/>
      <c r="C277" s="261"/>
      <c r="M277" s="263" t="str">
        <f t="shared" ca="1" si="4"/>
        <v>NA</v>
      </c>
      <c r="N277" s="264"/>
    </row>
    <row r="278" spans="1:14" ht="60" customHeight="1">
      <c r="A278" s="261">
        <v>275</v>
      </c>
      <c r="B278" s="261"/>
      <c r="C278" s="261"/>
      <c r="M278" s="263" t="str">
        <f t="shared" ca="1" si="4"/>
        <v>NA</v>
      </c>
      <c r="N278" s="264"/>
    </row>
    <row r="279" spans="1:14" ht="60" customHeight="1">
      <c r="A279" s="261">
        <v>276</v>
      </c>
      <c r="B279" s="261"/>
      <c r="C279" s="261"/>
      <c r="M279" s="263" t="str">
        <f t="shared" ca="1" si="4"/>
        <v>NA</v>
      </c>
      <c r="N279" s="264"/>
    </row>
    <row r="280" spans="1:14" ht="60" customHeight="1">
      <c r="A280" s="261">
        <v>277</v>
      </c>
      <c r="B280" s="261"/>
      <c r="C280" s="261"/>
      <c r="M280" s="263" t="str">
        <f t="shared" ca="1" si="4"/>
        <v>NA</v>
      </c>
      <c r="N280" s="264"/>
    </row>
    <row r="281" spans="1:14" ht="60" customHeight="1">
      <c r="A281" s="261">
        <v>278</v>
      </c>
      <c r="B281" s="261"/>
      <c r="C281" s="261"/>
      <c r="M281" s="263" t="str">
        <f t="shared" ca="1" si="4"/>
        <v>NA</v>
      </c>
      <c r="N281" s="264"/>
    </row>
    <row r="282" spans="1:14" ht="60" customHeight="1">
      <c r="A282" s="261">
        <v>279</v>
      </c>
      <c r="B282" s="261"/>
      <c r="C282" s="261"/>
      <c r="M282" s="263" t="str">
        <f t="shared" ca="1" si="4"/>
        <v>NA</v>
      </c>
      <c r="N282" s="264"/>
    </row>
    <row r="283" spans="1:14" ht="60" customHeight="1">
      <c r="A283" s="261">
        <v>280</v>
      </c>
      <c r="B283" s="261"/>
      <c r="C283" s="261"/>
      <c r="M283" s="263" t="str">
        <f t="shared" ref="M283:M293" ca="1" si="5">IF(AND(J283="",K283=""),"NA",IFERROR(IF(L283="closed","完成",TEXT(J283-TODAY(),"還有0天;逾期0天;今天到期")),"NA"))</f>
        <v>NA</v>
      </c>
      <c r="N283" s="264"/>
    </row>
    <row r="284" spans="1:14" ht="60" customHeight="1">
      <c r="A284" s="261">
        <v>281</v>
      </c>
      <c r="B284" s="261"/>
      <c r="C284" s="261"/>
      <c r="M284" s="263" t="str">
        <f t="shared" ca="1" si="5"/>
        <v>NA</v>
      </c>
      <c r="N284" s="264"/>
    </row>
    <row r="285" spans="1:14" ht="60" customHeight="1">
      <c r="A285" s="261">
        <v>282</v>
      </c>
      <c r="B285" s="261"/>
      <c r="C285" s="261"/>
      <c r="M285" s="263" t="str">
        <f t="shared" ca="1" si="5"/>
        <v>NA</v>
      </c>
      <c r="N285" s="264"/>
    </row>
    <row r="286" spans="1:14" ht="60" customHeight="1">
      <c r="A286" s="261">
        <v>283</v>
      </c>
      <c r="B286" s="261"/>
      <c r="C286" s="261"/>
      <c r="M286" s="263" t="str">
        <f t="shared" ca="1" si="5"/>
        <v>NA</v>
      </c>
      <c r="N286" s="264"/>
    </row>
    <row r="287" spans="1:14" ht="60" customHeight="1">
      <c r="A287" s="261">
        <v>284</v>
      </c>
      <c r="B287" s="261"/>
      <c r="C287" s="261"/>
      <c r="M287" s="263" t="str">
        <f t="shared" ca="1" si="5"/>
        <v>NA</v>
      </c>
      <c r="N287" s="264"/>
    </row>
    <row r="288" spans="1:14" ht="60" customHeight="1">
      <c r="A288" s="261">
        <v>285</v>
      </c>
      <c r="B288" s="261"/>
      <c r="C288" s="261"/>
      <c r="M288" s="263" t="str">
        <f t="shared" ca="1" si="5"/>
        <v>NA</v>
      </c>
      <c r="N288" s="264"/>
    </row>
    <row r="289" spans="1:14" ht="60" customHeight="1">
      <c r="A289" s="261">
        <v>286</v>
      </c>
      <c r="B289" s="261"/>
      <c r="C289" s="261"/>
      <c r="M289" s="263" t="str">
        <f t="shared" ca="1" si="5"/>
        <v>NA</v>
      </c>
      <c r="N289" s="264"/>
    </row>
    <row r="290" spans="1:14" ht="60" customHeight="1">
      <c r="A290" s="261">
        <v>287</v>
      </c>
      <c r="B290" s="261"/>
      <c r="C290" s="261"/>
      <c r="M290" s="263" t="str">
        <f t="shared" ca="1" si="5"/>
        <v>NA</v>
      </c>
      <c r="N290" s="264"/>
    </row>
    <row r="291" spans="1:14" ht="60" customHeight="1">
      <c r="A291" s="261">
        <v>288</v>
      </c>
      <c r="B291" s="261"/>
      <c r="C291" s="261"/>
      <c r="M291" s="263" t="str">
        <f t="shared" ca="1" si="5"/>
        <v>NA</v>
      </c>
      <c r="N291" s="264"/>
    </row>
    <row r="292" spans="1:14" ht="60" customHeight="1">
      <c r="A292" s="261">
        <v>289</v>
      </c>
      <c r="B292" s="261"/>
      <c r="C292" s="261"/>
      <c r="M292" s="263" t="str">
        <f t="shared" ca="1" si="5"/>
        <v>NA</v>
      </c>
      <c r="N292" s="264"/>
    </row>
    <row r="293" spans="1:14" ht="60" customHeight="1">
      <c r="A293" s="261">
        <v>290</v>
      </c>
      <c r="B293" s="261"/>
      <c r="C293" s="261"/>
      <c r="M293" s="263" t="str">
        <f t="shared" ca="1" si="5"/>
        <v>NA</v>
      </c>
      <c r="N293" s="264"/>
    </row>
  </sheetData>
  <autoFilter ref="A3:N293" xr:uid="{00000000-0001-0000-0000-000000000000}">
    <sortState xmlns:xlrd2="http://schemas.microsoft.com/office/spreadsheetml/2017/richdata2" ref="A5:N293">
      <sortCondition ref="J3"/>
    </sortState>
  </autoFilter>
  <mergeCells count="14">
    <mergeCell ref="J2:K2"/>
    <mergeCell ref="L2:L3"/>
    <mergeCell ref="M2:M3"/>
    <mergeCell ref="N2:N3"/>
    <mergeCell ref="D1:M1"/>
    <mergeCell ref="F2:F3"/>
    <mergeCell ref="G2:G3"/>
    <mergeCell ref="H2:H3"/>
    <mergeCell ref="I2:I3"/>
    <mergeCell ref="A2:A3"/>
    <mergeCell ref="B2:B3"/>
    <mergeCell ref="C2:C3"/>
    <mergeCell ref="D2:D3"/>
    <mergeCell ref="E2:E3"/>
  </mergeCells>
  <phoneticPr fontId="164" type="noConversion"/>
  <conditionalFormatting sqref="N7:N191 M7:M293 H4:N6 A4:G4 D5:G191 H7:L191 A5:C293">
    <cfRule type="expression" dxfId="999" priority="1">
      <formula>LEFT($M4)="Completed"</formula>
    </cfRule>
    <cfRule type="expression" dxfId="998" priority="2">
      <formula>LEFT($M4)="還"</formula>
    </cfRule>
    <cfRule type="expression" dxfId="997" priority="3">
      <formula>LEFT($M4)="逾"</formula>
    </cfRule>
    <cfRule type="expression" dxfId="996" priority="4">
      <formula>LEFT($M4)="今"</formula>
    </cfRule>
  </conditionalFormatting>
  <dataValidations disablePrompts="1" count="2">
    <dataValidation type="list" allowBlank="1" showInputMessage="1" showErrorMessage="1" sqref="L158:L294 L4:L156" xr:uid="{7B862056-B2B5-489E-BD17-94EE85843516}">
      <formula1>"Open,Closed"</formula1>
    </dataValidation>
    <dataValidation type="list" allowBlank="1" showInputMessage="1" showErrorMessage="1" sqref="L299:L1048576 L295:L296 L2" xr:uid="{E67CC878-85D6-4550-96BA-FED18D7B3F70}">
      <formula1>#REF!</formula1>
    </dataValidation>
  </dataValidations>
  <printOptions horizontalCentered="1" verticalCentered="1"/>
  <pageMargins left="0.74803149606299213" right="0.74803149606299213" top="0.98425196850393704" bottom="0.98425196850393704" header="0.51181102362204722" footer="0.51181102362204722"/>
  <pageSetup paperSize="9" scale="10" orientation="portrait" horizontalDpi="300" verticalDpi="300" r:id="rId1"/>
  <headerFooter alignWithMargins="0"/>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1BBA39B-F210-4529-8B9A-E9364775AB41}">
          <x14:formula1>
            <xm:f>Filter!#REF!</xm:f>
          </x14:formula1>
          <xm:sqref>B4:C293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8B95-6D32-4EA1-AC58-9114A141121E}">
  <sheetPr codeName="Sheet62">
    <tabColor rgb="FFFFC000"/>
  </sheetPr>
  <dimension ref="B1:O15"/>
  <sheetViews>
    <sheetView zoomScale="85" zoomScaleNormal="85" zoomScaleSheetLayoutView="70" workbookViewId="0">
      <pane xSplit="3" ySplit="1" topLeftCell="D4" activePane="bottomRight" state="frozen"/>
      <selection pane="topRight" activeCell="D1" sqref="D1"/>
      <selection pane="bottomLeft" activeCell="A3" sqref="A3"/>
      <selection pane="bottomRight" activeCell="M8" sqref="M8"/>
    </sheetView>
  </sheetViews>
  <sheetFormatPr defaultColWidth="9.28515625" defaultRowHeight="15.75" outlineLevelCol="1"/>
  <cols>
    <col min="1" max="1" width="9.28515625" style="33"/>
    <col min="2" max="2" width="0" style="33" hidden="1" customWidth="1" outlineLevel="1"/>
    <col min="3" max="3" width="44.42578125" style="616" hidden="1" customWidth="1" outlineLevel="1"/>
    <col min="4" max="4" width="19" style="938" hidden="1" customWidth="1" outlineLevel="1"/>
    <col min="5" max="6" width="106.5703125" style="64" hidden="1" customWidth="1" outlineLevel="1"/>
    <col min="7" max="7" width="22.7109375" style="938" hidden="1" customWidth="1" outlineLevel="1" collapsed="1"/>
    <col min="8" max="8" width="19" style="938" hidden="1" customWidth="1" outlineLevel="1"/>
    <col min="9" max="9" width="9.28515625" style="33" collapsed="1"/>
    <col min="10" max="10" width="13.85546875" style="945" customWidth="1"/>
    <col min="11" max="11" width="27.85546875" style="945" customWidth="1"/>
    <col min="12" max="12" width="14.5703125" style="945" customWidth="1"/>
    <col min="13" max="13" width="130.7109375" style="945" customWidth="1"/>
    <col min="14" max="14" width="28.42578125" style="945" customWidth="1"/>
    <col min="15" max="15" width="13" style="945" customWidth="1"/>
    <col min="16" max="16384" width="9.28515625" style="33"/>
  </cols>
  <sheetData>
    <row r="1" spans="2:15" ht="36.950000000000003" customHeight="1" thickBot="1">
      <c r="B1" s="915" t="s">
        <v>0</v>
      </c>
      <c r="C1" s="916" t="s">
        <v>26</v>
      </c>
      <c r="D1" s="917" t="s">
        <v>27</v>
      </c>
      <c r="E1" s="917" t="s">
        <v>4381</v>
      </c>
      <c r="F1" s="917" t="s">
        <v>4382</v>
      </c>
      <c r="G1" s="917" t="s">
        <v>4383</v>
      </c>
      <c r="H1" s="917" t="s">
        <v>28</v>
      </c>
      <c r="J1" s="942" t="s">
        <v>4136</v>
      </c>
      <c r="K1" s="942" t="s">
        <v>26</v>
      </c>
      <c r="L1" s="943" t="s">
        <v>27</v>
      </c>
      <c r="M1" s="943" t="s">
        <v>4381</v>
      </c>
      <c r="N1" s="943" t="s">
        <v>4383</v>
      </c>
      <c r="O1" s="944" t="s">
        <v>28</v>
      </c>
    </row>
    <row r="2" spans="2:15" ht="41.1" customHeight="1">
      <c r="B2" s="918">
        <f>ROW()-1</f>
        <v>1</v>
      </c>
      <c r="C2" s="919" t="s">
        <v>29</v>
      </c>
      <c r="D2" s="920" t="s">
        <v>4384</v>
      </c>
      <c r="E2" s="161" t="s">
        <v>4385</v>
      </c>
      <c r="F2" s="921"/>
      <c r="G2" s="922" t="s">
        <v>4386</v>
      </c>
      <c r="H2" s="923"/>
      <c r="K2" s="948" t="s">
        <v>4387</v>
      </c>
      <c r="L2" s="949" t="s">
        <v>4388</v>
      </c>
      <c r="M2" s="939" t="s">
        <v>4389</v>
      </c>
      <c r="N2" s="949" t="s">
        <v>4388</v>
      </c>
      <c r="O2" s="950" t="s">
        <v>4388</v>
      </c>
    </row>
    <row r="3" spans="2:15" ht="36" customHeight="1">
      <c r="B3" s="918">
        <f>ROW()-1</f>
        <v>2</v>
      </c>
      <c r="C3" s="919" t="s">
        <v>30</v>
      </c>
      <c r="D3" s="920" t="s">
        <v>4384</v>
      </c>
      <c r="E3" s="161" t="s">
        <v>4390</v>
      </c>
      <c r="F3" s="921"/>
      <c r="G3" s="922" t="s">
        <v>4386</v>
      </c>
      <c r="H3" s="923"/>
      <c r="K3" s="948" t="s">
        <v>4391</v>
      </c>
      <c r="L3" s="949" t="s">
        <v>4388</v>
      </c>
      <c r="M3" s="939" t="s">
        <v>4423</v>
      </c>
      <c r="N3" s="949" t="s">
        <v>4388</v>
      </c>
      <c r="O3" s="950" t="s">
        <v>4388</v>
      </c>
    </row>
    <row r="4" spans="2:15" ht="126">
      <c r="B4" s="918">
        <f t="shared" ref="B4:B14" si="0">ROW()-1</f>
        <v>3</v>
      </c>
      <c r="C4" s="919" t="s">
        <v>32</v>
      </c>
      <c r="D4" s="920" t="s">
        <v>4392</v>
      </c>
      <c r="E4" s="161" t="s">
        <v>4393</v>
      </c>
      <c r="F4" s="921"/>
      <c r="G4" s="922" t="s">
        <v>4386</v>
      </c>
      <c r="H4" s="923"/>
      <c r="K4" s="948" t="s">
        <v>4394</v>
      </c>
      <c r="L4" s="949" t="s">
        <v>4388</v>
      </c>
      <c r="M4" s="939" t="s">
        <v>4424</v>
      </c>
      <c r="N4" s="949" t="s">
        <v>4388</v>
      </c>
      <c r="O4" s="950" t="s">
        <v>4388</v>
      </c>
    </row>
    <row r="5" spans="2:15" ht="80.099999999999994" customHeight="1">
      <c r="B5" s="918">
        <f t="shared" si="0"/>
        <v>4</v>
      </c>
      <c r="C5" s="919" t="s">
        <v>33</v>
      </c>
      <c r="D5" s="924" t="s">
        <v>4384</v>
      </c>
      <c r="E5" s="156" t="s">
        <v>4395</v>
      </c>
      <c r="F5" s="925"/>
      <c r="G5" s="922" t="s">
        <v>4386</v>
      </c>
      <c r="H5" s="923"/>
      <c r="K5" s="948" t="s">
        <v>4396</v>
      </c>
      <c r="L5" s="949" t="s">
        <v>4397</v>
      </c>
      <c r="M5" s="939" t="s">
        <v>4416</v>
      </c>
      <c r="N5" s="926" t="s">
        <v>4398</v>
      </c>
      <c r="O5" s="946">
        <v>0</v>
      </c>
    </row>
    <row r="6" spans="2:15" ht="142.5" customHeight="1">
      <c r="B6" s="918">
        <f t="shared" si="0"/>
        <v>5</v>
      </c>
      <c r="C6" s="919" t="s">
        <v>4399</v>
      </c>
      <c r="D6" s="927" t="s">
        <v>4397</v>
      </c>
      <c r="E6" s="161" t="s">
        <v>4400</v>
      </c>
      <c r="F6" s="921"/>
      <c r="G6" s="928" t="s">
        <v>4398</v>
      </c>
      <c r="H6" s="923"/>
      <c r="K6" s="948" t="s">
        <v>302</v>
      </c>
      <c r="L6" s="949" t="s">
        <v>4397</v>
      </c>
      <c r="M6" s="939" t="s">
        <v>4417</v>
      </c>
      <c r="N6" s="926" t="s">
        <v>4398</v>
      </c>
      <c r="O6" s="946">
        <v>-1</v>
      </c>
    </row>
    <row r="7" spans="2:15" ht="53.1" customHeight="1">
      <c r="B7" s="918">
        <f t="shared" si="0"/>
        <v>6</v>
      </c>
      <c r="C7" s="919" t="s">
        <v>4401</v>
      </c>
      <c r="D7" s="924" t="s">
        <v>4384</v>
      </c>
      <c r="E7" s="161" t="s">
        <v>4402</v>
      </c>
      <c r="F7" s="921"/>
      <c r="G7" s="922" t="s">
        <v>4403</v>
      </c>
      <c r="H7" s="923"/>
      <c r="K7" s="948" t="s">
        <v>32</v>
      </c>
      <c r="L7" s="949" t="s">
        <v>4392</v>
      </c>
      <c r="M7" s="939" t="s">
        <v>4420</v>
      </c>
      <c r="N7" s="926" t="s">
        <v>4386</v>
      </c>
      <c r="O7" s="946">
        <v>0</v>
      </c>
    </row>
    <row r="8" spans="2:15" ht="47.25">
      <c r="B8" s="918">
        <f t="shared" si="0"/>
        <v>7</v>
      </c>
      <c r="C8" s="919" t="s">
        <v>34</v>
      </c>
      <c r="D8" s="924" t="s">
        <v>4392</v>
      </c>
      <c r="E8" s="161" t="s">
        <v>4404</v>
      </c>
      <c r="F8" s="921"/>
      <c r="G8" s="922" t="s">
        <v>4403</v>
      </c>
      <c r="H8" s="923"/>
      <c r="K8" s="948" t="s">
        <v>33</v>
      </c>
      <c r="L8" s="949" t="s">
        <v>4392</v>
      </c>
      <c r="M8" s="940" t="s">
        <v>4418</v>
      </c>
      <c r="N8" s="926" t="s">
        <v>4386</v>
      </c>
      <c r="O8" s="946">
        <v>0</v>
      </c>
    </row>
    <row r="9" spans="2:15" ht="21">
      <c r="B9" s="918">
        <f t="shared" si="0"/>
        <v>8</v>
      </c>
      <c r="C9" s="919" t="s">
        <v>187</v>
      </c>
      <c r="D9" s="923" t="s">
        <v>4388</v>
      </c>
      <c r="E9" s="156" t="s">
        <v>4389</v>
      </c>
      <c r="F9" s="925"/>
      <c r="G9" s="922" t="s">
        <v>4403</v>
      </c>
      <c r="H9" s="923" t="s">
        <v>4388</v>
      </c>
      <c r="K9" s="948" t="s">
        <v>4405</v>
      </c>
      <c r="L9" s="949" t="s">
        <v>4384</v>
      </c>
      <c r="M9" s="939" t="s">
        <v>4423</v>
      </c>
      <c r="N9" s="926" t="s">
        <v>4386</v>
      </c>
      <c r="O9" s="946">
        <v>0</v>
      </c>
    </row>
    <row r="10" spans="2:15" ht="90">
      <c r="B10" s="918">
        <f t="shared" si="0"/>
        <v>9</v>
      </c>
      <c r="C10" s="919" t="s">
        <v>35</v>
      </c>
      <c r="D10" s="924" t="s">
        <v>4384</v>
      </c>
      <c r="E10" s="161" t="s">
        <v>4406</v>
      </c>
      <c r="F10" s="921"/>
      <c r="G10" s="922" t="s">
        <v>4403</v>
      </c>
      <c r="H10" s="923"/>
      <c r="K10" s="948" t="s">
        <v>4407</v>
      </c>
      <c r="L10" s="949" t="s">
        <v>4384</v>
      </c>
      <c r="M10" s="940" t="s">
        <v>4419</v>
      </c>
      <c r="N10" s="926" t="s">
        <v>4403</v>
      </c>
      <c r="O10" s="946">
        <v>0</v>
      </c>
    </row>
    <row r="11" spans="2:15" ht="21">
      <c r="B11" s="918">
        <f t="shared" si="0"/>
        <v>10</v>
      </c>
      <c r="C11" s="919" t="s">
        <v>36</v>
      </c>
      <c r="D11" s="923" t="s">
        <v>4388</v>
      </c>
      <c r="E11" s="156" t="s">
        <v>4389</v>
      </c>
      <c r="F11" s="925"/>
      <c r="G11" s="922" t="s">
        <v>4403</v>
      </c>
      <c r="H11" s="923" t="s">
        <v>4388</v>
      </c>
      <c r="K11" s="948" t="s">
        <v>4408</v>
      </c>
      <c r="L11" s="949" t="s">
        <v>4384</v>
      </c>
      <c r="M11" s="939" t="s">
        <v>4409</v>
      </c>
      <c r="N11" s="926" t="s">
        <v>4403</v>
      </c>
      <c r="O11" s="946">
        <v>0</v>
      </c>
    </row>
    <row r="12" spans="2:15" ht="31.5">
      <c r="B12" s="918">
        <f t="shared" si="0"/>
        <v>11</v>
      </c>
      <c r="C12" s="919" t="s">
        <v>37</v>
      </c>
      <c r="D12" s="923" t="s">
        <v>4388</v>
      </c>
      <c r="E12" s="165" t="s">
        <v>4410</v>
      </c>
      <c r="F12" s="929"/>
      <c r="G12" s="922" t="s">
        <v>4386</v>
      </c>
      <c r="H12" s="923"/>
      <c r="K12" s="948" t="s">
        <v>4411</v>
      </c>
      <c r="L12" s="949" t="s">
        <v>4384</v>
      </c>
      <c r="M12" s="939" t="s">
        <v>4420</v>
      </c>
      <c r="N12" s="926" t="s">
        <v>4388</v>
      </c>
      <c r="O12" s="926" t="s">
        <v>4388</v>
      </c>
    </row>
    <row r="13" spans="2:15">
      <c r="B13" s="918">
        <f t="shared" si="0"/>
        <v>12</v>
      </c>
      <c r="C13" s="919" t="s">
        <v>4405</v>
      </c>
      <c r="D13" s="920" t="s">
        <v>4384</v>
      </c>
      <c r="E13" s="165" t="s">
        <v>4412</v>
      </c>
      <c r="F13" s="929"/>
      <c r="G13" s="922" t="s">
        <v>4403</v>
      </c>
      <c r="H13" s="923"/>
      <c r="K13" s="948" t="s">
        <v>34</v>
      </c>
      <c r="L13" s="949" t="s">
        <v>4384</v>
      </c>
      <c r="M13" s="939" t="s">
        <v>4389</v>
      </c>
      <c r="N13" s="926" t="s">
        <v>4388</v>
      </c>
      <c r="O13" s="926" t="s">
        <v>4388</v>
      </c>
    </row>
    <row r="14" spans="2:15" ht="31.5">
      <c r="B14" s="918">
        <f t="shared" si="0"/>
        <v>13</v>
      </c>
      <c r="C14" s="919" t="s">
        <v>4413</v>
      </c>
      <c r="D14" s="920" t="s">
        <v>4384</v>
      </c>
      <c r="E14" s="161" t="s">
        <v>4414</v>
      </c>
      <c r="F14" s="921"/>
      <c r="G14" s="922" t="s">
        <v>4403</v>
      </c>
      <c r="H14" s="923"/>
      <c r="K14" s="948" t="s">
        <v>35</v>
      </c>
      <c r="L14" s="949" t="s">
        <v>4384</v>
      </c>
      <c r="M14" s="939" t="s">
        <v>4421</v>
      </c>
      <c r="N14" s="926" t="s">
        <v>4403</v>
      </c>
      <c r="O14" s="946">
        <v>0</v>
      </c>
    </row>
    <row r="15" spans="2:15" ht="80.099999999999994" customHeight="1" thickBot="1">
      <c r="B15" s="930">
        <f>ROW()-1</f>
        <v>14</v>
      </c>
      <c r="C15" s="931" t="s">
        <v>302</v>
      </c>
      <c r="D15" s="932" t="s">
        <v>4397</v>
      </c>
      <c r="E15" s="933" t="s">
        <v>4415</v>
      </c>
      <c r="F15" s="934"/>
      <c r="G15" s="935" t="s">
        <v>4398</v>
      </c>
      <c r="H15" s="936"/>
      <c r="K15" s="951" t="s">
        <v>4413</v>
      </c>
      <c r="L15" s="952" t="s">
        <v>4384</v>
      </c>
      <c r="M15" s="941" t="s">
        <v>4422</v>
      </c>
      <c r="N15" s="937" t="s">
        <v>4403</v>
      </c>
      <c r="O15" s="947">
        <v>0</v>
      </c>
    </row>
  </sheetData>
  <autoFilter ref="K1:O1" xr:uid="{D8A38B95-6D32-4EA1-AC58-9114A141121E}"/>
  <phoneticPr fontId="164" type="noConversion"/>
  <conditionalFormatting sqref="D1:D1048576">
    <cfRule type="containsText" dxfId="995" priority="10" operator="containsText" text="Poor">
      <formula>NOT(ISERROR(SEARCH("Poor",D1)))</formula>
    </cfRule>
    <cfRule type="containsText" dxfId="994" priority="11" operator="containsText" text="Fair">
      <formula>NOT(ISERROR(SEARCH("Fair",D1)))</formula>
    </cfRule>
    <cfRule type="containsText" dxfId="993" priority="12" operator="containsText" text="Good">
      <formula>NOT(ISERROR(SEARCH("Good",D1)))</formula>
    </cfRule>
  </conditionalFormatting>
  <conditionalFormatting sqref="G2:G1048576">
    <cfRule type="containsText" dxfId="992" priority="5" operator="containsText" text="Slight / Negligible">
      <formula>NOT(ISERROR(SEARCH("Slight / Negligible",G2)))</formula>
    </cfRule>
    <cfRule type="containsText" dxfId="991" priority="6" operator="containsText" text="Moderate">
      <formula>NOT(ISERROR(SEARCH("Moderate",G2)))</formula>
    </cfRule>
    <cfRule type="containsText" dxfId="990" priority="7" operator="containsText" text="Serious">
      <formula>NOT(ISERROR(SEARCH("Serious",G2)))</formula>
    </cfRule>
    <cfRule type="containsText" dxfId="989" priority="8" operator="containsText" text="Critical">
      <formula>NOT(ISERROR(SEARCH("Critical",G2)))</formula>
    </cfRule>
    <cfRule type="containsText" dxfId="988" priority="9" operator="containsText" text="Existence Threatening">
      <formula>NOT(ISERROR(SEARCH("Existence Threatening",G2)))</formula>
    </cfRule>
  </conditionalFormatting>
  <conditionalFormatting sqref="H1:H1048576">
    <cfRule type="containsText" dxfId="987" priority="2" operator="containsText" text="Decreasing (Declining)">
      <formula>NOT(ISERROR(SEARCH("Decreasing (Declining)",H1)))</formula>
    </cfRule>
    <cfRule type="containsText" dxfId="986" priority="3" operator="containsText" text="Flat (Stable)">
      <formula>NOT(ISERROR(SEARCH("Flat (Stable)",H1)))</formula>
    </cfRule>
    <cfRule type="containsText" dxfId="985" priority="4" operator="containsText" text="Increasing (Improving)">
      <formula>NOT(ISERROR(SEARCH("Increasing (Improving)",H1)))</formula>
    </cfRule>
  </conditionalFormatting>
  <pageMargins left="0.7" right="0.7" top="0.75" bottom="0.75" header="0.3" footer="0.3"/>
  <pageSetup orientation="portrait" verticalDpi="1200" r:id="rId1"/>
  <drawing r:id="rId2"/>
  <extLst>
    <ext xmlns:x14="http://schemas.microsoft.com/office/spreadsheetml/2009/9/main" uri="{78C0D931-6437-407d-A8EE-F0AAD7539E65}">
      <x14:conditionalFormattings>
        <x14:conditionalFormatting xmlns:xm="http://schemas.microsoft.com/office/excel/2006/main">
          <x14:cfRule type="iconSet" priority="1" id="{5D369B55-D851-4018-889D-EA13E0C18A4F}">
            <x14:iconSet iconSet="3Arrows" showValue="0" custom="1">
              <x14:cfvo type="percent">
                <xm:f>0</xm:f>
              </x14:cfvo>
              <x14:cfvo type="num">
                <xm:f>0</xm:f>
              </x14:cfvo>
              <x14:cfvo type="num" gte="0">
                <xm:f>1</xm:f>
              </x14:cfvo>
              <x14:cfIcon iconSet="3Arrows" iconId="0"/>
              <x14:cfIcon iconSet="3Triangles" iconId="1"/>
              <x14:cfIcon iconSet="3Arrows" iconId="2"/>
            </x14:iconSet>
          </x14:cfRule>
          <xm:sqref>O1:O11 O14:O1048576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6389F-C742-4B12-AEA2-53BF55112D36}">
  <sheetPr codeName="Sheet30"/>
  <dimension ref="A1:E30"/>
  <sheetViews>
    <sheetView zoomScaleNormal="100" zoomScaleSheetLayoutView="85" workbookViewId="0">
      <pane ySplit="1" topLeftCell="A5" activePane="bottomLeft" state="frozen"/>
      <selection pane="bottomLeft" activeCell="E33" sqref="E33"/>
    </sheetView>
  </sheetViews>
  <sheetFormatPr defaultColWidth="41.7109375" defaultRowHeight="15.75"/>
  <cols>
    <col min="1" max="1" width="17.5703125" customWidth="1"/>
    <col min="2" max="2" width="25.28515625" customWidth="1"/>
    <col min="3" max="4" width="29.5703125" customWidth="1"/>
  </cols>
  <sheetData>
    <row r="1" spans="1:5" ht="24.95" customHeight="1">
      <c r="A1" s="599" t="s">
        <v>3984</v>
      </c>
      <c r="B1" s="599" t="s">
        <v>3985</v>
      </c>
      <c r="C1" s="599" t="s">
        <v>3986</v>
      </c>
      <c r="D1" s="599"/>
    </row>
    <row r="2" spans="1:5">
      <c r="A2" s="616" t="s">
        <v>3976</v>
      </c>
      <c r="B2" s="616" t="s">
        <v>3987</v>
      </c>
      <c r="C2" s="773" t="s">
        <v>2</v>
      </c>
      <c r="D2" s="773"/>
    </row>
    <row r="3" spans="1:5">
      <c r="A3" s="616" t="s">
        <v>3976</v>
      </c>
      <c r="B3" s="616" t="s">
        <v>3987</v>
      </c>
      <c r="C3" s="773" t="s">
        <v>3989</v>
      </c>
      <c r="D3" s="773"/>
    </row>
    <row r="4" spans="1:5">
      <c r="A4" s="616" t="s">
        <v>3976</v>
      </c>
      <c r="B4" s="616" t="s">
        <v>3987</v>
      </c>
      <c r="C4" s="773" t="s">
        <v>3988</v>
      </c>
      <c r="D4" s="773"/>
    </row>
    <row r="5" spans="1:5">
      <c r="A5" s="616" t="s">
        <v>3976</v>
      </c>
      <c r="B5" s="616" t="s">
        <v>3987</v>
      </c>
      <c r="C5" s="773" t="s">
        <v>3996</v>
      </c>
      <c r="D5" s="773"/>
    </row>
    <row r="6" spans="1:5">
      <c r="A6" s="616" t="s">
        <v>3976</v>
      </c>
      <c r="B6" s="616" t="s">
        <v>3987</v>
      </c>
      <c r="C6" s="773" t="s">
        <v>3997</v>
      </c>
      <c r="D6" s="773"/>
    </row>
    <row r="7" spans="1:5">
      <c r="A7" s="616" t="s">
        <v>3976</v>
      </c>
      <c r="B7" s="616" t="s">
        <v>3987</v>
      </c>
      <c r="C7" s="773" t="s">
        <v>3998</v>
      </c>
      <c r="D7" s="773"/>
    </row>
    <row r="8" spans="1:5">
      <c r="A8" s="616" t="s">
        <v>3976</v>
      </c>
      <c r="B8" s="616" t="s">
        <v>3987</v>
      </c>
      <c r="C8" s="773" t="s">
        <v>4024</v>
      </c>
      <c r="D8" s="773"/>
    </row>
    <row r="9" spans="1:5">
      <c r="A9" s="616" t="s">
        <v>3976</v>
      </c>
      <c r="B9" s="616" t="s">
        <v>3987</v>
      </c>
      <c r="D9" s="773"/>
    </row>
    <row r="10" spans="1:5">
      <c r="A10" s="616" t="s">
        <v>3977</v>
      </c>
      <c r="B10" s="616" t="s">
        <v>3987</v>
      </c>
      <c r="C10" s="773" t="s">
        <v>2434</v>
      </c>
      <c r="D10" s="773"/>
    </row>
    <row r="11" spans="1:5">
      <c r="A11" s="616" t="s">
        <v>3977</v>
      </c>
      <c r="B11" s="616" t="s">
        <v>3987</v>
      </c>
      <c r="C11" s="773" t="s">
        <v>2465</v>
      </c>
      <c r="D11" s="773"/>
    </row>
    <row r="12" spans="1:5">
      <c r="A12" s="616" t="s">
        <v>3977</v>
      </c>
      <c r="B12" s="616" t="s">
        <v>3987</v>
      </c>
      <c r="C12" s="773" t="s">
        <v>3992</v>
      </c>
      <c r="D12" s="822" t="s">
        <v>4023</v>
      </c>
      <c r="E12" t="s">
        <v>4022</v>
      </c>
    </row>
    <row r="13" spans="1:5">
      <c r="A13" s="616" t="s">
        <v>3977</v>
      </c>
      <c r="B13" s="616" t="s">
        <v>3987</v>
      </c>
      <c r="C13" s="773" t="s">
        <v>4021</v>
      </c>
      <c r="D13" s="773"/>
    </row>
    <row r="14" spans="1:5">
      <c r="A14" s="616" t="s">
        <v>3977</v>
      </c>
      <c r="B14" s="616" t="s">
        <v>3987</v>
      </c>
      <c r="C14" s="773" t="s">
        <v>4112</v>
      </c>
      <c r="D14" s="822" t="s">
        <v>4206</v>
      </c>
      <c r="E14" t="s">
        <v>4207</v>
      </c>
    </row>
    <row r="15" spans="1:5">
      <c r="A15" s="616" t="s">
        <v>3977</v>
      </c>
      <c r="B15" s="616" t="s">
        <v>3987</v>
      </c>
      <c r="C15" s="773" t="s">
        <v>4196</v>
      </c>
      <c r="D15" s="773"/>
    </row>
    <row r="16" spans="1:5">
      <c r="A16" s="616" t="s">
        <v>3977</v>
      </c>
      <c r="B16" s="616" t="s">
        <v>3987</v>
      </c>
      <c r="C16" s="773" t="s">
        <v>4439</v>
      </c>
      <c r="D16" s="773"/>
    </row>
    <row r="17" spans="1:4">
      <c r="A17" s="616" t="s">
        <v>3977</v>
      </c>
      <c r="B17" s="616" t="s">
        <v>3987</v>
      </c>
      <c r="C17" s="773" t="s">
        <v>4440</v>
      </c>
      <c r="D17" s="773"/>
    </row>
    <row r="18" spans="1:4">
      <c r="A18" s="616" t="s">
        <v>4000</v>
      </c>
      <c r="B18" s="616" t="s">
        <v>3987</v>
      </c>
      <c r="C18" s="773" t="s">
        <v>3076</v>
      </c>
      <c r="D18" s="773"/>
    </row>
    <row r="19" spans="1:4">
      <c r="A19" s="616" t="s">
        <v>4000</v>
      </c>
      <c r="B19" s="616" t="s">
        <v>3987</v>
      </c>
      <c r="C19" s="773" t="s">
        <v>3972</v>
      </c>
    </row>
    <row r="20" spans="1:4">
      <c r="A20" s="616" t="s">
        <v>4000</v>
      </c>
      <c r="B20" s="616" t="s">
        <v>3987</v>
      </c>
      <c r="C20" s="773" t="s">
        <v>3982</v>
      </c>
    </row>
    <row r="21" spans="1:4">
      <c r="A21" s="616" t="s">
        <v>4000</v>
      </c>
      <c r="B21" s="616" t="s">
        <v>3987</v>
      </c>
      <c r="C21" s="773" t="s">
        <v>4181</v>
      </c>
    </row>
    <row r="22" spans="1:4">
      <c r="A22" s="616" t="s">
        <v>308</v>
      </c>
      <c r="B22" s="616" t="s">
        <v>3973</v>
      </c>
      <c r="C22" s="773" t="s">
        <v>3979</v>
      </c>
    </row>
    <row r="23" spans="1:4">
      <c r="A23" s="616" t="s">
        <v>3975</v>
      </c>
      <c r="B23" s="616" t="s">
        <v>3987</v>
      </c>
      <c r="C23" s="773" t="s">
        <v>85</v>
      </c>
    </row>
    <row r="24" spans="1:4">
      <c r="A24" s="616" t="s">
        <v>3975</v>
      </c>
      <c r="B24" s="616" t="s">
        <v>3987</v>
      </c>
      <c r="C24" s="773" t="s">
        <v>3980</v>
      </c>
    </row>
    <row r="25" spans="1:4">
      <c r="A25" s="616" t="s">
        <v>3975</v>
      </c>
      <c r="B25" s="616" t="s">
        <v>3987</v>
      </c>
      <c r="C25" s="773" t="s">
        <v>3981</v>
      </c>
    </row>
    <row r="26" spans="1:4">
      <c r="A26" s="616" t="s">
        <v>3978</v>
      </c>
      <c r="B26" s="616" t="s">
        <v>3987</v>
      </c>
      <c r="C26" s="773" t="s">
        <v>3974</v>
      </c>
    </row>
    <row r="27" spans="1:4">
      <c r="A27" s="616" t="s">
        <v>3978</v>
      </c>
      <c r="B27" s="616" t="s">
        <v>3971</v>
      </c>
      <c r="C27" s="773" t="s">
        <v>4180</v>
      </c>
    </row>
    <row r="28" spans="1:4">
      <c r="A28" s="616" t="s">
        <v>3990</v>
      </c>
      <c r="B28" s="616" t="s">
        <v>3973</v>
      </c>
      <c r="C28" s="773" t="s">
        <v>3991</v>
      </c>
    </row>
    <row r="29" spans="1:4">
      <c r="A29" s="616" t="s">
        <v>4000</v>
      </c>
      <c r="B29" s="616" t="s">
        <v>3971</v>
      </c>
      <c r="C29" s="773" t="s">
        <v>4194</v>
      </c>
    </row>
    <row r="30" spans="1:4">
      <c r="A30" s="616" t="s">
        <v>4007</v>
      </c>
      <c r="B30" s="616" t="s">
        <v>3973</v>
      </c>
      <c r="C30" s="773" t="s">
        <v>4006</v>
      </c>
    </row>
  </sheetData>
  <phoneticPr fontId="164" type="noConversion"/>
  <conditionalFormatting sqref="B2:B510">
    <cfRule type="containsText" dxfId="984" priority="2" stopIfTrue="1" operator="containsText" text="contains">
      <formula>NOT(ISERROR(SEARCH("contains",B2)))</formula>
    </cfRule>
    <cfRule type="containsText" dxfId="983" priority="3" stopIfTrue="1" operator="containsText" text="startswith">
      <formula>NOT(ISERROR(SEARCH("startswith",B2)))</formula>
    </cfRule>
    <cfRule type="containsText" dxfId="982" priority="4" stopIfTrue="1" operator="containsText" text="exact">
      <formula>NOT(ISERROR(SEARCH("exact",B2)))</formula>
    </cfRule>
  </conditionalFormatting>
  <dataValidations count="1">
    <dataValidation type="list" allowBlank="1" showInputMessage="1" showErrorMessage="1" sqref="B29:B510 B27" xr:uid="{5953A59A-D77C-40D8-94DC-0277DEEE4BC1}">
      <formula1>"exact,contains,startswith"</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6F366-6FBD-41C3-A355-083C182D92CC}">
  <sheetPr codeName="Sheet131" filterMode="1">
    <tabColor rgb="FFFFC000"/>
    <pageSetUpPr fitToPage="1"/>
  </sheetPr>
  <dimension ref="A1:M274"/>
  <sheetViews>
    <sheetView zoomScale="85" zoomScaleNormal="85" zoomScaleSheetLayoutView="85" zoomScalePageLayoutView="85" workbookViewId="0">
      <pane xSplit="4" ySplit="2" topLeftCell="F38" activePane="bottomRight" state="frozen"/>
      <selection activeCell="D14" sqref="D14"/>
      <selection pane="topRight" activeCell="D14" sqref="D14"/>
      <selection pane="bottomLeft" activeCell="D14" sqref="D14"/>
      <selection pane="bottomRight" activeCell="F59" sqref="F59"/>
    </sheetView>
  </sheetViews>
  <sheetFormatPr defaultColWidth="9.85546875" defaultRowHeight="12.75" outlineLevelCol="1"/>
  <cols>
    <col min="1" max="1" width="10.5703125" style="272" customWidth="1" outlineLevel="1"/>
    <col min="2" max="2" width="10.5703125" style="272" customWidth="1"/>
    <col min="3" max="3" width="22.140625" style="276" customWidth="1" outlineLevel="1"/>
    <col min="4" max="4" width="15" style="272" customWidth="1"/>
    <col min="5" max="5" width="29.5703125" style="272" bestFit="1" customWidth="1"/>
    <col min="6" max="6" width="48.42578125" style="273" customWidth="1"/>
    <col min="7" max="7" width="33" style="273" customWidth="1"/>
    <col min="8" max="8" width="14" style="273" customWidth="1" outlineLevel="1"/>
    <col min="9" max="9" width="81.140625" style="273" customWidth="1"/>
    <col min="10" max="10" width="14.28515625" style="272" customWidth="1" outlineLevel="1"/>
    <col min="11" max="12" width="21" style="274" customWidth="1" outlineLevel="1"/>
    <col min="13" max="13" width="18.140625" style="275" customWidth="1" outlineLevel="1"/>
    <col min="14" max="16384" width="9.85546875" style="272"/>
  </cols>
  <sheetData>
    <row r="1" spans="1:13" s="265" customFormat="1" ht="30" customHeight="1" thickBot="1">
      <c r="A1" s="1083" t="s">
        <v>988</v>
      </c>
      <c r="B1" s="1081" t="s">
        <v>989</v>
      </c>
      <c r="C1" s="1085" t="s">
        <v>27</v>
      </c>
      <c r="D1" s="1081" t="s">
        <v>26</v>
      </c>
      <c r="E1" s="1081" t="s">
        <v>1002</v>
      </c>
      <c r="F1" s="1081" t="s">
        <v>991</v>
      </c>
      <c r="G1" s="1081" t="s">
        <v>992</v>
      </c>
      <c r="H1" s="1091" t="s">
        <v>1</v>
      </c>
      <c r="I1" s="1081" t="s">
        <v>993</v>
      </c>
      <c r="J1" s="1081" t="s">
        <v>2590</v>
      </c>
      <c r="K1" s="1087" t="s">
        <v>995</v>
      </c>
      <c r="L1" s="1089" t="s">
        <v>996</v>
      </c>
      <c r="M1" s="1090"/>
    </row>
    <row r="2" spans="1:13" s="265" customFormat="1" ht="30" customHeight="1" thickBot="1">
      <c r="A2" s="1084"/>
      <c r="B2" s="1082"/>
      <c r="C2" s="1086"/>
      <c r="D2" s="1082"/>
      <c r="E2" s="1082"/>
      <c r="F2" s="1082"/>
      <c r="G2" s="1082"/>
      <c r="H2" s="1092"/>
      <c r="I2" s="1082"/>
      <c r="J2" s="1082"/>
      <c r="K2" s="1088"/>
      <c r="L2" s="465" t="s">
        <v>999</v>
      </c>
      <c r="M2" s="466" t="s">
        <v>1000</v>
      </c>
    </row>
    <row r="3" spans="1:13" s="266" customFormat="1" ht="127.5" hidden="1">
      <c r="A3" s="467">
        <f>IF(B3&lt;&gt;"", COUNTA($B$3:B3), "")</f>
        <v>1</v>
      </c>
      <c r="B3" s="468" t="s">
        <v>1003</v>
      </c>
      <c r="C3" s="468" t="str">
        <f t="shared" ref="C3:C65" ca="1" si="0">IF(AND(L3="", M3=""), "NA",
   IF(M3&lt;&gt;"", "Completed",
      IF(ISNUMBER(L3),
         IF(L3-TODAY() &gt; 0, "Due in "&amp;(L3-TODAY())&amp;" days",
            IF(L3-TODAY() = 0, "Due today", "Overdue "&amp;ABS(L3-TODAY())&amp;" days")
         ),
      "Invalid Date")
   )
)</f>
        <v>Completed</v>
      </c>
      <c r="D3" s="469" t="s">
        <v>50</v>
      </c>
      <c r="E3" s="469" t="s">
        <v>1004</v>
      </c>
      <c r="F3" s="470" t="s">
        <v>1005</v>
      </c>
      <c r="G3" s="471" t="s">
        <v>1006</v>
      </c>
      <c r="H3" s="471"/>
      <c r="I3" s="472" t="s">
        <v>1007</v>
      </c>
      <c r="J3" s="473" t="s">
        <v>1008</v>
      </c>
      <c r="K3" s="474">
        <v>45504</v>
      </c>
      <c r="L3" s="474">
        <v>45540</v>
      </c>
      <c r="M3" s="475">
        <v>45541</v>
      </c>
    </row>
    <row r="4" spans="1:13" s="266" customFormat="1" ht="242.25" hidden="1">
      <c r="A4" s="476">
        <f>IF(B4&lt;&gt;"", COUNTA($B$3:B4), "")</f>
        <v>2</v>
      </c>
      <c r="B4" s="477" t="s">
        <v>1003</v>
      </c>
      <c r="C4" s="477" t="str">
        <f t="shared" ca="1" si="0"/>
        <v>Completed</v>
      </c>
      <c r="D4" s="478" t="s">
        <v>1009</v>
      </c>
      <c r="E4" s="478" t="s">
        <v>1004</v>
      </c>
      <c r="F4" s="479" t="s">
        <v>2585</v>
      </c>
      <c r="G4" s="480" t="s">
        <v>1010</v>
      </c>
      <c r="H4" s="480"/>
      <c r="I4" s="481" t="s">
        <v>3274</v>
      </c>
      <c r="J4" s="482" t="s">
        <v>1011</v>
      </c>
      <c r="K4" s="483">
        <v>45535</v>
      </c>
      <c r="L4" s="483">
        <v>45541</v>
      </c>
      <c r="M4" s="484">
        <v>45890</v>
      </c>
    </row>
    <row r="5" spans="1:13" s="267" customFormat="1" ht="63.75" hidden="1">
      <c r="A5" s="476">
        <f>IF(B5&lt;&gt;"", COUNTA($B$3:B5), "")</f>
        <v>3</v>
      </c>
      <c r="B5" s="485" t="s">
        <v>1003</v>
      </c>
      <c r="C5" s="477" t="str">
        <f t="shared" ca="1" si="0"/>
        <v>Completed</v>
      </c>
      <c r="D5" s="486" t="s">
        <v>1012</v>
      </c>
      <c r="E5" s="486"/>
      <c r="F5" s="487" t="s">
        <v>1013</v>
      </c>
      <c r="G5" s="488" t="s">
        <v>1014</v>
      </c>
      <c r="H5" s="488"/>
      <c r="I5" s="489" t="s">
        <v>1015</v>
      </c>
      <c r="J5" s="486" t="s">
        <v>1016</v>
      </c>
      <c r="K5" s="490">
        <v>45535</v>
      </c>
      <c r="L5" s="490">
        <v>45535</v>
      </c>
      <c r="M5" s="491">
        <v>45535</v>
      </c>
    </row>
    <row r="6" spans="1:13" s="268" customFormat="1" ht="242.25" hidden="1">
      <c r="A6" s="476">
        <f>IF(B6&lt;&gt;"", COUNTA($B$3:B6), "")</f>
        <v>4</v>
      </c>
      <c r="B6" s="477" t="s">
        <v>1003</v>
      </c>
      <c r="C6" s="477" t="str">
        <f t="shared" ca="1" si="0"/>
        <v>Completed</v>
      </c>
      <c r="D6" s="478" t="s">
        <v>1017</v>
      </c>
      <c r="E6" s="478" t="s">
        <v>1018</v>
      </c>
      <c r="F6" s="479" t="s">
        <v>1019</v>
      </c>
      <c r="G6" s="480" t="s">
        <v>1020</v>
      </c>
      <c r="H6" s="480"/>
      <c r="I6" s="481" t="s">
        <v>2594</v>
      </c>
      <c r="J6" s="478" t="s">
        <v>1011</v>
      </c>
      <c r="K6" s="483">
        <v>45534</v>
      </c>
      <c r="L6" s="483">
        <v>45542</v>
      </c>
      <c r="M6" s="484">
        <v>45558</v>
      </c>
    </row>
    <row r="7" spans="1:13" s="266" customFormat="1" ht="255" hidden="1">
      <c r="A7" s="476">
        <f>IF(B7&lt;&gt;"", COUNTA($B$3:B7), "")</f>
        <v>5</v>
      </c>
      <c r="B7" s="477" t="s">
        <v>1003</v>
      </c>
      <c r="C7" s="477" t="str">
        <f t="shared" ca="1" si="0"/>
        <v>Completed</v>
      </c>
      <c r="D7" s="478" t="s">
        <v>1021</v>
      </c>
      <c r="E7" s="478" t="s">
        <v>1022</v>
      </c>
      <c r="F7" s="479" t="s">
        <v>2595</v>
      </c>
      <c r="G7" s="480" t="s">
        <v>2596</v>
      </c>
      <c r="H7" s="480"/>
      <c r="I7" s="492" t="s">
        <v>2618</v>
      </c>
      <c r="J7" s="478" t="s">
        <v>1023</v>
      </c>
      <c r="K7" s="483">
        <v>45534</v>
      </c>
      <c r="L7" s="483">
        <v>45540</v>
      </c>
      <c r="M7" s="484">
        <v>45680</v>
      </c>
    </row>
    <row r="8" spans="1:13" s="269" customFormat="1" ht="38.25" hidden="1">
      <c r="A8" s="476">
        <f>IF(B8&lt;&gt;"", COUNTA($B$3:B8), "")</f>
        <v>6</v>
      </c>
      <c r="B8" s="485" t="s">
        <v>1003</v>
      </c>
      <c r="C8" s="477" t="str">
        <f t="shared" ca="1" si="0"/>
        <v>Completed</v>
      </c>
      <c r="D8" s="486" t="s">
        <v>1021</v>
      </c>
      <c r="E8" s="486"/>
      <c r="F8" s="487" t="s">
        <v>1024</v>
      </c>
      <c r="G8" s="493" t="s">
        <v>2597</v>
      </c>
      <c r="H8" s="493"/>
      <c r="I8" s="494" t="s">
        <v>1025</v>
      </c>
      <c r="J8" s="486" t="s">
        <v>1026</v>
      </c>
      <c r="K8" s="490">
        <v>45533</v>
      </c>
      <c r="L8" s="490">
        <v>45534</v>
      </c>
      <c r="M8" s="491">
        <v>45534</v>
      </c>
    </row>
    <row r="9" spans="1:13" s="266" customFormat="1" ht="140.25" hidden="1">
      <c r="A9" s="476">
        <f>IF(B9&lt;&gt;"", COUNTA($B$3:B9), "")</f>
        <v>7</v>
      </c>
      <c r="B9" s="477" t="s">
        <v>1003</v>
      </c>
      <c r="C9" s="477" t="str">
        <f t="shared" ca="1" si="0"/>
        <v>Completed</v>
      </c>
      <c r="D9" s="478" t="s">
        <v>1027</v>
      </c>
      <c r="E9" s="478"/>
      <c r="F9" s="479" t="s">
        <v>2598</v>
      </c>
      <c r="G9" s="492" t="s">
        <v>2599</v>
      </c>
      <c r="H9" s="492"/>
      <c r="I9" s="481" t="s">
        <v>2600</v>
      </c>
      <c r="J9" s="478" t="s">
        <v>1016</v>
      </c>
      <c r="K9" s="483">
        <v>45537</v>
      </c>
      <c r="L9" s="483">
        <v>45541</v>
      </c>
      <c r="M9" s="484">
        <v>45540</v>
      </c>
    </row>
    <row r="10" spans="1:13" s="270" customFormat="1" ht="267.75" hidden="1">
      <c r="A10" s="476">
        <f>IF(B10&lt;&gt;"", COUNTA($B$3:B10), "")</f>
        <v>8</v>
      </c>
      <c r="B10" s="477" t="s">
        <v>1003</v>
      </c>
      <c r="C10" s="477" t="str">
        <f t="shared" ca="1" si="0"/>
        <v>Completed</v>
      </c>
      <c r="D10" s="495" t="s">
        <v>1028</v>
      </c>
      <c r="E10" s="495" t="s">
        <v>1029</v>
      </c>
      <c r="F10" s="496" t="s">
        <v>1030</v>
      </c>
      <c r="G10" s="497" t="s">
        <v>2601</v>
      </c>
      <c r="H10" s="497"/>
      <c r="I10" s="497" t="s">
        <v>2642</v>
      </c>
      <c r="J10" s="495" t="s">
        <v>1016</v>
      </c>
      <c r="K10" s="498">
        <v>45443</v>
      </c>
      <c r="L10" s="498">
        <v>45565</v>
      </c>
      <c r="M10" s="499">
        <v>45705</v>
      </c>
    </row>
    <row r="11" spans="1:13" s="266" customFormat="1" ht="76.5" hidden="1">
      <c r="A11" s="476">
        <f>IF(B11&lt;&gt;"", COUNTA($B$3:B11), "")</f>
        <v>9</v>
      </c>
      <c r="B11" s="477" t="s">
        <v>1003</v>
      </c>
      <c r="C11" s="477" t="str">
        <f t="shared" ca="1" si="0"/>
        <v>Completed</v>
      </c>
      <c r="D11" s="477" t="s">
        <v>1017</v>
      </c>
      <c r="E11" s="477"/>
      <c r="F11" s="481" t="s">
        <v>2589</v>
      </c>
      <c r="G11" s="481" t="s">
        <v>1032</v>
      </c>
      <c r="H11" s="481"/>
      <c r="I11" s="481" t="s">
        <v>1033</v>
      </c>
      <c r="J11" s="478" t="s">
        <v>1016</v>
      </c>
      <c r="K11" s="483">
        <v>45537</v>
      </c>
      <c r="L11" s="483">
        <v>45550</v>
      </c>
      <c r="M11" s="484">
        <v>45538</v>
      </c>
    </row>
    <row r="12" spans="1:13" s="266" customFormat="1" ht="63.75" hidden="1">
      <c r="A12" s="476">
        <f>IF(B12&lt;&gt;"", COUNTA($B$3:B12), "")</f>
        <v>10</v>
      </c>
      <c r="B12" s="477" t="s">
        <v>1003</v>
      </c>
      <c r="C12" s="477" t="str">
        <f t="shared" ca="1" si="0"/>
        <v>Completed</v>
      </c>
      <c r="D12" s="478" t="s">
        <v>1017</v>
      </c>
      <c r="E12" s="478" t="s">
        <v>1034</v>
      </c>
      <c r="F12" s="492" t="s">
        <v>1035</v>
      </c>
      <c r="G12" s="481" t="s">
        <v>1036</v>
      </c>
      <c r="H12" s="481"/>
      <c r="I12" s="481" t="s">
        <v>1037</v>
      </c>
      <c r="J12" s="478" t="s">
        <v>1011</v>
      </c>
      <c r="K12" s="483">
        <v>45534</v>
      </c>
      <c r="L12" s="483">
        <v>45540</v>
      </c>
      <c r="M12" s="484">
        <v>45541</v>
      </c>
    </row>
    <row r="13" spans="1:13" s="269" customFormat="1" ht="38.25" hidden="1">
      <c r="A13" s="476">
        <f>IF(B13&lt;&gt;"", COUNTA($B$3:B13), "")</f>
        <v>11</v>
      </c>
      <c r="B13" s="485" t="s">
        <v>1003</v>
      </c>
      <c r="C13" s="477" t="str">
        <f t="shared" ca="1" si="0"/>
        <v>Completed</v>
      </c>
      <c r="D13" s="486" t="s">
        <v>1028</v>
      </c>
      <c r="E13" s="486" t="s">
        <v>1038</v>
      </c>
      <c r="F13" s="487" t="s">
        <v>1039</v>
      </c>
      <c r="G13" s="493" t="s">
        <v>2602</v>
      </c>
      <c r="H13" s="493"/>
      <c r="I13" s="494" t="s">
        <v>2603</v>
      </c>
      <c r="J13" s="486" t="s">
        <v>1016</v>
      </c>
      <c r="K13" s="490">
        <v>45537</v>
      </c>
      <c r="L13" s="490">
        <v>45538</v>
      </c>
      <c r="M13" s="491">
        <v>45538</v>
      </c>
    </row>
    <row r="14" spans="1:13" s="266" customFormat="1" ht="63.75" hidden="1">
      <c r="A14" s="476">
        <f>IF(B14&lt;&gt;"", COUNTA($B$3:B14), "")</f>
        <v>12</v>
      </c>
      <c r="B14" s="477" t="s">
        <v>1003</v>
      </c>
      <c r="C14" s="477" t="str">
        <f t="shared" ca="1" si="0"/>
        <v>Completed</v>
      </c>
      <c r="D14" s="478" t="s">
        <v>1017</v>
      </c>
      <c r="E14" s="478" t="s">
        <v>1040</v>
      </c>
      <c r="F14" s="492" t="s">
        <v>1041</v>
      </c>
      <c r="G14" s="492" t="s">
        <v>1042</v>
      </c>
      <c r="H14" s="492"/>
      <c r="I14" s="481" t="s">
        <v>1043</v>
      </c>
      <c r="J14" s="478" t="s">
        <v>1044</v>
      </c>
      <c r="K14" s="483">
        <v>45538</v>
      </c>
      <c r="L14" s="483">
        <v>45540</v>
      </c>
      <c r="M14" s="484">
        <v>45547</v>
      </c>
    </row>
    <row r="15" spans="1:13" s="266" customFormat="1" ht="89.25" hidden="1">
      <c r="A15" s="476">
        <f>IF(B15&lt;&gt;"", COUNTA($B$3:B15), "")</f>
        <v>13</v>
      </c>
      <c r="B15" s="477" t="s">
        <v>1003</v>
      </c>
      <c r="C15" s="477" t="str">
        <f t="shared" ca="1" si="0"/>
        <v>Completed</v>
      </c>
      <c r="D15" s="478" t="s">
        <v>1021</v>
      </c>
      <c r="E15" s="478" t="s">
        <v>1048</v>
      </c>
      <c r="F15" s="481" t="s">
        <v>1049</v>
      </c>
      <c r="G15" s="481" t="s">
        <v>1050</v>
      </c>
      <c r="H15" s="481"/>
      <c r="I15" s="481" t="s">
        <v>1051</v>
      </c>
      <c r="J15" s="478" t="s">
        <v>1016</v>
      </c>
      <c r="K15" s="483">
        <v>45560</v>
      </c>
      <c r="L15" s="483">
        <v>45580</v>
      </c>
      <c r="M15" s="502">
        <v>45568</v>
      </c>
    </row>
    <row r="16" spans="1:13" s="266" customFormat="1" ht="306" hidden="1">
      <c r="A16" s="476">
        <f>IF(B16&lt;&gt;"", COUNTA($B$3:B16), "")</f>
        <v>14</v>
      </c>
      <c r="B16" s="477" t="s">
        <v>1003</v>
      </c>
      <c r="C16" s="477" t="str">
        <f t="shared" ca="1" si="0"/>
        <v>Completed</v>
      </c>
      <c r="D16" s="478" t="s">
        <v>1021</v>
      </c>
      <c r="E16" s="478" t="s">
        <v>2763</v>
      </c>
      <c r="F16" s="481" t="s">
        <v>1052</v>
      </c>
      <c r="G16" s="481"/>
      <c r="H16" s="481"/>
      <c r="I16" s="481" t="s">
        <v>2764</v>
      </c>
      <c r="J16" s="478" t="s">
        <v>1023</v>
      </c>
      <c r="K16" s="483">
        <v>45499</v>
      </c>
      <c r="L16" s="483">
        <v>45580</v>
      </c>
      <c r="M16" s="502">
        <v>45747</v>
      </c>
    </row>
    <row r="17" spans="1:13" s="266" customFormat="1" ht="204" hidden="1">
      <c r="A17" s="476">
        <f>IF(B17&lt;&gt;"", COUNTA($B$3:B17), "")</f>
        <v>15</v>
      </c>
      <c r="B17" s="477" t="s">
        <v>1003</v>
      </c>
      <c r="C17" s="477" t="str">
        <f t="shared" ca="1" si="0"/>
        <v>Completed</v>
      </c>
      <c r="D17" s="478" t="s">
        <v>1027</v>
      </c>
      <c r="E17" s="478" t="s">
        <v>1053</v>
      </c>
      <c r="F17" s="481" t="s">
        <v>1054</v>
      </c>
      <c r="G17" s="481" t="s">
        <v>2604</v>
      </c>
      <c r="H17" s="481"/>
      <c r="I17" s="503" t="s">
        <v>2591</v>
      </c>
      <c r="J17" s="478" t="s">
        <v>1016</v>
      </c>
      <c r="K17" s="483">
        <v>45568</v>
      </c>
      <c r="L17" s="483">
        <v>45582</v>
      </c>
      <c r="M17" s="502">
        <v>45692</v>
      </c>
    </row>
    <row r="18" spans="1:13" s="266" customFormat="1" ht="140.25" hidden="1">
      <c r="A18" s="476">
        <f>IF(B18&lt;&gt;"", COUNTA($B$3:B18), "")</f>
        <v>16</v>
      </c>
      <c r="B18" s="477" t="s">
        <v>1003</v>
      </c>
      <c r="C18" s="477" t="str">
        <f t="shared" ca="1" si="0"/>
        <v>Completed</v>
      </c>
      <c r="D18" s="478" t="s">
        <v>1055</v>
      </c>
      <c r="E18" s="478" t="s">
        <v>1056</v>
      </c>
      <c r="F18" s="481" t="s">
        <v>2605</v>
      </c>
      <c r="G18" s="481" t="s">
        <v>2606</v>
      </c>
      <c r="H18" s="481"/>
      <c r="I18" s="481" t="s">
        <v>2607</v>
      </c>
      <c r="J18" s="478" t="s">
        <v>1016</v>
      </c>
      <c r="K18" s="483">
        <v>45576</v>
      </c>
      <c r="L18" s="483">
        <v>45586</v>
      </c>
      <c r="M18" s="502">
        <v>45662</v>
      </c>
    </row>
    <row r="19" spans="1:13" s="266" customFormat="1" ht="56.45" hidden="1" customHeight="1">
      <c r="A19" s="476">
        <f>IF(B19&lt;&gt;"", COUNTA($B$3:B19), "")</f>
        <v>17</v>
      </c>
      <c r="B19" s="477" t="s">
        <v>1003</v>
      </c>
      <c r="C19" s="477" t="str">
        <f t="shared" ca="1" si="0"/>
        <v>Completed</v>
      </c>
      <c r="D19" s="478" t="s">
        <v>1017</v>
      </c>
      <c r="E19" s="478" t="s">
        <v>1057</v>
      </c>
      <c r="F19" s="481" t="s">
        <v>1058</v>
      </c>
      <c r="G19" s="481" t="s">
        <v>1059</v>
      </c>
      <c r="H19" s="481"/>
      <c r="I19" s="503" t="s">
        <v>2571</v>
      </c>
      <c r="J19" s="478" t="s">
        <v>1016</v>
      </c>
      <c r="K19" s="483">
        <v>45545</v>
      </c>
      <c r="L19" s="483">
        <v>45583</v>
      </c>
      <c r="M19" s="502">
        <v>45666</v>
      </c>
    </row>
    <row r="20" spans="1:13" s="266" customFormat="1" ht="140.25" hidden="1">
      <c r="A20" s="476">
        <f>IF(B20&lt;&gt;"", COUNTA($B$3:B20), "")</f>
        <v>18</v>
      </c>
      <c r="B20" s="477" t="s">
        <v>1003</v>
      </c>
      <c r="C20" s="477" t="str">
        <f t="shared" ca="1" si="0"/>
        <v>Completed</v>
      </c>
      <c r="D20" s="478" t="s">
        <v>1009</v>
      </c>
      <c r="E20" s="478" t="s">
        <v>3176</v>
      </c>
      <c r="F20" s="481" t="s">
        <v>1060</v>
      </c>
      <c r="G20" s="481" t="s">
        <v>2608</v>
      </c>
      <c r="H20" s="481"/>
      <c r="I20" s="503" t="s">
        <v>3413</v>
      </c>
      <c r="J20" s="478" t="s">
        <v>1016</v>
      </c>
      <c r="K20" s="483">
        <v>45582</v>
      </c>
      <c r="L20" s="483">
        <v>45596</v>
      </c>
      <c r="M20" s="502">
        <v>45895</v>
      </c>
    </row>
    <row r="21" spans="1:13" s="270" customFormat="1" ht="114.75" hidden="1">
      <c r="A21" s="476">
        <f>IF(B21&lt;&gt;"", COUNTA($B$3:B21), "")</f>
        <v>19</v>
      </c>
      <c r="B21" s="477" t="s">
        <v>1003</v>
      </c>
      <c r="C21" s="477" t="str">
        <f t="shared" ca="1" si="0"/>
        <v>Completed</v>
      </c>
      <c r="D21" s="495" t="s">
        <v>1027</v>
      </c>
      <c r="E21" s="495" t="s">
        <v>2438</v>
      </c>
      <c r="F21" s="504" t="s">
        <v>2609</v>
      </c>
      <c r="G21" s="497" t="s">
        <v>2439</v>
      </c>
      <c r="H21" s="497"/>
      <c r="I21" s="497" t="s">
        <v>2572</v>
      </c>
      <c r="J21" s="495" t="s">
        <v>1016</v>
      </c>
      <c r="K21" s="498">
        <v>45595</v>
      </c>
      <c r="L21" s="498">
        <v>45611</v>
      </c>
      <c r="M21" s="501">
        <v>45666</v>
      </c>
    </row>
    <row r="22" spans="1:13" s="270" customFormat="1" ht="63.75" hidden="1">
      <c r="A22" s="476">
        <f>IF(B22&lt;&gt;"", COUNTA($B$3:B22), "")</f>
        <v>20</v>
      </c>
      <c r="B22" s="477" t="s">
        <v>1003</v>
      </c>
      <c r="C22" s="477" t="str">
        <f t="shared" ca="1" si="0"/>
        <v>Completed</v>
      </c>
      <c r="D22" s="495" t="s">
        <v>1027</v>
      </c>
      <c r="E22" s="495" t="s">
        <v>2666</v>
      </c>
      <c r="F22" s="497" t="s">
        <v>2584</v>
      </c>
      <c r="G22" s="497" t="s">
        <v>2586</v>
      </c>
      <c r="H22" s="497"/>
      <c r="I22" s="500" t="s">
        <v>2665</v>
      </c>
      <c r="J22" s="495" t="s">
        <v>1016</v>
      </c>
      <c r="K22" s="498">
        <v>45665</v>
      </c>
      <c r="L22" s="498">
        <v>45708</v>
      </c>
      <c r="M22" s="501">
        <v>45708</v>
      </c>
    </row>
    <row r="23" spans="1:13" s="270" customFormat="1" ht="102" hidden="1">
      <c r="A23" s="476">
        <f>IF(B23&lt;&gt;"", COUNTA($B$3:B23), "")</f>
        <v>21</v>
      </c>
      <c r="B23" s="477" t="s">
        <v>1003</v>
      </c>
      <c r="C23" s="477" t="str">
        <f t="shared" ca="1" si="0"/>
        <v>Completed</v>
      </c>
      <c r="D23" s="495" t="s">
        <v>1031</v>
      </c>
      <c r="E23" s="495" t="s">
        <v>1061</v>
      </c>
      <c r="F23" s="497" t="s">
        <v>2588</v>
      </c>
      <c r="G23" s="497"/>
      <c r="H23" s="497"/>
      <c r="I23" s="497" t="s">
        <v>2617</v>
      </c>
      <c r="J23" s="495" t="s">
        <v>1016</v>
      </c>
      <c r="K23" s="498">
        <v>45692</v>
      </c>
      <c r="L23" s="498">
        <v>45693</v>
      </c>
      <c r="M23" s="501">
        <v>45694</v>
      </c>
    </row>
    <row r="24" spans="1:13" s="270" customFormat="1" ht="38.25" hidden="1">
      <c r="A24" s="476">
        <f>IF(B24&lt;&gt;"", COUNTA($B$3:B24), "")</f>
        <v>22</v>
      </c>
      <c r="B24" s="477" t="s">
        <v>1003</v>
      </c>
      <c r="C24" s="477" t="str">
        <f t="shared" ca="1" si="0"/>
        <v>Completed</v>
      </c>
      <c r="D24" s="495" t="s">
        <v>1055</v>
      </c>
      <c r="E24" s="495" t="s">
        <v>148</v>
      </c>
      <c r="F24" s="497" t="s">
        <v>2592</v>
      </c>
      <c r="G24" s="497" t="s">
        <v>2610</v>
      </c>
      <c r="H24" s="497"/>
      <c r="I24" s="497" t="s">
        <v>2613</v>
      </c>
      <c r="J24" s="495" t="s">
        <v>1016</v>
      </c>
      <c r="K24" s="498">
        <v>45679</v>
      </c>
      <c r="L24" s="498">
        <v>45693</v>
      </c>
      <c r="M24" s="501">
        <v>45693</v>
      </c>
    </row>
    <row r="25" spans="1:13" s="270" customFormat="1" ht="165.75" hidden="1">
      <c r="A25" s="476">
        <f>IF(B25&lt;&gt;"", COUNTA($B$3:B25), "")</f>
        <v>23</v>
      </c>
      <c r="B25" s="477" t="s">
        <v>1003</v>
      </c>
      <c r="C25" s="477" t="str">
        <f t="shared" ca="1" si="0"/>
        <v>Completed</v>
      </c>
      <c r="D25" s="495" t="s">
        <v>1012</v>
      </c>
      <c r="E25" s="495" t="s">
        <v>148</v>
      </c>
      <c r="F25" s="497" t="s">
        <v>2611</v>
      </c>
      <c r="G25" s="497" t="s">
        <v>2593</v>
      </c>
      <c r="H25" s="497"/>
      <c r="I25" s="497" t="s">
        <v>3269</v>
      </c>
      <c r="J25" s="495" t="s">
        <v>1016</v>
      </c>
      <c r="K25" s="498">
        <v>45679</v>
      </c>
      <c r="L25" s="498">
        <v>45708</v>
      </c>
      <c r="M25" s="501">
        <v>45890</v>
      </c>
    </row>
    <row r="26" spans="1:13" s="266" customFormat="1" ht="178.5" hidden="1">
      <c r="A26" s="476">
        <f>IF(B26&lt;&gt;"", COUNTA($B$3:B26), "")</f>
        <v>24</v>
      </c>
      <c r="B26" s="477" t="s">
        <v>1003</v>
      </c>
      <c r="C26" s="477" t="str">
        <f t="shared" ca="1" si="0"/>
        <v>Completed</v>
      </c>
      <c r="D26" s="478" t="s">
        <v>1031</v>
      </c>
      <c r="E26" s="478" t="s">
        <v>2625</v>
      </c>
      <c r="F26" s="481" t="s">
        <v>2664</v>
      </c>
      <c r="G26" s="481" t="s">
        <v>2612</v>
      </c>
      <c r="H26" s="481"/>
      <c r="I26" s="481" t="s">
        <v>2759</v>
      </c>
      <c r="J26" s="478" t="s">
        <v>1016</v>
      </c>
      <c r="K26" s="483">
        <v>45663</v>
      </c>
      <c r="L26" s="483">
        <v>45708</v>
      </c>
      <c r="M26" s="502">
        <v>45747</v>
      </c>
    </row>
    <row r="27" spans="1:13" s="270" customFormat="1" ht="51" hidden="1">
      <c r="A27" s="476">
        <f>IF(B27&lt;&gt;"", COUNTA($B$3:B27), "")</f>
        <v>25</v>
      </c>
      <c r="B27" s="477" t="s">
        <v>1003</v>
      </c>
      <c r="C27" s="477" t="str">
        <f t="shared" ca="1" si="0"/>
        <v>Completed</v>
      </c>
      <c r="D27" s="495" t="s">
        <v>1031</v>
      </c>
      <c r="E27" s="495" t="s">
        <v>2619</v>
      </c>
      <c r="F27" s="497" t="s">
        <v>2614</v>
      </c>
      <c r="G27" s="497" t="s">
        <v>148</v>
      </c>
      <c r="H27" s="497"/>
      <c r="I27" s="497" t="s">
        <v>2615</v>
      </c>
      <c r="J27" s="495" t="s">
        <v>1016</v>
      </c>
      <c r="K27" s="498">
        <v>45693</v>
      </c>
      <c r="L27" s="498">
        <v>45695</v>
      </c>
      <c r="M27" s="501">
        <v>45694</v>
      </c>
    </row>
    <row r="28" spans="1:13" s="270" customFormat="1" ht="102" hidden="1">
      <c r="A28" s="476">
        <f>IF(B28&lt;&gt;"", COUNTA($B$3:B28), "")</f>
        <v>26</v>
      </c>
      <c r="B28" s="477" t="s">
        <v>1003</v>
      </c>
      <c r="C28" s="477" t="str">
        <f t="shared" ca="1" si="0"/>
        <v>Completed</v>
      </c>
      <c r="D28" s="495" t="s">
        <v>1031</v>
      </c>
      <c r="E28" s="495" t="s">
        <v>2621</v>
      </c>
      <c r="F28" s="497" t="s">
        <v>2616</v>
      </c>
      <c r="G28" s="497" t="s">
        <v>148</v>
      </c>
      <c r="H28" s="497"/>
      <c r="I28" s="497" t="s">
        <v>2620</v>
      </c>
      <c r="J28" s="495" t="s">
        <v>1016</v>
      </c>
      <c r="K28" s="498">
        <v>45693</v>
      </c>
      <c r="L28" s="498">
        <v>45695</v>
      </c>
      <c r="M28" s="501">
        <v>45699</v>
      </c>
    </row>
    <row r="29" spans="1:13" s="270" customFormat="1" ht="66" hidden="1" customHeight="1">
      <c r="A29" s="476">
        <f>IF(B29&lt;&gt;"", COUNTA($B$3:B29), "")</f>
        <v>27</v>
      </c>
      <c r="B29" s="477" t="s">
        <v>1003</v>
      </c>
      <c r="C29" s="477" t="str">
        <f t="shared" ca="1" si="0"/>
        <v>Completed</v>
      </c>
      <c r="D29" s="495" t="s">
        <v>1031</v>
      </c>
      <c r="E29" s="495" t="s">
        <v>2622</v>
      </c>
      <c r="F29" s="497" t="s">
        <v>2623</v>
      </c>
      <c r="G29" s="497" t="s">
        <v>2624</v>
      </c>
      <c r="H29" s="497"/>
      <c r="I29" s="503" t="s">
        <v>3270</v>
      </c>
      <c r="J29" s="495" t="s">
        <v>1016</v>
      </c>
      <c r="K29" s="498">
        <v>45700</v>
      </c>
      <c r="L29" s="498">
        <v>45899</v>
      </c>
      <c r="M29" s="501">
        <v>45890</v>
      </c>
    </row>
    <row r="30" spans="1:13" s="270" customFormat="1" ht="76.5" hidden="1">
      <c r="A30" s="476">
        <f>IF(B30&lt;&gt;"", COUNTA($B$3:B30), "")</f>
        <v>28</v>
      </c>
      <c r="B30" s="477" t="s">
        <v>1003</v>
      </c>
      <c r="C30" s="477" t="str">
        <f t="shared" ca="1" si="0"/>
        <v>Completed</v>
      </c>
      <c r="D30" s="495" t="s">
        <v>1009</v>
      </c>
      <c r="E30" s="495" t="s">
        <v>2675</v>
      </c>
      <c r="F30" s="497" t="s">
        <v>2627</v>
      </c>
      <c r="G30" s="497" t="s">
        <v>2628</v>
      </c>
      <c r="H30" s="497"/>
      <c r="I30" s="500" t="s">
        <v>2710</v>
      </c>
      <c r="J30" s="495" t="s">
        <v>1016</v>
      </c>
      <c r="K30" s="498">
        <v>45702</v>
      </c>
      <c r="L30" s="498">
        <v>45713</v>
      </c>
      <c r="M30" s="501">
        <v>45721</v>
      </c>
    </row>
    <row r="31" spans="1:13" s="270" customFormat="1" ht="102" hidden="1">
      <c r="A31" s="476">
        <f>IF(B31&lt;&gt;"", COUNTA($B$3:B31), "")</f>
        <v>29</v>
      </c>
      <c r="B31" s="477" t="s">
        <v>1003</v>
      </c>
      <c r="C31" s="477" t="str">
        <f t="shared" ca="1" si="0"/>
        <v>Completed</v>
      </c>
      <c r="D31" s="495" t="s">
        <v>1031</v>
      </c>
      <c r="E31" s="495" t="s">
        <v>148</v>
      </c>
      <c r="F31" s="497" t="s">
        <v>2639</v>
      </c>
      <c r="G31" s="497" t="s">
        <v>2640</v>
      </c>
      <c r="H31" s="497"/>
      <c r="I31" s="500" t="s">
        <v>2940</v>
      </c>
      <c r="J31" s="495" t="s">
        <v>1016</v>
      </c>
      <c r="K31" s="505">
        <v>45700</v>
      </c>
      <c r="L31" s="498">
        <v>45736</v>
      </c>
      <c r="M31" s="501">
        <v>45779</v>
      </c>
    </row>
    <row r="32" spans="1:13" s="270" customFormat="1" ht="165.75" hidden="1">
      <c r="A32" s="476">
        <f>IF(B32&lt;&gt;"", COUNTA($B$3:B32), "")</f>
        <v>30</v>
      </c>
      <c r="B32" s="477" t="s">
        <v>1003</v>
      </c>
      <c r="C32" s="477" t="str">
        <f t="shared" ca="1" si="0"/>
        <v>Completed</v>
      </c>
      <c r="D32" s="495" t="s">
        <v>1027</v>
      </c>
      <c r="E32" s="495" t="s">
        <v>148</v>
      </c>
      <c r="F32" s="497" t="s">
        <v>2765</v>
      </c>
      <c r="G32" s="497" t="s">
        <v>2641</v>
      </c>
      <c r="H32" s="497"/>
      <c r="I32" s="497" t="s">
        <v>3271</v>
      </c>
      <c r="J32" s="495" t="s">
        <v>1016</v>
      </c>
      <c r="K32" s="505">
        <v>45702</v>
      </c>
      <c r="L32" s="498">
        <v>45713</v>
      </c>
      <c r="M32" s="501">
        <v>45890</v>
      </c>
    </row>
    <row r="33" spans="1:13" s="270" customFormat="1" ht="76.5" hidden="1">
      <c r="A33" s="476">
        <f>IF(B33&lt;&gt;"", COUNTA($B$3:B33), "")</f>
        <v>31</v>
      </c>
      <c r="B33" s="477" t="s">
        <v>1003</v>
      </c>
      <c r="C33" s="477" t="str">
        <f t="shared" ca="1" si="0"/>
        <v>Completed</v>
      </c>
      <c r="D33" s="495" t="s">
        <v>1021</v>
      </c>
      <c r="E33" s="495" t="s">
        <v>2761</v>
      </c>
      <c r="F33" s="497" t="s">
        <v>2737</v>
      </c>
      <c r="G33" s="497" t="s">
        <v>2670</v>
      </c>
      <c r="H33" s="497"/>
      <c r="I33" s="497" t="s">
        <v>2760</v>
      </c>
      <c r="J33" s="495" t="s">
        <v>1023</v>
      </c>
      <c r="K33" s="505">
        <v>45702</v>
      </c>
      <c r="L33" s="498">
        <v>45736</v>
      </c>
      <c r="M33" s="501">
        <v>45747</v>
      </c>
    </row>
    <row r="34" spans="1:13" s="270" customFormat="1" ht="102" hidden="1">
      <c r="A34" s="476">
        <f>IF(B34&lt;&gt;"", COUNTA($B$3:B34), "")</f>
        <v>32</v>
      </c>
      <c r="B34" s="477" t="s">
        <v>1003</v>
      </c>
      <c r="C34" s="477" t="str">
        <f t="shared" ca="1" si="0"/>
        <v>Completed</v>
      </c>
      <c r="D34" s="495" t="s">
        <v>1027</v>
      </c>
      <c r="E34" s="495" t="s">
        <v>148</v>
      </c>
      <c r="F34" s="497" t="s">
        <v>2671</v>
      </c>
      <c r="G34" s="497" t="s">
        <v>2672</v>
      </c>
      <c r="H34" s="497"/>
      <c r="I34" s="497" t="s">
        <v>3272</v>
      </c>
      <c r="J34" s="495" t="s">
        <v>1016</v>
      </c>
      <c r="K34" s="505">
        <v>45708</v>
      </c>
      <c r="L34" s="498">
        <v>45731</v>
      </c>
      <c r="M34" s="501">
        <v>45890</v>
      </c>
    </row>
    <row r="35" spans="1:13" s="270" customFormat="1" ht="63.75" hidden="1">
      <c r="A35" s="476">
        <f>IF(B35&lt;&gt;"", COUNTA($B$3:B35), "")</f>
        <v>33</v>
      </c>
      <c r="B35" s="477" t="s">
        <v>1003</v>
      </c>
      <c r="C35" s="477" t="str">
        <f t="shared" ca="1" si="0"/>
        <v>Completed</v>
      </c>
      <c r="D35" s="495" t="s">
        <v>1983</v>
      </c>
      <c r="E35" s="495" t="s">
        <v>427</v>
      </c>
      <c r="F35" s="497" t="s">
        <v>2673</v>
      </c>
      <c r="G35" s="497" t="s">
        <v>2674</v>
      </c>
      <c r="H35" s="495"/>
      <c r="I35" s="497" t="s">
        <v>2709</v>
      </c>
      <c r="J35" s="495" t="s">
        <v>1016</v>
      </c>
      <c r="K35" s="505">
        <v>45707</v>
      </c>
      <c r="L35" s="498">
        <v>45731</v>
      </c>
      <c r="M35" s="501">
        <v>45731</v>
      </c>
    </row>
    <row r="36" spans="1:13" s="270" customFormat="1" ht="63.75" hidden="1">
      <c r="A36" s="476">
        <f>IF(B36&lt;&gt;"", COUNTA($B$3:B36), "")</f>
        <v>34</v>
      </c>
      <c r="B36" s="477" t="s">
        <v>1003</v>
      </c>
      <c r="C36" s="477" t="str">
        <f t="shared" ca="1" si="0"/>
        <v>Completed</v>
      </c>
      <c r="D36" s="495" t="s">
        <v>1027</v>
      </c>
      <c r="E36" s="495" t="s">
        <v>148</v>
      </c>
      <c r="F36" s="497" t="s">
        <v>2705</v>
      </c>
      <c r="G36" s="497" t="s">
        <v>2706</v>
      </c>
      <c r="H36" s="497"/>
      <c r="I36" s="497" t="s">
        <v>2748</v>
      </c>
      <c r="J36" s="495" t="s">
        <v>1016</v>
      </c>
      <c r="K36" s="505">
        <v>45734</v>
      </c>
      <c r="L36" s="498">
        <v>45747</v>
      </c>
      <c r="M36" s="501">
        <v>45741</v>
      </c>
    </row>
    <row r="37" spans="1:13" s="270" customFormat="1" ht="63.75" hidden="1">
      <c r="A37" s="476">
        <f>IF(B37&lt;&gt;"", COUNTA($B$3:B37), "")</f>
        <v>35</v>
      </c>
      <c r="B37" s="477" t="s">
        <v>1003</v>
      </c>
      <c r="C37" s="477" t="str">
        <f t="shared" ca="1" si="0"/>
        <v>Completed</v>
      </c>
      <c r="D37" s="495" t="s">
        <v>1012</v>
      </c>
      <c r="E37" s="495" t="s">
        <v>148</v>
      </c>
      <c r="F37" s="497" t="s">
        <v>2707</v>
      </c>
      <c r="G37" s="497" t="s">
        <v>2708</v>
      </c>
      <c r="H37" s="497"/>
      <c r="I37" s="497" t="s">
        <v>2723</v>
      </c>
      <c r="J37" s="495" t="s">
        <v>1016</v>
      </c>
      <c r="K37" s="505">
        <v>45742</v>
      </c>
      <c r="L37" s="498">
        <v>45747</v>
      </c>
      <c r="M37" s="501">
        <v>45736</v>
      </c>
    </row>
    <row r="38" spans="1:13" s="270" customFormat="1" ht="38.25">
      <c r="A38" s="476">
        <f>IF(B38&lt;&gt;"", COUNTA($B$3:B38), "")</f>
        <v>36</v>
      </c>
      <c r="B38" s="477" t="s">
        <v>1003</v>
      </c>
      <c r="C38" s="477" t="str">
        <f t="shared" ca="1" si="0"/>
        <v>Overdue 262 days</v>
      </c>
      <c r="D38" s="495" t="s">
        <v>2727</v>
      </c>
      <c r="E38" s="495" t="s">
        <v>148</v>
      </c>
      <c r="F38" s="497" t="s">
        <v>2735</v>
      </c>
      <c r="G38" s="497" t="s">
        <v>2736</v>
      </c>
      <c r="H38" s="497"/>
      <c r="I38" s="497" t="s">
        <v>2762</v>
      </c>
      <c r="J38" s="495" t="s">
        <v>1016</v>
      </c>
      <c r="K38" s="505">
        <v>45702</v>
      </c>
      <c r="L38" s="498">
        <v>45777</v>
      </c>
      <c r="M38" s="501"/>
    </row>
    <row r="39" spans="1:13" s="270" customFormat="1" ht="38.25">
      <c r="A39" s="476">
        <f>IF(B39&lt;&gt;"", COUNTA($B$3:B39), "")</f>
        <v>37</v>
      </c>
      <c r="B39" s="477" t="s">
        <v>1003</v>
      </c>
      <c r="C39" s="477" t="str">
        <f t="shared" ca="1" si="0"/>
        <v>Overdue 468 days</v>
      </c>
      <c r="D39" s="495" t="s">
        <v>1017</v>
      </c>
      <c r="E39" s="495" t="s">
        <v>2749</v>
      </c>
      <c r="F39" s="497" t="s">
        <v>3414</v>
      </c>
      <c r="G39" s="497" t="s">
        <v>2750</v>
      </c>
      <c r="H39" s="497"/>
      <c r="I39" s="497" t="s">
        <v>2751</v>
      </c>
      <c r="J39" s="495" t="s">
        <v>1016</v>
      </c>
      <c r="K39" s="505">
        <v>45541</v>
      </c>
      <c r="L39" s="498">
        <v>45571</v>
      </c>
      <c r="M39" s="501"/>
    </row>
    <row r="40" spans="1:13" s="270" customFormat="1" ht="76.5" hidden="1">
      <c r="A40" s="476">
        <f>IF(B40&lt;&gt;"", COUNTA($B$3:B40), "")</f>
        <v>38</v>
      </c>
      <c r="B40" s="477" t="s">
        <v>1003</v>
      </c>
      <c r="C40" s="477" t="str">
        <f t="shared" ca="1" si="0"/>
        <v>Completed</v>
      </c>
      <c r="D40" s="495" t="s">
        <v>1009</v>
      </c>
      <c r="E40" s="495" t="s">
        <v>2752</v>
      </c>
      <c r="F40" s="497" t="s">
        <v>2766</v>
      </c>
      <c r="G40" s="497" t="s">
        <v>2753</v>
      </c>
      <c r="H40" s="497"/>
      <c r="I40" s="497" t="s">
        <v>3273</v>
      </c>
      <c r="J40" s="495" t="s">
        <v>1016</v>
      </c>
      <c r="K40" s="505">
        <v>45741</v>
      </c>
      <c r="L40" s="498">
        <v>45747</v>
      </c>
      <c r="M40" s="501">
        <v>45890</v>
      </c>
    </row>
    <row r="41" spans="1:13" s="270" customFormat="1" ht="51" hidden="1">
      <c r="A41" s="476">
        <f>IF(B41&lt;&gt;"", COUNTA($B$3:B41), "")</f>
        <v>39</v>
      </c>
      <c r="B41" s="477" t="s">
        <v>1003</v>
      </c>
      <c r="C41" s="477" t="str">
        <f t="shared" ca="1" si="0"/>
        <v>Completed</v>
      </c>
      <c r="D41" s="495" t="s">
        <v>1031</v>
      </c>
      <c r="E41" s="495" t="s">
        <v>148</v>
      </c>
      <c r="F41" s="497" t="s">
        <v>2780</v>
      </c>
      <c r="G41" s="497" t="s">
        <v>2781</v>
      </c>
      <c r="H41" s="497"/>
      <c r="I41" s="497" t="s">
        <v>2787</v>
      </c>
      <c r="J41" s="495" t="s">
        <v>1016</v>
      </c>
      <c r="K41" s="505">
        <v>45742</v>
      </c>
      <c r="L41" s="498">
        <v>45853</v>
      </c>
      <c r="M41" s="501">
        <v>45742</v>
      </c>
    </row>
    <row r="42" spans="1:13" s="270" customFormat="1" ht="63.75" hidden="1">
      <c r="A42" s="476">
        <f>IF(B42&lt;&gt;"", COUNTA($B$3:B42), "")</f>
        <v>40</v>
      </c>
      <c r="B42" s="477" t="s">
        <v>1003</v>
      </c>
      <c r="C42" s="477" t="str">
        <f t="shared" ca="1" si="0"/>
        <v>Completed</v>
      </c>
      <c r="D42" s="495" t="s">
        <v>1982</v>
      </c>
      <c r="E42" s="506" t="s">
        <v>148</v>
      </c>
      <c r="F42" s="500" t="s">
        <v>2788</v>
      </c>
      <c r="G42" s="500" t="s">
        <v>2789</v>
      </c>
      <c r="H42" s="500"/>
      <c r="I42" s="500" t="s">
        <v>2938</v>
      </c>
      <c r="J42" s="506" t="s">
        <v>1016</v>
      </c>
      <c r="K42" s="505">
        <v>45749</v>
      </c>
      <c r="L42" s="498">
        <v>45777</v>
      </c>
      <c r="M42" s="501">
        <v>45783</v>
      </c>
    </row>
    <row r="43" spans="1:13" s="270" customFormat="1" ht="76.5" hidden="1">
      <c r="A43" s="476">
        <f>IF(B43&lt;&gt;"", COUNTA($B$3:B43), "")</f>
        <v>41</v>
      </c>
      <c r="B43" s="477" t="s">
        <v>1003</v>
      </c>
      <c r="C43" s="477" t="str">
        <f ca="1">IF(AND(L43="", M43=""), "NA",
   IF(M43&lt;&gt;"", "Completed",
      IF(ISNUMBER(L43),
         IF(L43-TODAY() &gt; 0, "Due in "&amp;(L43-TODAY())&amp;" days",
            IF(L43-TODAY() = 0, "Due today", "Overdue "&amp;ABS(L43-TODAY())&amp;" days")
         ),
      "Invalid Date")
   )
)</f>
        <v>Completed</v>
      </c>
      <c r="D43" s="495"/>
      <c r="E43" s="495" t="s">
        <v>2803</v>
      </c>
      <c r="F43" s="497" t="s">
        <v>2804</v>
      </c>
      <c r="G43" s="497" t="s">
        <v>2672</v>
      </c>
      <c r="H43" s="497"/>
      <c r="I43" s="497" t="s">
        <v>2939</v>
      </c>
      <c r="J43" s="495" t="s">
        <v>1016</v>
      </c>
      <c r="K43" s="505">
        <v>45756</v>
      </c>
      <c r="L43" s="498">
        <v>45777</v>
      </c>
      <c r="M43" s="501">
        <v>45783</v>
      </c>
    </row>
    <row r="44" spans="1:13" s="270" customFormat="1">
      <c r="A44" s="476" t="str">
        <f>IF(B44&lt;&gt;"", COUNTA($B$3:B44), "")</f>
        <v/>
      </c>
      <c r="B44" s="477"/>
      <c r="C44" s="477" t="str">
        <f t="shared" ca="1" si="0"/>
        <v>NA</v>
      </c>
      <c r="D44" s="495"/>
      <c r="E44" s="495"/>
      <c r="F44" s="504"/>
      <c r="G44" s="497"/>
      <c r="H44" s="497"/>
      <c r="I44" s="497"/>
      <c r="J44" s="506"/>
      <c r="K44" s="505"/>
      <c r="L44" s="505"/>
      <c r="M44" s="501"/>
    </row>
    <row r="45" spans="1:13" s="270" customFormat="1">
      <c r="A45" s="476">
        <f>IF(B45&lt;&gt;"", COUNTA($B$3:B45), "")</f>
        <v>42</v>
      </c>
      <c r="B45" s="477" t="s">
        <v>1003</v>
      </c>
      <c r="C45" s="477" t="str">
        <f t="shared" ca="1" si="0"/>
        <v>NA</v>
      </c>
      <c r="D45" s="495"/>
      <c r="E45" s="495"/>
      <c r="F45" s="497"/>
      <c r="G45" s="497"/>
      <c r="H45" s="497"/>
      <c r="I45" s="497"/>
      <c r="J45" s="495"/>
      <c r="K45" s="505"/>
      <c r="L45" s="505"/>
      <c r="M45" s="501"/>
    </row>
    <row r="46" spans="1:13" s="271" customFormat="1">
      <c r="A46" s="476" t="str">
        <f>IF(B46&lt;&gt;"", COUNTA($B$3:B46), "")</f>
        <v/>
      </c>
      <c r="B46" s="477"/>
      <c r="C46" s="477" t="str">
        <f t="shared" ca="1" si="0"/>
        <v>NA</v>
      </c>
      <c r="D46" s="495"/>
      <c r="E46" s="495"/>
      <c r="F46" s="497"/>
      <c r="G46" s="497"/>
      <c r="H46" s="497"/>
      <c r="I46" s="497"/>
      <c r="J46" s="495"/>
      <c r="K46" s="505"/>
      <c r="L46" s="505"/>
      <c r="M46" s="501"/>
    </row>
    <row r="47" spans="1:13" s="270" customFormat="1">
      <c r="A47" s="476" t="str">
        <f>IF(B47&lt;&gt;"", COUNTA($B$3:B47), "")</f>
        <v/>
      </c>
      <c r="B47" s="477"/>
      <c r="C47" s="477" t="str">
        <f t="shared" ca="1" si="0"/>
        <v>NA</v>
      </c>
      <c r="D47" s="495"/>
      <c r="E47" s="495"/>
      <c r="F47" s="497"/>
      <c r="G47" s="497"/>
      <c r="H47" s="497"/>
      <c r="I47" s="497"/>
      <c r="J47" s="495"/>
      <c r="K47" s="505"/>
      <c r="L47" s="505"/>
      <c r="M47" s="501"/>
    </row>
    <row r="48" spans="1:13" s="270" customFormat="1">
      <c r="A48" s="476" t="str">
        <f>IF(B48&lt;&gt;"", COUNTA($B$3:B48), "")</f>
        <v/>
      </c>
      <c r="B48" s="477"/>
      <c r="C48" s="477" t="str">
        <f t="shared" ca="1" si="0"/>
        <v>NA</v>
      </c>
      <c r="D48" s="495"/>
      <c r="E48" s="507"/>
      <c r="F48" s="508"/>
      <c r="G48" s="508"/>
      <c r="H48" s="508"/>
      <c r="I48" s="509"/>
      <c r="J48" s="507"/>
      <c r="K48" s="505"/>
      <c r="L48" s="505"/>
      <c r="M48" s="501"/>
    </row>
    <row r="49" spans="1:13" s="270" customFormat="1">
      <c r="A49" s="476" t="str">
        <f>IF(B49&lt;&gt;"", COUNTA($B$3:B49), "")</f>
        <v/>
      </c>
      <c r="B49" s="477"/>
      <c r="C49" s="477" t="str">
        <f t="shared" ca="1" si="0"/>
        <v>NA</v>
      </c>
      <c r="D49" s="495"/>
      <c r="E49" s="506"/>
      <c r="F49" s="500"/>
      <c r="G49" s="500"/>
      <c r="H49" s="500"/>
      <c r="I49" s="500"/>
      <c r="J49" s="506"/>
      <c r="K49" s="505"/>
      <c r="L49" s="505"/>
      <c r="M49" s="501"/>
    </row>
    <row r="50" spans="1:13" s="270" customFormat="1">
      <c r="A50" s="476" t="str">
        <f>IF(B50&lt;&gt;"", COUNTA($B$3:B50), "")</f>
        <v/>
      </c>
      <c r="B50" s="477"/>
      <c r="C50" s="477" t="str">
        <f t="shared" ca="1" si="0"/>
        <v>NA</v>
      </c>
      <c r="D50" s="495"/>
      <c r="E50" s="495"/>
      <c r="F50" s="497"/>
      <c r="G50" s="497"/>
      <c r="H50" s="497"/>
      <c r="I50" s="497"/>
      <c r="J50" s="495"/>
      <c r="K50" s="505"/>
      <c r="L50" s="505"/>
      <c r="M50" s="501"/>
    </row>
    <row r="51" spans="1:13" s="270" customFormat="1">
      <c r="A51" s="476" t="str">
        <f>IF(B51&lt;&gt;"", COUNTA($B$3:B51), "")</f>
        <v/>
      </c>
      <c r="B51" s="477"/>
      <c r="C51" s="477" t="str">
        <f t="shared" ca="1" si="0"/>
        <v>NA</v>
      </c>
      <c r="D51" s="495"/>
      <c r="E51" s="495"/>
      <c r="G51" s="497"/>
      <c r="H51" s="497"/>
      <c r="I51" s="497"/>
      <c r="J51" s="495"/>
      <c r="K51" s="505"/>
      <c r="L51" s="505"/>
      <c r="M51" s="501"/>
    </row>
    <row r="52" spans="1:13" s="270" customFormat="1">
      <c r="A52" s="476" t="str">
        <f>IF(B52&lt;&gt;"", COUNTA($B$3:B52), "")</f>
        <v/>
      </c>
      <c r="B52" s="477"/>
      <c r="C52" s="477" t="str">
        <f t="shared" ca="1" si="0"/>
        <v>NA</v>
      </c>
      <c r="D52" s="495"/>
      <c r="E52" s="510"/>
      <c r="F52" s="500"/>
      <c r="G52" s="500"/>
      <c r="H52" s="500"/>
      <c r="I52" s="500"/>
      <c r="J52" s="506"/>
      <c r="K52" s="505"/>
      <c r="L52" s="505"/>
      <c r="M52" s="501"/>
    </row>
    <row r="53" spans="1:13" s="270" customFormat="1">
      <c r="A53" s="476" t="str">
        <f>IF(B53&lt;&gt;"", COUNTA($B$3:B53), "")</f>
        <v/>
      </c>
      <c r="B53" s="477"/>
      <c r="C53" s="477" t="str">
        <f t="shared" ca="1" si="0"/>
        <v>NA</v>
      </c>
      <c r="D53" s="495"/>
      <c r="E53" s="495"/>
      <c r="F53" s="511"/>
      <c r="G53" s="497"/>
      <c r="H53" s="497"/>
      <c r="I53" s="497"/>
      <c r="J53" s="495"/>
      <c r="K53" s="505"/>
      <c r="L53" s="505"/>
      <c r="M53" s="501"/>
    </row>
    <row r="54" spans="1:13" s="270" customFormat="1">
      <c r="A54" s="476" t="str">
        <f>IF(B54&lt;&gt;"", COUNTA($B$3:B54), "")</f>
        <v/>
      </c>
      <c r="B54" s="477"/>
      <c r="C54" s="477" t="str">
        <f t="shared" ca="1" si="0"/>
        <v>NA</v>
      </c>
      <c r="D54" s="495"/>
      <c r="E54" s="495"/>
      <c r="F54" s="497"/>
      <c r="G54" s="497"/>
      <c r="H54" s="497"/>
      <c r="I54" s="497"/>
      <c r="J54" s="495"/>
      <c r="K54" s="505"/>
      <c r="L54" s="505"/>
      <c r="M54" s="501"/>
    </row>
    <row r="55" spans="1:13" s="270" customFormat="1">
      <c r="A55" s="476" t="str">
        <f>IF(B55&lt;&gt;"", COUNTA($B$3:B55), "")</f>
        <v/>
      </c>
      <c r="B55" s="477"/>
      <c r="C55" s="477" t="e">
        <f ca="1">IF(AND(#REF!="", M55=""), "NA",
   IF(M55&lt;&gt;"", "Completed",
      IF(ISNUMBER(#REF!),
         IF(#REF!-TODAY() &gt; 0, "Due in "&amp;(#REF!-TODAY())&amp;" days",
            IF(#REF!-TODAY() = 0, "Due today", "Overdue "&amp;ABS(#REF!-TODAY())&amp;" days")
         ),
      "Invalid Date")
   )
)</f>
        <v>#REF!</v>
      </c>
      <c r="D55" s="495"/>
      <c r="E55" s="495"/>
      <c r="F55" s="497"/>
      <c r="G55" s="497"/>
      <c r="H55" s="497"/>
      <c r="I55" s="497"/>
      <c r="J55" s="495"/>
      <c r="K55" s="505"/>
      <c r="L55" s="505"/>
      <c r="M55" s="501"/>
    </row>
    <row r="56" spans="1:13" s="270" customFormat="1">
      <c r="A56" s="476" t="str">
        <f>IF(B56&lt;&gt;"", COUNTA($B$3:B56), "")</f>
        <v/>
      </c>
      <c r="B56" s="477"/>
      <c r="C56" s="477" t="str">
        <f ca="1">IF(AND(L55="", M56=""), "NA",
   IF(M56&lt;&gt;"", "Completed",
      IF(ISNUMBER(L55),
         IF(L55-TODAY() &gt; 0, "Due in "&amp;(L55-TODAY())&amp;" days",
            IF(L55-TODAY() = 0, "Due today", "Overdue "&amp;ABS(L55-TODAY())&amp;" days")
         ),
      "Invalid Date")
   )
)</f>
        <v>NA</v>
      </c>
      <c r="D56" s="495"/>
      <c r="E56" s="495"/>
      <c r="F56" s="497"/>
      <c r="G56" s="497"/>
      <c r="H56" s="497"/>
      <c r="I56" s="497"/>
      <c r="J56" s="495"/>
      <c r="K56" s="505"/>
      <c r="M56" s="501"/>
    </row>
    <row r="57" spans="1:13" s="270" customFormat="1">
      <c r="A57" s="476" t="str">
        <f>IF(B57&lt;&gt;"", COUNTA($B$3:B57), "")</f>
        <v/>
      </c>
      <c r="B57" s="477"/>
      <c r="C57" s="477" t="str">
        <f t="shared" ca="1" si="0"/>
        <v>NA</v>
      </c>
      <c r="D57" s="495"/>
      <c r="E57" s="495"/>
      <c r="F57" s="497"/>
      <c r="G57" s="497"/>
      <c r="H57" s="497"/>
      <c r="I57" s="497"/>
      <c r="J57" s="495"/>
      <c r="K57" s="505"/>
      <c r="L57" s="505"/>
      <c r="M57" s="501"/>
    </row>
    <row r="58" spans="1:13" s="270" customFormat="1">
      <c r="A58" s="476" t="str">
        <f>IF(B58&lt;&gt;"", COUNTA($B$3:B58), "")</f>
        <v/>
      </c>
      <c r="B58" s="477"/>
      <c r="C58" s="477" t="str">
        <f t="shared" ca="1" si="0"/>
        <v>NA</v>
      </c>
      <c r="D58" s="495"/>
      <c r="E58" s="495"/>
      <c r="F58" s="497"/>
      <c r="G58" s="497"/>
      <c r="H58" s="497"/>
      <c r="I58" s="497"/>
      <c r="J58" s="495"/>
      <c r="K58" s="505"/>
      <c r="L58" s="505"/>
      <c r="M58" s="501"/>
    </row>
    <row r="59" spans="1:13" s="270" customFormat="1">
      <c r="A59" s="476" t="str">
        <f>IF(B59&lt;&gt;"", COUNTA($B$3:B59), "")</f>
        <v/>
      </c>
      <c r="B59" s="477"/>
      <c r="C59" s="477" t="str">
        <f t="shared" ca="1" si="0"/>
        <v>NA</v>
      </c>
      <c r="D59" s="495"/>
      <c r="E59" s="495"/>
      <c r="F59" s="512"/>
      <c r="G59" s="497"/>
      <c r="H59" s="497"/>
      <c r="I59" s="497"/>
      <c r="J59" s="495"/>
      <c r="K59" s="505"/>
      <c r="L59" s="505"/>
      <c r="M59" s="501"/>
    </row>
    <row r="60" spans="1:13" s="270" customFormat="1">
      <c r="A60" s="476" t="str">
        <f>IF(B60&lt;&gt;"", COUNTA($B$3:B60), "")</f>
        <v/>
      </c>
      <c r="B60" s="477"/>
      <c r="C60" s="477" t="str">
        <f t="shared" ca="1" si="0"/>
        <v>NA</v>
      </c>
      <c r="D60" s="495"/>
      <c r="E60" s="495"/>
      <c r="F60" s="497"/>
      <c r="G60" s="497"/>
      <c r="H60" s="497"/>
      <c r="I60" s="497"/>
      <c r="J60" s="495"/>
      <c r="K60" s="505"/>
      <c r="L60" s="505"/>
      <c r="M60" s="501"/>
    </row>
    <row r="61" spans="1:13" s="270" customFormat="1">
      <c r="A61" s="476" t="str">
        <f>IF(B61&lt;&gt;"", COUNTA($B$3:B61), "")</f>
        <v/>
      </c>
      <c r="B61" s="477"/>
      <c r="C61" s="477" t="str">
        <f t="shared" ca="1" si="0"/>
        <v>NA</v>
      </c>
      <c r="D61" s="495"/>
      <c r="E61" s="495"/>
      <c r="F61" s="497"/>
      <c r="G61" s="497"/>
      <c r="H61" s="497"/>
      <c r="I61" s="497"/>
      <c r="J61" s="495"/>
      <c r="K61" s="505"/>
      <c r="L61" s="505"/>
      <c r="M61" s="501"/>
    </row>
    <row r="62" spans="1:13" s="270" customFormat="1">
      <c r="A62" s="476" t="str">
        <f>IF(B62&lt;&gt;"", COUNTA($B$3:B62), "")</f>
        <v/>
      </c>
      <c r="B62" s="477"/>
      <c r="C62" s="477" t="str">
        <f t="shared" ca="1" si="0"/>
        <v>NA</v>
      </c>
      <c r="D62" s="495"/>
      <c r="E62" s="495"/>
      <c r="F62" s="497"/>
      <c r="G62" s="497"/>
      <c r="H62" s="497"/>
      <c r="I62" s="497"/>
      <c r="J62" s="495"/>
      <c r="K62" s="505"/>
      <c r="L62" s="505"/>
      <c r="M62" s="501"/>
    </row>
    <row r="63" spans="1:13" s="270" customFormat="1">
      <c r="A63" s="476" t="str">
        <f>IF(B63&lt;&gt;"", COUNTA($B$3:B63), "")</f>
        <v/>
      </c>
      <c r="B63" s="477"/>
      <c r="C63" s="477" t="str">
        <f t="shared" ca="1" si="0"/>
        <v>NA</v>
      </c>
      <c r="D63" s="495"/>
      <c r="E63" s="495"/>
      <c r="F63" s="497"/>
      <c r="G63" s="497"/>
      <c r="H63" s="497"/>
      <c r="I63" s="497"/>
      <c r="J63" s="495"/>
      <c r="K63" s="505"/>
      <c r="L63" s="505"/>
      <c r="M63" s="501"/>
    </row>
    <row r="64" spans="1:13" s="270" customFormat="1">
      <c r="A64" s="476" t="str">
        <f>IF(B64&lt;&gt;"", COUNTA($B$3:B64), "")</f>
        <v/>
      </c>
      <c r="B64" s="477"/>
      <c r="C64" s="477" t="str">
        <f t="shared" ca="1" si="0"/>
        <v>NA</v>
      </c>
      <c r="D64" s="495"/>
      <c r="E64" s="495"/>
      <c r="F64" s="497"/>
      <c r="G64" s="497"/>
      <c r="H64" s="497"/>
      <c r="I64" s="497"/>
      <c r="J64" s="495"/>
      <c r="K64" s="505"/>
      <c r="L64" s="505"/>
      <c r="M64" s="501"/>
    </row>
    <row r="65" spans="1:13" s="270" customFormat="1">
      <c r="A65" s="476" t="str">
        <f>IF(B65&lt;&gt;"", COUNTA($B$3:B65), "")</f>
        <v/>
      </c>
      <c r="B65" s="477"/>
      <c r="C65" s="477" t="str">
        <f t="shared" ca="1" si="0"/>
        <v>NA</v>
      </c>
      <c r="D65" s="495"/>
      <c r="E65" s="495"/>
      <c r="F65" s="497"/>
      <c r="G65" s="511"/>
      <c r="H65" s="511"/>
      <c r="I65" s="497"/>
      <c r="J65" s="495"/>
      <c r="K65" s="505"/>
      <c r="L65" s="505"/>
      <c r="M65" s="501"/>
    </row>
    <row r="66" spans="1:13" s="270" customFormat="1">
      <c r="A66" s="476" t="str">
        <f>IF(B66&lt;&gt;"", COUNTA($B$3:B66), "")</f>
        <v/>
      </c>
      <c r="B66" s="477"/>
      <c r="C66" s="477" t="str">
        <f t="shared" ref="C66:C129" ca="1" si="1">IF(AND(L66="", M66=""), "NA",
   IF(M66&lt;&gt;"", "Completed",
      IF(ISNUMBER(L66),
         IF(L66-TODAY() &gt; 0, "Due in "&amp;(L66-TODAY())&amp;" days",
            IF(L66-TODAY() = 0, "Due today", "Overdue "&amp;ABS(L66-TODAY())&amp;" days")
         ),
      "Invalid Date")
   )
)</f>
        <v>NA</v>
      </c>
      <c r="D66" s="495"/>
      <c r="E66" s="495"/>
      <c r="F66" s="497"/>
      <c r="G66" s="497"/>
      <c r="H66" s="497"/>
      <c r="I66" s="497"/>
      <c r="J66" s="495"/>
      <c r="K66" s="505"/>
      <c r="L66" s="505"/>
      <c r="M66" s="501"/>
    </row>
    <row r="67" spans="1:13" s="270" customFormat="1">
      <c r="A67" s="476" t="str">
        <f>IF(B67&lt;&gt;"", COUNTA($B$3:B67), "")</f>
        <v/>
      </c>
      <c r="B67" s="477"/>
      <c r="C67" s="477" t="str">
        <f t="shared" ca="1" si="1"/>
        <v>NA</v>
      </c>
      <c r="D67" s="495"/>
      <c r="E67" s="495"/>
      <c r="F67" s="497"/>
      <c r="G67" s="497"/>
      <c r="H67" s="497"/>
      <c r="I67" s="497"/>
      <c r="J67" s="495"/>
      <c r="K67" s="505"/>
      <c r="L67" s="505"/>
      <c r="M67" s="501"/>
    </row>
    <row r="68" spans="1:13" s="270" customFormat="1">
      <c r="A68" s="476" t="str">
        <f>IF(B68&lt;&gt;"", COUNTA($B$3:B68), "")</f>
        <v/>
      </c>
      <c r="B68" s="477"/>
      <c r="C68" s="477" t="str">
        <f t="shared" ca="1" si="1"/>
        <v>NA</v>
      </c>
      <c r="D68" s="495"/>
      <c r="E68" s="495"/>
      <c r="F68" s="497"/>
      <c r="G68" s="497"/>
      <c r="H68" s="497"/>
      <c r="I68" s="497"/>
      <c r="J68" s="495"/>
      <c r="K68" s="505"/>
      <c r="L68" s="505"/>
      <c r="M68" s="501"/>
    </row>
    <row r="69" spans="1:13" s="270" customFormat="1">
      <c r="A69" s="476" t="str">
        <f>IF(B69&lt;&gt;"", COUNTA($B$3:B69), "")</f>
        <v/>
      </c>
      <c r="B69" s="477"/>
      <c r="C69" s="477" t="str">
        <f t="shared" ca="1" si="1"/>
        <v>NA</v>
      </c>
      <c r="D69" s="495"/>
      <c r="E69" s="495"/>
      <c r="F69" s="497"/>
      <c r="G69" s="497"/>
      <c r="H69" s="497"/>
      <c r="I69" s="497"/>
      <c r="J69" s="495"/>
      <c r="K69" s="505"/>
      <c r="L69" s="505"/>
      <c r="M69" s="501"/>
    </row>
    <row r="70" spans="1:13" s="270" customFormat="1">
      <c r="A70" s="476" t="str">
        <f>IF(B70&lt;&gt;"", COUNTA($B$3:B70), "")</f>
        <v/>
      </c>
      <c r="B70" s="477"/>
      <c r="C70" s="477" t="str">
        <f t="shared" ca="1" si="1"/>
        <v>NA</v>
      </c>
      <c r="D70" s="495"/>
      <c r="E70" s="495"/>
      <c r="F70" s="497"/>
      <c r="G70" s="497"/>
      <c r="H70" s="497"/>
      <c r="I70" s="497"/>
      <c r="J70" s="495"/>
      <c r="K70" s="505"/>
      <c r="L70" s="505"/>
      <c r="M70" s="501"/>
    </row>
    <row r="71" spans="1:13" s="270" customFormat="1">
      <c r="A71" s="476" t="str">
        <f>IF(B71&lt;&gt;"", COUNTA($B$3:B71), "")</f>
        <v/>
      </c>
      <c r="B71" s="477"/>
      <c r="C71" s="477" t="str">
        <f t="shared" ca="1" si="1"/>
        <v>NA</v>
      </c>
      <c r="D71" s="495"/>
      <c r="E71" s="495"/>
      <c r="F71" s="497"/>
      <c r="G71" s="497"/>
      <c r="H71" s="497"/>
      <c r="I71" s="497"/>
      <c r="J71" s="495"/>
      <c r="K71" s="505"/>
      <c r="L71" s="505"/>
      <c r="M71" s="501"/>
    </row>
    <row r="72" spans="1:13" s="270" customFormat="1">
      <c r="A72" s="476" t="str">
        <f>IF(B72&lt;&gt;"", COUNTA($B$3:B72), "")</f>
        <v/>
      </c>
      <c r="B72" s="477"/>
      <c r="C72" s="477" t="str">
        <f t="shared" ca="1" si="1"/>
        <v>NA</v>
      </c>
      <c r="D72" s="495"/>
      <c r="E72" s="495"/>
      <c r="F72" s="497"/>
      <c r="G72" s="497"/>
      <c r="H72" s="497"/>
      <c r="I72" s="500"/>
      <c r="J72" s="495"/>
      <c r="K72" s="505"/>
      <c r="L72" s="505"/>
      <c r="M72" s="501"/>
    </row>
    <row r="73" spans="1:13" s="270" customFormat="1" ht="14.25">
      <c r="A73" s="476" t="str">
        <f>IF(B73&lt;&gt;"", COUNTA($B$3:B73), "")</f>
        <v/>
      </c>
      <c r="B73" s="477"/>
      <c r="C73" s="477" t="str">
        <f t="shared" ca="1" si="1"/>
        <v>NA</v>
      </c>
      <c r="D73" s="495"/>
      <c r="E73" s="513"/>
      <c r="F73" s="509"/>
      <c r="G73" s="509"/>
      <c r="H73" s="509"/>
      <c r="I73" s="509"/>
      <c r="J73" s="495"/>
      <c r="K73" s="505"/>
      <c r="L73" s="505"/>
      <c r="M73" s="501"/>
    </row>
    <row r="74" spans="1:13" s="270" customFormat="1">
      <c r="A74" s="476" t="str">
        <f>IF(B74&lt;&gt;"", COUNTA($B$3:B74), "")</f>
        <v/>
      </c>
      <c r="B74" s="477"/>
      <c r="C74" s="477" t="str">
        <f t="shared" ca="1" si="1"/>
        <v>NA</v>
      </c>
      <c r="D74" s="495"/>
      <c r="E74" s="495"/>
      <c r="F74" s="497"/>
      <c r="G74" s="497"/>
      <c r="H74" s="497"/>
      <c r="I74" s="497"/>
      <c r="J74" s="495"/>
      <c r="K74" s="505"/>
      <c r="L74" s="505"/>
      <c r="M74" s="501"/>
    </row>
    <row r="75" spans="1:13" s="270" customFormat="1">
      <c r="A75" s="476" t="str">
        <f>IF(B75&lt;&gt;"", COUNTA($B$3:B75), "")</f>
        <v/>
      </c>
      <c r="B75" s="477"/>
      <c r="C75" s="477" t="str">
        <f t="shared" ca="1" si="1"/>
        <v>NA</v>
      </c>
      <c r="D75" s="495"/>
      <c r="E75" s="495"/>
      <c r="F75" s="497"/>
      <c r="G75" s="497"/>
      <c r="H75" s="497"/>
      <c r="I75" s="497"/>
      <c r="J75" s="495"/>
      <c r="K75" s="505"/>
      <c r="L75" s="505"/>
      <c r="M75" s="501"/>
    </row>
    <row r="76" spans="1:13">
      <c r="A76" s="476" t="str">
        <f>IF(B76&lt;&gt;"", COUNTA($B$3:B76), "")</f>
        <v/>
      </c>
      <c r="B76" s="477"/>
      <c r="C76" s="477" t="str">
        <f t="shared" ca="1" si="1"/>
        <v>NA</v>
      </c>
      <c r="D76" s="495"/>
      <c r="E76" s="514"/>
      <c r="F76" s="515"/>
      <c r="G76" s="515"/>
      <c r="H76" s="515"/>
      <c r="I76" s="515"/>
      <c r="J76" s="514"/>
      <c r="K76" s="516"/>
      <c r="L76" s="516"/>
      <c r="M76" s="517"/>
    </row>
    <row r="77" spans="1:13">
      <c r="A77" s="476" t="str">
        <f>IF(B77&lt;&gt;"", COUNTA($B$3:B77), "")</f>
        <v/>
      </c>
      <c r="B77" s="477"/>
      <c r="C77" s="477" t="str">
        <f t="shared" ca="1" si="1"/>
        <v>NA</v>
      </c>
      <c r="D77" s="495"/>
      <c r="E77" s="514"/>
      <c r="F77" s="515"/>
      <c r="G77" s="515"/>
      <c r="H77" s="515"/>
      <c r="I77" s="515"/>
      <c r="J77" s="514"/>
      <c r="K77" s="516"/>
      <c r="L77" s="516"/>
      <c r="M77" s="517"/>
    </row>
    <row r="78" spans="1:13">
      <c r="A78" s="476" t="str">
        <f>IF(B78&lt;&gt;"", COUNTA($B$3:B78), "")</f>
        <v/>
      </c>
      <c r="B78" s="477"/>
      <c r="C78" s="477" t="str">
        <f t="shared" ca="1" si="1"/>
        <v>NA</v>
      </c>
      <c r="D78" s="495"/>
      <c r="E78" s="514"/>
      <c r="F78" s="515"/>
      <c r="G78" s="515"/>
      <c r="H78" s="515"/>
      <c r="I78" s="515"/>
      <c r="J78" s="514"/>
      <c r="K78" s="516"/>
      <c r="L78" s="516"/>
      <c r="M78" s="517"/>
    </row>
    <row r="79" spans="1:13">
      <c r="A79" s="476" t="str">
        <f>IF(B79&lt;&gt;"", COUNTA($B$3:B79), "")</f>
        <v/>
      </c>
      <c r="B79" s="477"/>
      <c r="C79" s="477" t="str">
        <f t="shared" ca="1" si="1"/>
        <v>NA</v>
      </c>
      <c r="D79" s="495"/>
      <c r="E79" s="514"/>
      <c r="F79" s="515"/>
      <c r="G79" s="515"/>
      <c r="H79" s="515"/>
      <c r="I79" s="515"/>
      <c r="J79" s="514"/>
      <c r="K79" s="516"/>
      <c r="L79" s="516"/>
      <c r="M79" s="517"/>
    </row>
    <row r="80" spans="1:13">
      <c r="A80" s="476" t="str">
        <f>IF(B80&lt;&gt;"", COUNTA($B$3:B80), "")</f>
        <v/>
      </c>
      <c r="B80" s="477"/>
      <c r="C80" s="477" t="str">
        <f t="shared" ca="1" si="1"/>
        <v>NA</v>
      </c>
      <c r="D80" s="495"/>
      <c r="E80" s="514"/>
      <c r="F80" s="515"/>
      <c r="G80" s="515"/>
      <c r="H80" s="515"/>
      <c r="I80" s="515"/>
      <c r="J80" s="514"/>
      <c r="K80" s="516"/>
      <c r="L80" s="516"/>
      <c r="M80" s="517"/>
    </row>
    <row r="81" spans="1:13">
      <c r="A81" s="476" t="str">
        <f>IF(B81&lt;&gt;"", COUNTA($B$3:B81), "")</f>
        <v/>
      </c>
      <c r="B81" s="477"/>
      <c r="C81" s="477" t="str">
        <f t="shared" ca="1" si="1"/>
        <v>NA</v>
      </c>
      <c r="D81" s="495"/>
      <c r="E81" s="514"/>
      <c r="F81" s="515"/>
      <c r="G81" s="515"/>
      <c r="H81" s="515"/>
      <c r="I81" s="515"/>
      <c r="J81" s="514"/>
      <c r="K81" s="516"/>
      <c r="L81" s="516"/>
      <c r="M81" s="517"/>
    </row>
    <row r="82" spans="1:13">
      <c r="A82" s="476" t="str">
        <f>IF(B82&lt;&gt;"", COUNTA($B$3:B82), "")</f>
        <v/>
      </c>
      <c r="B82" s="477"/>
      <c r="C82" s="477" t="str">
        <f t="shared" ca="1" si="1"/>
        <v>NA</v>
      </c>
      <c r="D82" s="495"/>
      <c r="E82" s="514"/>
      <c r="F82" s="515"/>
      <c r="G82" s="515"/>
      <c r="H82" s="515"/>
      <c r="I82" s="515"/>
      <c r="J82" s="514"/>
      <c r="K82" s="516"/>
      <c r="L82" s="516"/>
      <c r="M82" s="517"/>
    </row>
    <row r="83" spans="1:13">
      <c r="A83" s="476" t="str">
        <f>IF(B83&lt;&gt;"", COUNTA($B$3:B83), "")</f>
        <v/>
      </c>
      <c r="B83" s="477"/>
      <c r="C83" s="477" t="str">
        <f t="shared" ca="1" si="1"/>
        <v>NA</v>
      </c>
      <c r="D83" s="495"/>
      <c r="E83" s="514"/>
      <c r="F83" s="515"/>
      <c r="G83" s="515"/>
      <c r="H83" s="515"/>
      <c r="I83" s="515"/>
      <c r="J83" s="514"/>
      <c r="K83" s="516"/>
      <c r="L83" s="516"/>
      <c r="M83" s="517"/>
    </row>
    <row r="84" spans="1:13">
      <c r="A84" s="476" t="str">
        <f>IF(B84&lt;&gt;"", COUNTA($B$3:B84), "")</f>
        <v/>
      </c>
      <c r="B84" s="477"/>
      <c r="C84" s="477" t="str">
        <f t="shared" ca="1" si="1"/>
        <v>NA</v>
      </c>
      <c r="D84" s="495"/>
      <c r="E84" s="514"/>
      <c r="F84" s="515"/>
      <c r="G84" s="515"/>
      <c r="H84" s="515"/>
      <c r="I84" s="515"/>
      <c r="J84" s="514"/>
      <c r="K84" s="516"/>
      <c r="L84" s="516"/>
      <c r="M84" s="517"/>
    </row>
    <row r="85" spans="1:13">
      <c r="A85" s="476" t="str">
        <f>IF(B85&lt;&gt;"", COUNTA($B$3:B85), "")</f>
        <v/>
      </c>
      <c r="B85" s="477"/>
      <c r="C85" s="477" t="str">
        <f t="shared" ca="1" si="1"/>
        <v>NA</v>
      </c>
      <c r="D85" s="495"/>
      <c r="E85" s="514"/>
      <c r="F85" s="515"/>
      <c r="G85" s="515"/>
      <c r="H85" s="515"/>
      <c r="I85" s="515"/>
      <c r="J85" s="514"/>
      <c r="K85" s="516"/>
      <c r="L85" s="516"/>
      <c r="M85" s="517"/>
    </row>
    <row r="86" spans="1:13">
      <c r="A86" s="476" t="str">
        <f>IF(B86&lt;&gt;"", COUNTA($B$3:B86), "")</f>
        <v/>
      </c>
      <c r="B86" s="477"/>
      <c r="C86" s="477" t="str">
        <f t="shared" ca="1" si="1"/>
        <v>NA</v>
      </c>
      <c r="D86" s="495"/>
      <c r="E86" s="514"/>
      <c r="F86" s="515"/>
      <c r="G86" s="515"/>
      <c r="H86" s="515"/>
      <c r="I86" s="515"/>
      <c r="J86" s="514"/>
      <c r="K86" s="516"/>
      <c r="L86" s="516"/>
      <c r="M86" s="517"/>
    </row>
    <row r="87" spans="1:13">
      <c r="A87" s="476" t="str">
        <f>IF(B87&lt;&gt;"", COUNTA($B$3:B87), "")</f>
        <v/>
      </c>
      <c r="B87" s="477"/>
      <c r="C87" s="477" t="str">
        <f t="shared" ca="1" si="1"/>
        <v>NA</v>
      </c>
      <c r="D87" s="495"/>
      <c r="E87" s="514"/>
      <c r="F87" s="515"/>
      <c r="G87" s="515"/>
      <c r="H87" s="515"/>
      <c r="I87" s="515"/>
      <c r="J87" s="514"/>
      <c r="K87" s="516"/>
      <c r="L87" s="516"/>
      <c r="M87" s="517"/>
    </row>
    <row r="88" spans="1:13">
      <c r="A88" s="476" t="str">
        <f>IF(B88&lt;&gt;"", COUNTA($B$3:B88), "")</f>
        <v/>
      </c>
      <c r="B88" s="477"/>
      <c r="C88" s="477" t="str">
        <f t="shared" ca="1" si="1"/>
        <v>NA</v>
      </c>
      <c r="D88" s="495"/>
      <c r="E88" s="514"/>
      <c r="F88" s="515"/>
      <c r="G88" s="515"/>
      <c r="H88" s="515"/>
      <c r="I88" s="515"/>
      <c r="J88" s="514"/>
      <c r="K88" s="516"/>
      <c r="L88" s="516"/>
      <c r="M88" s="517"/>
    </row>
    <row r="89" spans="1:13">
      <c r="A89" s="476" t="str">
        <f>IF(B89&lt;&gt;"", COUNTA($B$3:B89), "")</f>
        <v/>
      </c>
      <c r="B89" s="477"/>
      <c r="C89" s="477" t="str">
        <f t="shared" ca="1" si="1"/>
        <v>NA</v>
      </c>
      <c r="D89" s="495"/>
      <c r="E89" s="514"/>
      <c r="F89" s="515"/>
      <c r="G89" s="515"/>
      <c r="H89" s="515"/>
      <c r="I89" s="515"/>
      <c r="J89" s="514"/>
      <c r="K89" s="516"/>
      <c r="L89" s="516"/>
      <c r="M89" s="517"/>
    </row>
    <row r="90" spans="1:13">
      <c r="A90" s="476" t="str">
        <f>IF(B90&lt;&gt;"", COUNTA($B$3:B90), "")</f>
        <v/>
      </c>
      <c r="B90" s="477"/>
      <c r="C90" s="477" t="str">
        <f t="shared" ca="1" si="1"/>
        <v>NA</v>
      </c>
      <c r="D90" s="495"/>
      <c r="E90" s="514"/>
      <c r="F90" s="515"/>
      <c r="G90" s="515"/>
      <c r="H90" s="515"/>
      <c r="I90" s="515"/>
      <c r="J90" s="514"/>
      <c r="K90" s="516"/>
      <c r="L90" s="516"/>
      <c r="M90" s="517"/>
    </row>
    <row r="91" spans="1:13">
      <c r="A91" s="476" t="str">
        <f>IF(B91&lt;&gt;"", COUNTA($B$3:B91), "")</f>
        <v/>
      </c>
      <c r="B91" s="477"/>
      <c r="C91" s="477" t="str">
        <f t="shared" ca="1" si="1"/>
        <v>NA</v>
      </c>
      <c r="D91" s="495"/>
      <c r="E91" s="514"/>
      <c r="F91" s="515"/>
      <c r="G91" s="515"/>
      <c r="H91" s="515"/>
      <c r="I91" s="515"/>
      <c r="J91" s="514"/>
      <c r="K91" s="516"/>
      <c r="L91" s="516"/>
      <c r="M91" s="517"/>
    </row>
    <row r="92" spans="1:13">
      <c r="A92" s="476" t="str">
        <f>IF(B92&lt;&gt;"", COUNTA($B$3:B92), "")</f>
        <v/>
      </c>
      <c r="B92" s="477"/>
      <c r="C92" s="477" t="str">
        <f t="shared" ca="1" si="1"/>
        <v>NA</v>
      </c>
      <c r="D92" s="495"/>
      <c r="E92" s="514"/>
      <c r="F92" s="515"/>
      <c r="G92" s="515"/>
      <c r="H92" s="515"/>
      <c r="I92" s="515"/>
      <c r="J92" s="514"/>
      <c r="K92" s="516"/>
      <c r="L92" s="516"/>
      <c r="M92" s="517"/>
    </row>
    <row r="93" spans="1:13">
      <c r="A93" s="476" t="str">
        <f>IF(B93&lt;&gt;"", COUNTA($B$3:B93), "")</f>
        <v/>
      </c>
      <c r="B93" s="477"/>
      <c r="C93" s="477" t="str">
        <f t="shared" ca="1" si="1"/>
        <v>NA</v>
      </c>
      <c r="D93" s="495"/>
      <c r="E93" s="514"/>
      <c r="F93" s="515"/>
      <c r="G93" s="515"/>
      <c r="H93" s="515"/>
      <c r="I93" s="515"/>
      <c r="J93" s="514"/>
      <c r="K93" s="516"/>
      <c r="L93" s="516"/>
      <c r="M93" s="517"/>
    </row>
    <row r="94" spans="1:13">
      <c r="A94" s="476" t="str">
        <f>IF(B94&lt;&gt;"", COUNTA($B$3:B94), "")</f>
        <v/>
      </c>
      <c r="B94" s="477"/>
      <c r="C94" s="477" t="str">
        <f t="shared" ca="1" si="1"/>
        <v>NA</v>
      </c>
      <c r="D94" s="495"/>
      <c r="E94" s="514"/>
      <c r="F94" s="515"/>
      <c r="G94" s="515"/>
      <c r="H94" s="515"/>
      <c r="I94" s="515"/>
      <c r="J94" s="514"/>
      <c r="K94" s="516"/>
      <c r="L94" s="516"/>
      <c r="M94" s="517"/>
    </row>
    <row r="95" spans="1:13">
      <c r="A95" s="476" t="str">
        <f>IF(B95&lt;&gt;"", COUNTA($B$3:B95), "")</f>
        <v/>
      </c>
      <c r="B95" s="477"/>
      <c r="C95" s="477" t="str">
        <f t="shared" ca="1" si="1"/>
        <v>NA</v>
      </c>
      <c r="D95" s="495"/>
      <c r="E95" s="514"/>
      <c r="F95" s="515"/>
      <c r="G95" s="515"/>
      <c r="H95" s="515"/>
      <c r="I95" s="515"/>
      <c r="J95" s="514"/>
      <c r="K95" s="516"/>
      <c r="L95" s="516"/>
      <c r="M95" s="517"/>
    </row>
    <row r="96" spans="1:13">
      <c r="A96" s="476" t="str">
        <f>IF(B96&lt;&gt;"", COUNTA($B$3:B96), "")</f>
        <v/>
      </c>
      <c r="B96" s="477"/>
      <c r="C96" s="477" t="str">
        <f t="shared" ca="1" si="1"/>
        <v>NA</v>
      </c>
      <c r="D96" s="495"/>
      <c r="E96" s="514"/>
      <c r="F96" s="515"/>
      <c r="G96" s="515"/>
      <c r="H96" s="515"/>
      <c r="I96" s="515"/>
      <c r="J96" s="514"/>
      <c r="K96" s="516"/>
      <c r="L96" s="516"/>
      <c r="M96" s="517"/>
    </row>
    <row r="97" spans="1:13">
      <c r="A97" s="476" t="str">
        <f>IF(B97&lt;&gt;"", COUNTA($B$3:B97), "")</f>
        <v/>
      </c>
      <c r="B97" s="477"/>
      <c r="C97" s="477" t="str">
        <f t="shared" ca="1" si="1"/>
        <v>NA</v>
      </c>
      <c r="D97" s="495"/>
      <c r="E97" s="514"/>
      <c r="F97" s="515"/>
      <c r="G97" s="515"/>
      <c r="H97" s="515"/>
      <c r="I97" s="515"/>
      <c r="J97" s="514"/>
      <c r="K97" s="516"/>
      <c r="L97" s="516"/>
      <c r="M97" s="517"/>
    </row>
    <row r="98" spans="1:13">
      <c r="A98" s="476" t="str">
        <f>IF(B98&lt;&gt;"", COUNTA($B$3:B98), "")</f>
        <v/>
      </c>
      <c r="B98" s="477"/>
      <c r="C98" s="477" t="str">
        <f t="shared" ca="1" si="1"/>
        <v>NA</v>
      </c>
      <c r="D98" s="495"/>
      <c r="E98" s="514"/>
      <c r="F98" s="515"/>
      <c r="G98" s="515"/>
      <c r="H98" s="515"/>
      <c r="I98" s="515"/>
      <c r="J98" s="514"/>
      <c r="K98" s="516"/>
      <c r="L98" s="516"/>
      <c r="M98" s="517"/>
    </row>
    <row r="99" spans="1:13">
      <c r="A99" s="476" t="str">
        <f>IF(B99&lt;&gt;"", COUNTA($B$3:B99), "")</f>
        <v/>
      </c>
      <c r="B99" s="477"/>
      <c r="C99" s="477" t="str">
        <f t="shared" ca="1" si="1"/>
        <v>NA</v>
      </c>
      <c r="D99" s="495"/>
      <c r="E99" s="514"/>
      <c r="F99" s="515"/>
      <c r="G99" s="515"/>
      <c r="H99" s="515"/>
      <c r="I99" s="515"/>
      <c r="J99" s="514"/>
      <c r="K99" s="516"/>
      <c r="L99" s="516"/>
      <c r="M99" s="517"/>
    </row>
    <row r="100" spans="1:13">
      <c r="A100" s="476" t="str">
        <f>IF(B100&lt;&gt;"", COUNTA($B$3:B100), "")</f>
        <v/>
      </c>
      <c r="B100" s="477"/>
      <c r="C100" s="477" t="str">
        <f t="shared" ca="1" si="1"/>
        <v>NA</v>
      </c>
      <c r="D100" s="495"/>
      <c r="E100" s="514"/>
      <c r="F100" s="515"/>
      <c r="G100" s="515"/>
      <c r="H100" s="515"/>
      <c r="I100" s="515"/>
      <c r="J100" s="514"/>
      <c r="K100" s="516"/>
      <c r="L100" s="516"/>
      <c r="M100" s="517"/>
    </row>
    <row r="101" spans="1:13">
      <c r="A101" s="476" t="str">
        <f>IF(B101&lt;&gt;"", COUNTA($B$3:B101), "")</f>
        <v/>
      </c>
      <c r="B101" s="477"/>
      <c r="C101" s="477" t="str">
        <f t="shared" ca="1" si="1"/>
        <v>NA</v>
      </c>
      <c r="D101" s="495"/>
      <c r="E101" s="514"/>
      <c r="F101" s="515"/>
      <c r="G101" s="515"/>
      <c r="H101" s="515"/>
      <c r="I101" s="515"/>
      <c r="J101" s="514"/>
      <c r="K101" s="516"/>
      <c r="L101" s="516"/>
      <c r="M101" s="517"/>
    </row>
    <row r="102" spans="1:13">
      <c r="A102" s="476" t="str">
        <f>IF(B102&lt;&gt;"", COUNTA($B$3:B102), "")</f>
        <v/>
      </c>
      <c r="B102" s="477"/>
      <c r="C102" s="477" t="str">
        <f t="shared" ca="1" si="1"/>
        <v>NA</v>
      </c>
      <c r="D102" s="495"/>
      <c r="E102" s="514"/>
      <c r="F102" s="515"/>
      <c r="G102" s="515"/>
      <c r="H102" s="515"/>
      <c r="I102" s="515"/>
      <c r="J102" s="514"/>
      <c r="K102" s="516"/>
      <c r="L102" s="516"/>
      <c r="M102" s="517"/>
    </row>
    <row r="103" spans="1:13">
      <c r="A103" s="476" t="str">
        <f>IF(B103&lt;&gt;"", COUNTA($B$3:B103), "")</f>
        <v/>
      </c>
      <c r="B103" s="477"/>
      <c r="C103" s="477" t="str">
        <f t="shared" ca="1" si="1"/>
        <v>NA</v>
      </c>
      <c r="D103" s="495"/>
      <c r="E103" s="514"/>
      <c r="F103" s="515"/>
      <c r="G103" s="515"/>
      <c r="H103" s="515"/>
      <c r="I103" s="515"/>
      <c r="J103" s="514"/>
      <c r="K103" s="516"/>
      <c r="L103" s="516"/>
      <c r="M103" s="517"/>
    </row>
    <row r="104" spans="1:13">
      <c r="A104" s="476" t="str">
        <f>IF(B104&lt;&gt;"", COUNTA($B$3:B104), "")</f>
        <v/>
      </c>
      <c r="B104" s="477"/>
      <c r="C104" s="477" t="str">
        <f t="shared" ca="1" si="1"/>
        <v>NA</v>
      </c>
      <c r="D104" s="495"/>
      <c r="E104" s="514"/>
      <c r="F104" s="515"/>
      <c r="G104" s="515"/>
      <c r="H104" s="515"/>
      <c r="I104" s="515"/>
      <c r="J104" s="514"/>
      <c r="K104" s="516"/>
      <c r="L104" s="516"/>
      <c r="M104" s="517"/>
    </row>
    <row r="105" spans="1:13">
      <c r="A105" s="476" t="str">
        <f>IF(B105&lt;&gt;"", COUNTA($B$3:B105), "")</f>
        <v/>
      </c>
      <c r="B105" s="477"/>
      <c r="C105" s="477" t="str">
        <f t="shared" ca="1" si="1"/>
        <v>NA</v>
      </c>
      <c r="D105" s="495"/>
      <c r="E105" s="514"/>
      <c r="F105" s="515"/>
      <c r="G105" s="515"/>
      <c r="H105" s="515"/>
      <c r="I105" s="515"/>
      <c r="J105" s="514"/>
      <c r="K105" s="516"/>
      <c r="L105" s="516"/>
      <c r="M105" s="517"/>
    </row>
    <row r="106" spans="1:13">
      <c r="A106" s="476" t="str">
        <f>IF(B106&lt;&gt;"", COUNTA($B$3:B106), "")</f>
        <v/>
      </c>
      <c r="B106" s="477"/>
      <c r="C106" s="477" t="str">
        <f t="shared" ca="1" si="1"/>
        <v>NA</v>
      </c>
      <c r="D106" s="495"/>
      <c r="E106" s="514"/>
      <c r="F106" s="515"/>
      <c r="G106" s="515"/>
      <c r="H106" s="515"/>
      <c r="I106" s="515"/>
      <c r="J106" s="514"/>
      <c r="K106" s="516"/>
      <c r="L106" s="516"/>
      <c r="M106" s="517"/>
    </row>
    <row r="107" spans="1:13">
      <c r="A107" s="476" t="str">
        <f>IF(B107&lt;&gt;"", COUNTA($B$3:B107), "")</f>
        <v/>
      </c>
      <c r="B107" s="477"/>
      <c r="C107" s="477" t="str">
        <f t="shared" ca="1" si="1"/>
        <v>NA</v>
      </c>
      <c r="D107" s="495"/>
      <c r="E107" s="514"/>
      <c r="F107" s="515"/>
      <c r="G107" s="515"/>
      <c r="H107" s="515"/>
      <c r="I107" s="515"/>
      <c r="J107" s="514"/>
      <c r="K107" s="516"/>
      <c r="L107" s="516"/>
      <c r="M107" s="517"/>
    </row>
    <row r="108" spans="1:13">
      <c r="A108" s="476" t="str">
        <f>IF(B108&lt;&gt;"", COUNTA($B$3:B108), "")</f>
        <v/>
      </c>
      <c r="B108" s="477"/>
      <c r="C108" s="477" t="str">
        <f t="shared" ca="1" si="1"/>
        <v>NA</v>
      </c>
      <c r="D108" s="495"/>
      <c r="E108" s="514"/>
      <c r="F108" s="515"/>
      <c r="G108" s="515"/>
      <c r="H108" s="515"/>
      <c r="I108" s="515"/>
      <c r="J108" s="514"/>
      <c r="K108" s="516"/>
      <c r="L108" s="516"/>
      <c r="M108" s="517"/>
    </row>
    <row r="109" spans="1:13">
      <c r="A109" s="476" t="str">
        <f>IF(B109&lt;&gt;"", COUNTA($B$3:B109), "")</f>
        <v/>
      </c>
      <c r="B109" s="477"/>
      <c r="C109" s="477" t="str">
        <f t="shared" ca="1" si="1"/>
        <v>NA</v>
      </c>
      <c r="D109" s="495"/>
      <c r="E109" s="514"/>
      <c r="F109" s="515"/>
      <c r="G109" s="515"/>
      <c r="H109" s="515"/>
      <c r="I109" s="515"/>
      <c r="J109" s="514"/>
      <c r="K109" s="516"/>
      <c r="L109" s="516"/>
      <c r="M109" s="517"/>
    </row>
    <row r="110" spans="1:13">
      <c r="A110" s="476" t="str">
        <f>IF(B110&lt;&gt;"", COUNTA($B$3:B110), "")</f>
        <v/>
      </c>
      <c r="B110" s="477"/>
      <c r="C110" s="477" t="str">
        <f t="shared" ca="1" si="1"/>
        <v>NA</v>
      </c>
      <c r="D110" s="495"/>
      <c r="E110" s="514"/>
      <c r="F110" s="515"/>
      <c r="G110" s="515"/>
      <c r="H110" s="515"/>
      <c r="I110" s="515"/>
      <c r="J110" s="514"/>
      <c r="K110" s="516"/>
      <c r="L110" s="516"/>
      <c r="M110" s="517"/>
    </row>
    <row r="111" spans="1:13">
      <c r="A111" s="476" t="str">
        <f>IF(B111&lt;&gt;"", COUNTA($B$3:B111), "")</f>
        <v/>
      </c>
      <c r="B111" s="477"/>
      <c r="C111" s="477" t="str">
        <f t="shared" ca="1" si="1"/>
        <v>NA</v>
      </c>
      <c r="D111" s="495"/>
      <c r="E111" s="514"/>
      <c r="F111" s="515"/>
      <c r="G111" s="515"/>
      <c r="H111" s="515"/>
      <c r="I111" s="515"/>
      <c r="J111" s="514"/>
      <c r="K111" s="516"/>
      <c r="L111" s="516"/>
      <c r="M111" s="517"/>
    </row>
    <row r="112" spans="1:13">
      <c r="A112" s="476" t="str">
        <f>IF(B112&lt;&gt;"", COUNTA($B$3:B112), "")</f>
        <v/>
      </c>
      <c r="B112" s="477"/>
      <c r="C112" s="477" t="str">
        <f t="shared" ca="1" si="1"/>
        <v>NA</v>
      </c>
      <c r="D112" s="495"/>
      <c r="E112" s="514"/>
      <c r="F112" s="515"/>
      <c r="G112" s="515"/>
      <c r="H112" s="515"/>
      <c r="I112" s="515"/>
      <c r="J112" s="514"/>
      <c r="K112" s="516"/>
      <c r="L112" s="516"/>
      <c r="M112" s="517"/>
    </row>
    <row r="113" spans="1:13">
      <c r="A113" s="476" t="str">
        <f>IF(B113&lt;&gt;"", COUNTA($B$3:B113), "")</f>
        <v/>
      </c>
      <c r="B113" s="477"/>
      <c r="C113" s="477" t="str">
        <f t="shared" ca="1" si="1"/>
        <v>NA</v>
      </c>
      <c r="D113" s="495"/>
      <c r="E113" s="514"/>
      <c r="F113" s="515"/>
      <c r="G113" s="515"/>
      <c r="H113" s="515"/>
      <c r="I113" s="515"/>
      <c r="J113" s="514"/>
      <c r="K113" s="516"/>
      <c r="L113" s="516"/>
      <c r="M113" s="517"/>
    </row>
    <row r="114" spans="1:13">
      <c r="A114" s="476" t="str">
        <f>IF(B114&lt;&gt;"", COUNTA($B$3:B114), "")</f>
        <v/>
      </c>
      <c r="B114" s="477"/>
      <c r="C114" s="477" t="str">
        <f t="shared" ca="1" si="1"/>
        <v>NA</v>
      </c>
      <c r="D114" s="495"/>
      <c r="E114" s="514"/>
      <c r="F114" s="515"/>
      <c r="G114" s="515"/>
      <c r="H114" s="515"/>
      <c r="I114" s="515"/>
      <c r="J114" s="514"/>
      <c r="K114" s="516"/>
      <c r="L114" s="516"/>
      <c r="M114" s="517"/>
    </row>
    <row r="115" spans="1:13">
      <c r="A115" s="476" t="str">
        <f>IF(B115&lt;&gt;"", COUNTA($B$3:B115), "")</f>
        <v/>
      </c>
      <c r="B115" s="477"/>
      <c r="C115" s="477" t="str">
        <f t="shared" ca="1" si="1"/>
        <v>NA</v>
      </c>
      <c r="D115" s="495"/>
      <c r="E115" s="514"/>
      <c r="F115" s="515"/>
      <c r="G115" s="515"/>
      <c r="H115" s="515"/>
      <c r="I115" s="515"/>
      <c r="J115" s="514"/>
      <c r="K115" s="516"/>
      <c r="L115" s="516"/>
      <c r="M115" s="517"/>
    </row>
    <row r="116" spans="1:13">
      <c r="A116" s="476" t="str">
        <f>IF(B116&lt;&gt;"", COUNTA($B$3:B116), "")</f>
        <v/>
      </c>
      <c r="B116" s="477"/>
      <c r="C116" s="477" t="str">
        <f t="shared" ca="1" si="1"/>
        <v>NA</v>
      </c>
      <c r="D116" s="495"/>
      <c r="E116" s="514"/>
      <c r="F116" s="515"/>
      <c r="G116" s="515"/>
      <c r="H116" s="515"/>
      <c r="I116" s="515"/>
      <c r="J116" s="514"/>
      <c r="K116" s="516"/>
      <c r="L116" s="516"/>
      <c r="M116" s="517"/>
    </row>
    <row r="117" spans="1:13">
      <c r="A117" s="476" t="str">
        <f>IF(B117&lt;&gt;"", COUNTA($B$3:B117), "")</f>
        <v/>
      </c>
      <c r="B117" s="477"/>
      <c r="C117" s="477" t="str">
        <f t="shared" ca="1" si="1"/>
        <v>NA</v>
      </c>
      <c r="D117" s="495"/>
      <c r="E117" s="514"/>
      <c r="F117" s="515"/>
      <c r="G117" s="515"/>
      <c r="H117" s="515"/>
      <c r="I117" s="515"/>
      <c r="J117" s="514"/>
      <c r="K117" s="516"/>
      <c r="L117" s="516"/>
      <c r="M117" s="517"/>
    </row>
    <row r="118" spans="1:13">
      <c r="A118" s="476" t="str">
        <f>IF(B118&lt;&gt;"", COUNTA($B$3:B118), "")</f>
        <v/>
      </c>
      <c r="B118" s="477"/>
      <c r="C118" s="477" t="str">
        <f t="shared" ca="1" si="1"/>
        <v>NA</v>
      </c>
      <c r="D118" s="495"/>
      <c r="E118" s="514"/>
      <c r="F118" s="515"/>
      <c r="G118" s="515"/>
      <c r="H118" s="515"/>
      <c r="I118" s="515"/>
      <c r="J118" s="514"/>
      <c r="K118" s="516"/>
      <c r="L118" s="516"/>
      <c r="M118" s="517"/>
    </row>
    <row r="119" spans="1:13">
      <c r="A119" s="476" t="str">
        <f>IF(B119&lt;&gt;"", COUNTA($B$3:B119), "")</f>
        <v/>
      </c>
      <c r="B119" s="477"/>
      <c r="C119" s="477" t="str">
        <f t="shared" ca="1" si="1"/>
        <v>NA</v>
      </c>
      <c r="D119" s="495"/>
      <c r="E119" s="514"/>
      <c r="F119" s="515"/>
      <c r="G119" s="515"/>
      <c r="H119" s="515"/>
      <c r="I119" s="515"/>
      <c r="J119" s="514"/>
      <c r="K119" s="516"/>
      <c r="L119" s="516"/>
      <c r="M119" s="517"/>
    </row>
    <row r="120" spans="1:13">
      <c r="A120" s="476" t="str">
        <f>IF(B120&lt;&gt;"", COUNTA($B$3:B120), "")</f>
        <v/>
      </c>
      <c r="B120" s="477"/>
      <c r="C120" s="477" t="str">
        <f t="shared" ca="1" si="1"/>
        <v>NA</v>
      </c>
      <c r="D120" s="495"/>
      <c r="E120" s="514"/>
      <c r="F120" s="515"/>
      <c r="G120" s="515"/>
      <c r="H120" s="515"/>
      <c r="I120" s="515"/>
      <c r="J120" s="514"/>
      <c r="K120" s="516"/>
      <c r="L120" s="516"/>
      <c r="M120" s="517"/>
    </row>
    <row r="121" spans="1:13">
      <c r="A121" s="476" t="str">
        <f>IF(B121&lt;&gt;"", COUNTA($B$3:B121), "")</f>
        <v/>
      </c>
      <c r="B121" s="477"/>
      <c r="C121" s="477" t="str">
        <f t="shared" ca="1" si="1"/>
        <v>NA</v>
      </c>
      <c r="D121" s="495"/>
      <c r="E121" s="514"/>
      <c r="F121" s="515"/>
      <c r="G121" s="515"/>
      <c r="H121" s="515"/>
      <c r="I121" s="515"/>
      <c r="J121" s="514"/>
      <c r="K121" s="516"/>
      <c r="L121" s="516"/>
      <c r="M121" s="517"/>
    </row>
    <row r="122" spans="1:13">
      <c r="A122" s="476" t="str">
        <f>IF(B122&lt;&gt;"", COUNTA($B$3:B122), "")</f>
        <v/>
      </c>
      <c r="B122" s="477"/>
      <c r="C122" s="477" t="str">
        <f t="shared" ca="1" si="1"/>
        <v>NA</v>
      </c>
      <c r="D122" s="495"/>
      <c r="E122" s="514"/>
      <c r="F122" s="515"/>
      <c r="G122" s="515"/>
      <c r="H122" s="515"/>
      <c r="I122" s="515"/>
      <c r="J122" s="514"/>
      <c r="K122" s="516"/>
      <c r="L122" s="516"/>
      <c r="M122" s="517"/>
    </row>
    <row r="123" spans="1:13">
      <c r="A123" s="476" t="str">
        <f>IF(B123&lt;&gt;"", COUNTA($B$3:B123), "")</f>
        <v/>
      </c>
      <c r="B123" s="477"/>
      <c r="C123" s="477" t="str">
        <f t="shared" ca="1" si="1"/>
        <v>NA</v>
      </c>
      <c r="D123" s="495"/>
      <c r="E123" s="514"/>
      <c r="F123" s="515"/>
      <c r="G123" s="515"/>
      <c r="H123" s="515"/>
      <c r="I123" s="515"/>
      <c r="J123" s="514"/>
      <c r="K123" s="516"/>
      <c r="L123" s="516"/>
      <c r="M123" s="517"/>
    </row>
    <row r="124" spans="1:13">
      <c r="A124" s="476" t="str">
        <f>IF(B124&lt;&gt;"", COUNTA($B$3:B124), "")</f>
        <v/>
      </c>
      <c r="B124" s="477"/>
      <c r="C124" s="477" t="str">
        <f t="shared" ca="1" si="1"/>
        <v>NA</v>
      </c>
      <c r="D124" s="495"/>
      <c r="E124" s="514"/>
      <c r="F124" s="515"/>
      <c r="G124" s="515"/>
      <c r="H124" s="515"/>
      <c r="I124" s="515"/>
      <c r="J124" s="514"/>
      <c r="K124" s="516"/>
      <c r="L124" s="516"/>
      <c r="M124" s="517"/>
    </row>
    <row r="125" spans="1:13">
      <c r="A125" s="476" t="str">
        <f>IF(B125&lt;&gt;"", COUNTA($B$3:B125), "")</f>
        <v/>
      </c>
      <c r="B125" s="477"/>
      <c r="C125" s="477" t="str">
        <f t="shared" ca="1" si="1"/>
        <v>NA</v>
      </c>
      <c r="D125" s="495"/>
      <c r="E125" s="514"/>
      <c r="F125" s="515"/>
      <c r="G125" s="515"/>
      <c r="H125" s="515"/>
      <c r="I125" s="515"/>
      <c r="J125" s="514"/>
      <c r="K125" s="516"/>
      <c r="L125" s="516"/>
      <c r="M125" s="517"/>
    </row>
    <row r="126" spans="1:13">
      <c r="A126" s="476" t="str">
        <f>IF(B126&lt;&gt;"", COUNTA($B$3:B126), "")</f>
        <v/>
      </c>
      <c r="B126" s="477"/>
      <c r="C126" s="477" t="str">
        <f t="shared" ca="1" si="1"/>
        <v>NA</v>
      </c>
      <c r="D126" s="495"/>
      <c r="E126" s="514"/>
      <c r="F126" s="515"/>
      <c r="G126" s="515"/>
      <c r="H126" s="515"/>
      <c r="I126" s="515"/>
      <c r="J126" s="514"/>
      <c r="K126" s="516"/>
      <c r="L126" s="516"/>
      <c r="M126" s="517"/>
    </row>
    <row r="127" spans="1:13">
      <c r="A127" s="476" t="str">
        <f>IF(B127&lt;&gt;"", COUNTA($B$3:B127), "")</f>
        <v/>
      </c>
      <c r="B127" s="477"/>
      <c r="C127" s="477" t="str">
        <f t="shared" ca="1" si="1"/>
        <v>NA</v>
      </c>
      <c r="D127" s="495"/>
      <c r="E127" s="514"/>
      <c r="F127" s="515"/>
      <c r="G127" s="515"/>
      <c r="H127" s="515"/>
      <c r="I127" s="515"/>
      <c r="J127" s="514"/>
      <c r="K127" s="516"/>
      <c r="L127" s="516"/>
      <c r="M127" s="517"/>
    </row>
    <row r="128" spans="1:13">
      <c r="A128" s="476" t="str">
        <f>IF(B128&lt;&gt;"", COUNTA($B$3:B128), "")</f>
        <v/>
      </c>
      <c r="B128" s="477"/>
      <c r="C128" s="477" t="str">
        <f t="shared" ca="1" si="1"/>
        <v>NA</v>
      </c>
      <c r="D128" s="495"/>
      <c r="E128" s="514"/>
      <c r="F128" s="515"/>
      <c r="G128" s="515"/>
      <c r="H128" s="515"/>
      <c r="I128" s="515"/>
      <c r="J128" s="514"/>
      <c r="K128" s="516"/>
      <c r="L128" s="516"/>
      <c r="M128" s="517"/>
    </row>
    <row r="129" spans="1:13">
      <c r="A129" s="476" t="str">
        <f>IF(B129&lt;&gt;"", COUNTA($B$3:B129), "")</f>
        <v/>
      </c>
      <c r="B129" s="477"/>
      <c r="C129" s="477" t="str">
        <f t="shared" ca="1" si="1"/>
        <v>NA</v>
      </c>
      <c r="D129" s="495"/>
      <c r="E129" s="514"/>
      <c r="F129" s="515"/>
      <c r="G129" s="515"/>
      <c r="H129" s="515"/>
      <c r="I129" s="515"/>
      <c r="J129" s="514"/>
      <c r="K129" s="516"/>
      <c r="L129" s="516"/>
      <c r="M129" s="517"/>
    </row>
    <row r="130" spans="1:13">
      <c r="A130" s="476" t="str">
        <f>IF(B130&lt;&gt;"", COUNTA($B$3:B130), "")</f>
        <v/>
      </c>
      <c r="B130" s="477"/>
      <c r="C130" s="477" t="str">
        <f t="shared" ref="C130:C193" ca="1" si="2">IF(AND(L130="", M130=""), "NA",
   IF(M130&lt;&gt;"", "Completed",
      IF(ISNUMBER(L130),
         IF(L130-TODAY() &gt; 0, "Due in "&amp;(L130-TODAY())&amp;" days",
            IF(L130-TODAY() = 0, "Due today", "Overdue "&amp;ABS(L130-TODAY())&amp;" days")
         ),
      "Invalid Date")
   )
)</f>
        <v>NA</v>
      </c>
      <c r="D130" s="495"/>
      <c r="E130" s="514"/>
      <c r="F130" s="515"/>
      <c r="G130" s="515"/>
      <c r="H130" s="515"/>
      <c r="I130" s="515"/>
      <c r="J130" s="514"/>
      <c r="K130" s="516"/>
      <c r="L130" s="516"/>
      <c r="M130" s="517"/>
    </row>
    <row r="131" spans="1:13">
      <c r="A131" s="476" t="str">
        <f>IF(B131&lt;&gt;"", COUNTA($B$3:B131), "")</f>
        <v/>
      </c>
      <c r="B131" s="477"/>
      <c r="C131" s="477" t="str">
        <f t="shared" ca="1" si="2"/>
        <v>NA</v>
      </c>
      <c r="D131" s="495"/>
      <c r="E131" s="514"/>
      <c r="F131" s="515"/>
      <c r="G131" s="515"/>
      <c r="H131" s="515"/>
      <c r="I131" s="515"/>
      <c r="J131" s="514"/>
      <c r="K131" s="516"/>
      <c r="L131" s="516"/>
      <c r="M131" s="517"/>
    </row>
    <row r="132" spans="1:13">
      <c r="A132" s="476" t="str">
        <f>IF(B132&lt;&gt;"", COUNTA($B$3:B132), "")</f>
        <v/>
      </c>
      <c r="B132" s="477"/>
      <c r="C132" s="477" t="str">
        <f t="shared" ca="1" si="2"/>
        <v>NA</v>
      </c>
      <c r="D132" s="495"/>
      <c r="E132" s="514"/>
      <c r="F132" s="515"/>
      <c r="G132" s="515"/>
      <c r="H132" s="515"/>
      <c r="I132" s="515"/>
      <c r="J132" s="514"/>
      <c r="K132" s="516"/>
      <c r="L132" s="516"/>
      <c r="M132" s="517"/>
    </row>
    <row r="133" spans="1:13">
      <c r="A133" s="476" t="str">
        <f>IF(B133&lt;&gt;"", COUNTA($B$3:B133), "")</f>
        <v/>
      </c>
      <c r="B133" s="477"/>
      <c r="C133" s="477" t="str">
        <f t="shared" ca="1" si="2"/>
        <v>NA</v>
      </c>
      <c r="D133" s="495"/>
      <c r="E133" s="514"/>
      <c r="F133" s="515"/>
      <c r="G133" s="515"/>
      <c r="H133" s="515"/>
      <c r="I133" s="515"/>
      <c r="J133" s="514"/>
      <c r="K133" s="516"/>
      <c r="L133" s="516"/>
      <c r="M133" s="517"/>
    </row>
    <row r="134" spans="1:13">
      <c r="A134" s="476" t="str">
        <f>IF(B134&lt;&gt;"", COUNTA($B$3:B134), "")</f>
        <v/>
      </c>
      <c r="B134" s="477"/>
      <c r="C134" s="477" t="str">
        <f t="shared" ca="1" si="2"/>
        <v>NA</v>
      </c>
      <c r="D134" s="495"/>
      <c r="E134" s="514"/>
      <c r="F134" s="515"/>
      <c r="G134" s="515"/>
      <c r="H134" s="515"/>
      <c r="I134" s="515"/>
      <c r="J134" s="514"/>
      <c r="K134" s="516"/>
      <c r="L134" s="516"/>
      <c r="M134" s="517"/>
    </row>
    <row r="135" spans="1:13">
      <c r="A135" s="476" t="str">
        <f>IF(B135&lt;&gt;"", COUNTA($B$3:B135), "")</f>
        <v/>
      </c>
      <c r="B135" s="477"/>
      <c r="C135" s="477" t="str">
        <f t="shared" ca="1" si="2"/>
        <v>NA</v>
      </c>
      <c r="D135" s="495"/>
      <c r="E135" s="514"/>
      <c r="F135" s="515"/>
      <c r="G135" s="515"/>
      <c r="H135" s="515"/>
      <c r="I135" s="515"/>
      <c r="J135" s="514"/>
      <c r="K135" s="516"/>
      <c r="L135" s="516"/>
      <c r="M135" s="517"/>
    </row>
    <row r="136" spans="1:13">
      <c r="A136" s="476" t="str">
        <f>IF(B136&lt;&gt;"", COUNTA($B$3:B136), "")</f>
        <v/>
      </c>
      <c r="B136" s="477"/>
      <c r="C136" s="477" t="str">
        <f t="shared" ca="1" si="2"/>
        <v>NA</v>
      </c>
      <c r="D136" s="495"/>
      <c r="E136" s="514"/>
      <c r="F136" s="515"/>
      <c r="G136" s="515"/>
      <c r="H136" s="515"/>
      <c r="I136" s="515"/>
      <c r="J136" s="514"/>
      <c r="K136" s="516"/>
      <c r="L136" s="516"/>
      <c r="M136" s="517"/>
    </row>
    <row r="137" spans="1:13">
      <c r="A137" s="476" t="str">
        <f>IF(B137&lt;&gt;"", COUNTA($B$3:B137), "")</f>
        <v/>
      </c>
      <c r="B137" s="477"/>
      <c r="C137" s="477" t="str">
        <f t="shared" ca="1" si="2"/>
        <v>NA</v>
      </c>
      <c r="D137" s="495"/>
      <c r="E137" s="514"/>
      <c r="F137" s="515"/>
      <c r="G137" s="515"/>
      <c r="H137" s="515"/>
      <c r="I137" s="515"/>
      <c r="J137" s="514"/>
      <c r="K137" s="516"/>
      <c r="L137" s="516"/>
      <c r="M137" s="517"/>
    </row>
    <row r="138" spans="1:13">
      <c r="A138" s="476" t="str">
        <f>IF(B138&lt;&gt;"", COUNTA($B$3:B138), "")</f>
        <v/>
      </c>
      <c r="B138" s="477"/>
      <c r="C138" s="477" t="str">
        <f t="shared" ca="1" si="2"/>
        <v>NA</v>
      </c>
      <c r="D138" s="495"/>
      <c r="E138" s="514"/>
      <c r="F138" s="515"/>
      <c r="G138" s="515"/>
      <c r="H138" s="515"/>
      <c r="I138" s="515"/>
      <c r="J138" s="514"/>
      <c r="K138" s="516"/>
      <c r="L138" s="516"/>
      <c r="M138" s="517"/>
    </row>
    <row r="139" spans="1:13">
      <c r="A139" s="476" t="str">
        <f>IF(B139&lt;&gt;"", COUNTA($B$3:B139), "")</f>
        <v/>
      </c>
      <c r="B139" s="477"/>
      <c r="C139" s="477" t="str">
        <f t="shared" ca="1" si="2"/>
        <v>NA</v>
      </c>
      <c r="D139" s="495"/>
      <c r="E139" s="514"/>
      <c r="F139" s="515"/>
      <c r="G139" s="515"/>
      <c r="H139" s="515"/>
      <c r="I139" s="515"/>
      <c r="J139" s="514"/>
      <c r="K139" s="516"/>
      <c r="L139" s="516"/>
      <c r="M139" s="517"/>
    </row>
    <row r="140" spans="1:13">
      <c r="A140" s="476" t="str">
        <f>IF(B140&lt;&gt;"", COUNTA($B$3:B140), "")</f>
        <v/>
      </c>
      <c r="B140" s="477"/>
      <c r="C140" s="477" t="str">
        <f t="shared" ca="1" si="2"/>
        <v>NA</v>
      </c>
      <c r="D140" s="495"/>
      <c r="E140" s="514"/>
      <c r="F140" s="515"/>
      <c r="G140" s="515"/>
      <c r="H140" s="515"/>
      <c r="I140" s="515"/>
      <c r="J140" s="514"/>
      <c r="K140" s="516"/>
      <c r="L140" s="516"/>
      <c r="M140" s="517"/>
    </row>
    <row r="141" spans="1:13">
      <c r="A141" s="476" t="str">
        <f>IF(B141&lt;&gt;"", COUNTA($B$3:B141), "")</f>
        <v/>
      </c>
      <c r="B141" s="477"/>
      <c r="C141" s="477" t="str">
        <f t="shared" ca="1" si="2"/>
        <v>NA</v>
      </c>
      <c r="D141" s="495"/>
      <c r="E141" s="514"/>
      <c r="F141" s="515"/>
      <c r="G141" s="515"/>
      <c r="H141" s="515"/>
      <c r="I141" s="515"/>
      <c r="J141" s="514"/>
      <c r="K141" s="516"/>
      <c r="L141" s="516"/>
      <c r="M141" s="517"/>
    </row>
    <row r="142" spans="1:13">
      <c r="A142" s="476" t="str">
        <f>IF(B142&lt;&gt;"", COUNTA($B$3:B142), "")</f>
        <v/>
      </c>
      <c r="B142" s="477"/>
      <c r="C142" s="477" t="str">
        <f t="shared" ca="1" si="2"/>
        <v>NA</v>
      </c>
      <c r="D142" s="495"/>
      <c r="E142" s="514"/>
      <c r="F142" s="515"/>
      <c r="G142" s="515"/>
      <c r="H142" s="515"/>
      <c r="I142" s="515"/>
      <c r="J142" s="514"/>
      <c r="K142" s="516"/>
      <c r="L142" s="516"/>
      <c r="M142" s="517"/>
    </row>
    <row r="143" spans="1:13">
      <c r="A143" s="476" t="str">
        <f>IF(B143&lt;&gt;"", COUNTA($B$3:B143), "")</f>
        <v/>
      </c>
      <c r="B143" s="477"/>
      <c r="C143" s="477" t="str">
        <f t="shared" ca="1" si="2"/>
        <v>NA</v>
      </c>
      <c r="D143" s="495"/>
      <c r="E143" s="514"/>
      <c r="F143" s="515"/>
      <c r="G143" s="515"/>
      <c r="H143" s="515"/>
      <c r="I143" s="515"/>
      <c r="J143" s="514"/>
      <c r="K143" s="516"/>
      <c r="L143" s="516"/>
      <c r="M143" s="517"/>
    </row>
    <row r="144" spans="1:13">
      <c r="A144" s="476" t="str">
        <f>IF(B144&lt;&gt;"", COUNTA($B$3:B144), "")</f>
        <v/>
      </c>
      <c r="B144" s="477"/>
      <c r="C144" s="477" t="str">
        <f t="shared" ca="1" si="2"/>
        <v>NA</v>
      </c>
      <c r="D144" s="495"/>
      <c r="E144" s="514"/>
      <c r="F144" s="515"/>
      <c r="G144" s="515"/>
      <c r="H144" s="515"/>
      <c r="I144" s="515"/>
      <c r="J144" s="514"/>
      <c r="K144" s="516"/>
      <c r="L144" s="516"/>
      <c r="M144" s="517"/>
    </row>
    <row r="145" spans="1:13">
      <c r="A145" s="476" t="str">
        <f>IF(B145&lt;&gt;"", COUNTA($B$3:B145), "")</f>
        <v/>
      </c>
      <c r="B145" s="477"/>
      <c r="C145" s="477" t="str">
        <f t="shared" ca="1" si="2"/>
        <v>NA</v>
      </c>
      <c r="D145" s="495"/>
      <c r="E145" s="514"/>
      <c r="F145" s="515"/>
      <c r="G145" s="515"/>
      <c r="H145" s="515"/>
      <c r="I145" s="515"/>
      <c r="J145" s="514"/>
      <c r="K145" s="516"/>
      <c r="L145" s="516"/>
      <c r="M145" s="517"/>
    </row>
    <row r="146" spans="1:13">
      <c r="A146" s="476" t="str">
        <f>IF(B146&lt;&gt;"", COUNTA($B$3:B146), "")</f>
        <v/>
      </c>
      <c r="B146" s="477"/>
      <c r="C146" s="477" t="str">
        <f t="shared" ca="1" si="2"/>
        <v>NA</v>
      </c>
      <c r="D146" s="495"/>
      <c r="E146" s="514"/>
      <c r="F146" s="515"/>
      <c r="G146" s="515"/>
      <c r="H146" s="515"/>
      <c r="I146" s="515"/>
      <c r="J146" s="514"/>
      <c r="K146" s="516"/>
      <c r="L146" s="516"/>
      <c r="M146" s="517"/>
    </row>
    <row r="147" spans="1:13">
      <c r="A147" s="476" t="str">
        <f>IF(B147&lt;&gt;"", COUNTA($B$3:B147), "")</f>
        <v/>
      </c>
      <c r="B147" s="477"/>
      <c r="C147" s="477" t="str">
        <f t="shared" ca="1" si="2"/>
        <v>NA</v>
      </c>
      <c r="D147" s="514"/>
      <c r="E147" s="514"/>
      <c r="F147" s="515"/>
      <c r="G147" s="515"/>
      <c r="H147" s="515"/>
      <c r="I147" s="515"/>
      <c r="J147" s="514"/>
      <c r="K147" s="516"/>
      <c r="L147" s="516"/>
      <c r="M147" s="517"/>
    </row>
    <row r="148" spans="1:13">
      <c r="A148" s="476" t="str">
        <f>IF(B148&lt;&gt;"", COUNTA($B$3:B148), "")</f>
        <v/>
      </c>
      <c r="B148" s="477"/>
      <c r="C148" s="477" t="str">
        <f t="shared" ca="1" si="2"/>
        <v>NA</v>
      </c>
      <c r="D148" s="514"/>
      <c r="E148" s="514"/>
      <c r="F148" s="515"/>
      <c r="G148" s="515"/>
      <c r="H148" s="515"/>
      <c r="I148" s="515"/>
      <c r="J148" s="514"/>
      <c r="K148" s="516"/>
      <c r="L148" s="516"/>
      <c r="M148" s="517"/>
    </row>
    <row r="149" spans="1:13">
      <c r="A149" s="476" t="str">
        <f>IF(B149&lt;&gt;"", COUNTA($B$3:B149), "")</f>
        <v/>
      </c>
      <c r="B149" s="477"/>
      <c r="C149" s="477" t="str">
        <f t="shared" ca="1" si="2"/>
        <v>NA</v>
      </c>
      <c r="D149" s="514"/>
      <c r="E149" s="514"/>
      <c r="F149" s="515"/>
      <c r="G149" s="515"/>
      <c r="H149" s="515"/>
      <c r="I149" s="515"/>
      <c r="J149" s="514"/>
      <c r="K149" s="516"/>
      <c r="L149" s="516"/>
      <c r="M149" s="517"/>
    </row>
    <row r="150" spans="1:13">
      <c r="A150" s="476" t="str">
        <f>IF(B150&lt;&gt;"", COUNTA($B$3:B150), "")</f>
        <v/>
      </c>
      <c r="B150" s="477"/>
      <c r="C150" s="477" t="str">
        <f t="shared" ca="1" si="2"/>
        <v>NA</v>
      </c>
      <c r="D150" s="514"/>
      <c r="E150" s="514"/>
      <c r="F150" s="515"/>
      <c r="G150" s="515"/>
      <c r="H150" s="515"/>
      <c r="I150" s="515"/>
      <c r="J150" s="514"/>
      <c r="K150" s="516"/>
      <c r="L150" s="516"/>
      <c r="M150" s="517"/>
    </row>
    <row r="151" spans="1:13">
      <c r="A151" s="476" t="str">
        <f>IF(B151&lt;&gt;"", COUNTA($B$3:B151), "")</f>
        <v/>
      </c>
      <c r="B151" s="477"/>
      <c r="C151" s="477" t="str">
        <f t="shared" ca="1" si="2"/>
        <v>NA</v>
      </c>
      <c r="D151" s="514"/>
      <c r="E151" s="514"/>
      <c r="F151" s="515"/>
      <c r="G151" s="515"/>
      <c r="H151" s="515"/>
      <c r="I151" s="515"/>
      <c r="J151" s="514"/>
      <c r="K151" s="516"/>
      <c r="L151" s="516"/>
      <c r="M151" s="517"/>
    </row>
    <row r="152" spans="1:13">
      <c r="A152" s="476" t="str">
        <f>IF(B152&lt;&gt;"", COUNTA($B$3:B152), "")</f>
        <v/>
      </c>
      <c r="B152" s="477"/>
      <c r="C152" s="477" t="str">
        <f t="shared" ca="1" si="2"/>
        <v>NA</v>
      </c>
      <c r="D152" s="514"/>
      <c r="E152" s="514"/>
      <c r="F152" s="515"/>
      <c r="G152" s="515"/>
      <c r="H152" s="515"/>
      <c r="I152" s="515"/>
      <c r="J152" s="514"/>
      <c r="K152" s="516"/>
      <c r="L152" s="516"/>
      <c r="M152" s="517"/>
    </row>
    <row r="153" spans="1:13">
      <c r="A153" s="476" t="str">
        <f>IF(B153&lt;&gt;"", COUNTA($B$3:B153), "")</f>
        <v/>
      </c>
      <c r="B153" s="477"/>
      <c r="C153" s="477" t="str">
        <f t="shared" ca="1" si="2"/>
        <v>NA</v>
      </c>
      <c r="D153" s="514"/>
      <c r="E153" s="514"/>
      <c r="F153" s="515"/>
      <c r="G153" s="515"/>
      <c r="H153" s="515"/>
      <c r="I153" s="515"/>
      <c r="J153" s="514"/>
      <c r="K153" s="516"/>
      <c r="L153" s="516"/>
      <c r="M153" s="517"/>
    </row>
    <row r="154" spans="1:13">
      <c r="A154" s="476" t="str">
        <f>IF(B154&lt;&gt;"", COUNTA($B$3:B154), "")</f>
        <v/>
      </c>
      <c r="B154" s="477"/>
      <c r="C154" s="477" t="str">
        <f t="shared" ca="1" si="2"/>
        <v>NA</v>
      </c>
      <c r="D154" s="514"/>
      <c r="E154" s="514"/>
      <c r="F154" s="515"/>
      <c r="G154" s="515"/>
      <c r="H154" s="515"/>
      <c r="I154" s="515"/>
      <c r="J154" s="514"/>
      <c r="K154" s="516"/>
      <c r="L154" s="516"/>
      <c r="M154" s="517"/>
    </row>
    <row r="155" spans="1:13">
      <c r="A155" s="476" t="str">
        <f>IF(B155&lt;&gt;"", COUNTA($B$3:B155), "")</f>
        <v/>
      </c>
      <c r="B155" s="477"/>
      <c r="C155" s="477" t="str">
        <f t="shared" ca="1" si="2"/>
        <v>NA</v>
      </c>
      <c r="D155" s="514"/>
      <c r="E155" s="514"/>
      <c r="F155" s="515"/>
      <c r="G155" s="515"/>
      <c r="H155" s="515"/>
      <c r="I155" s="515"/>
      <c r="J155" s="514"/>
      <c r="K155" s="516"/>
      <c r="L155" s="516"/>
      <c r="M155" s="517"/>
    </row>
    <row r="156" spans="1:13">
      <c r="A156" s="476" t="str">
        <f>IF(B156&lt;&gt;"", COUNTA($B$3:B156), "")</f>
        <v/>
      </c>
      <c r="B156" s="477"/>
      <c r="C156" s="477" t="str">
        <f t="shared" ca="1" si="2"/>
        <v>NA</v>
      </c>
      <c r="D156" s="514"/>
      <c r="E156" s="514"/>
      <c r="F156" s="515"/>
      <c r="G156" s="515"/>
      <c r="H156" s="515"/>
      <c r="I156" s="515"/>
      <c r="J156" s="514"/>
      <c r="K156" s="516"/>
      <c r="L156" s="516"/>
      <c r="M156" s="517"/>
    </row>
    <row r="157" spans="1:13">
      <c r="A157" s="476" t="str">
        <f>IF(B157&lt;&gt;"", COUNTA($B$3:B157), "")</f>
        <v/>
      </c>
      <c r="B157" s="477"/>
      <c r="C157" s="477" t="str">
        <f t="shared" ca="1" si="2"/>
        <v>NA</v>
      </c>
      <c r="D157" s="514"/>
      <c r="E157" s="514"/>
      <c r="F157" s="515"/>
      <c r="G157" s="515"/>
      <c r="H157" s="515"/>
      <c r="I157" s="515"/>
      <c r="J157" s="514"/>
      <c r="K157" s="516"/>
      <c r="L157" s="516"/>
      <c r="M157" s="517"/>
    </row>
    <row r="158" spans="1:13">
      <c r="A158" s="476" t="str">
        <f>IF(B158&lt;&gt;"", COUNTA($B$3:B158), "")</f>
        <v/>
      </c>
      <c r="B158" s="477"/>
      <c r="C158" s="477" t="str">
        <f t="shared" ca="1" si="2"/>
        <v>NA</v>
      </c>
      <c r="D158" s="514"/>
      <c r="E158" s="514"/>
      <c r="F158" s="515"/>
      <c r="G158" s="515"/>
      <c r="H158" s="515"/>
      <c r="I158" s="515"/>
      <c r="J158" s="514"/>
      <c r="K158" s="516"/>
      <c r="L158" s="516"/>
      <c r="M158" s="517"/>
    </row>
    <row r="159" spans="1:13">
      <c r="A159" s="476" t="str">
        <f>IF(B159&lt;&gt;"", COUNTA($B$3:B159), "")</f>
        <v/>
      </c>
      <c r="B159" s="477"/>
      <c r="C159" s="477" t="str">
        <f t="shared" ca="1" si="2"/>
        <v>NA</v>
      </c>
      <c r="D159" s="514"/>
      <c r="E159" s="514"/>
      <c r="F159" s="515"/>
      <c r="G159" s="515"/>
      <c r="H159" s="515"/>
      <c r="I159" s="515"/>
      <c r="J159" s="514"/>
      <c r="K159" s="516"/>
      <c r="L159" s="516"/>
      <c r="M159" s="517"/>
    </row>
    <row r="160" spans="1:13">
      <c r="A160" s="476" t="str">
        <f>IF(B160&lt;&gt;"", COUNTA($B$3:B160), "")</f>
        <v/>
      </c>
      <c r="B160" s="477"/>
      <c r="C160" s="477" t="str">
        <f t="shared" ca="1" si="2"/>
        <v>NA</v>
      </c>
      <c r="D160" s="514"/>
      <c r="E160" s="514"/>
      <c r="F160" s="515"/>
      <c r="G160" s="515"/>
      <c r="H160" s="515"/>
      <c r="I160" s="515"/>
      <c r="J160" s="514"/>
      <c r="K160" s="516"/>
      <c r="L160" s="516"/>
      <c r="M160" s="517"/>
    </row>
    <row r="161" spans="1:13">
      <c r="A161" s="476" t="str">
        <f>IF(B161&lt;&gt;"", COUNTA($B$3:B161), "")</f>
        <v/>
      </c>
      <c r="B161" s="477"/>
      <c r="C161" s="477" t="str">
        <f t="shared" ca="1" si="2"/>
        <v>NA</v>
      </c>
      <c r="D161" s="514"/>
      <c r="E161" s="514"/>
      <c r="F161" s="515"/>
      <c r="G161" s="515"/>
      <c r="H161" s="515"/>
      <c r="I161" s="515"/>
      <c r="J161" s="514"/>
      <c r="K161" s="516"/>
      <c r="L161" s="516"/>
      <c r="M161" s="517"/>
    </row>
    <row r="162" spans="1:13">
      <c r="A162" s="476" t="str">
        <f>IF(B162&lt;&gt;"", COUNTA($B$3:B162), "")</f>
        <v/>
      </c>
      <c r="B162" s="477"/>
      <c r="C162" s="477" t="str">
        <f t="shared" ca="1" si="2"/>
        <v>NA</v>
      </c>
      <c r="D162" s="514"/>
      <c r="E162" s="514"/>
      <c r="F162" s="515"/>
      <c r="G162" s="515"/>
      <c r="H162" s="515"/>
      <c r="I162" s="515"/>
      <c r="J162" s="514"/>
      <c r="K162" s="516"/>
      <c r="L162" s="516"/>
      <c r="M162" s="517"/>
    </row>
    <row r="163" spans="1:13">
      <c r="A163" s="476" t="str">
        <f>IF(B163&lt;&gt;"", COUNTA($B$3:B163), "")</f>
        <v/>
      </c>
      <c r="B163" s="477"/>
      <c r="C163" s="477" t="str">
        <f t="shared" ca="1" si="2"/>
        <v>NA</v>
      </c>
      <c r="D163" s="514"/>
      <c r="E163" s="514"/>
      <c r="F163" s="515"/>
      <c r="G163" s="515"/>
      <c r="H163" s="515"/>
      <c r="I163" s="515"/>
      <c r="J163" s="514"/>
      <c r="K163" s="516"/>
      <c r="L163" s="516"/>
      <c r="M163" s="517"/>
    </row>
    <row r="164" spans="1:13">
      <c r="A164" s="476" t="str">
        <f>IF(B164&lt;&gt;"", COUNTA($B$3:B164), "")</f>
        <v/>
      </c>
      <c r="B164" s="477"/>
      <c r="C164" s="477" t="str">
        <f t="shared" ca="1" si="2"/>
        <v>NA</v>
      </c>
      <c r="D164" s="514"/>
      <c r="E164" s="514"/>
      <c r="F164" s="515"/>
      <c r="G164" s="515"/>
      <c r="H164" s="515"/>
      <c r="I164" s="515"/>
      <c r="J164" s="514"/>
      <c r="K164" s="516"/>
      <c r="L164" s="516"/>
      <c r="M164" s="517"/>
    </row>
    <row r="165" spans="1:13">
      <c r="A165" s="476" t="str">
        <f>IF(B165&lt;&gt;"", COUNTA($B$3:B165), "")</f>
        <v/>
      </c>
      <c r="B165" s="477"/>
      <c r="C165" s="477" t="str">
        <f t="shared" ca="1" si="2"/>
        <v>NA</v>
      </c>
      <c r="D165" s="514"/>
      <c r="E165" s="514"/>
      <c r="F165" s="515"/>
      <c r="G165" s="515"/>
      <c r="H165" s="515"/>
      <c r="I165" s="515"/>
      <c r="J165" s="514"/>
      <c r="K165" s="516"/>
      <c r="L165" s="516"/>
      <c r="M165" s="517"/>
    </row>
    <row r="166" spans="1:13">
      <c r="A166" s="476" t="str">
        <f>IF(B166&lt;&gt;"", COUNTA($B$3:B166), "")</f>
        <v/>
      </c>
      <c r="B166" s="477"/>
      <c r="C166" s="477" t="str">
        <f t="shared" ca="1" si="2"/>
        <v>NA</v>
      </c>
      <c r="D166" s="514"/>
      <c r="E166" s="514"/>
      <c r="F166" s="515"/>
      <c r="G166" s="515"/>
      <c r="H166" s="515"/>
      <c r="I166" s="515"/>
      <c r="J166" s="514"/>
      <c r="K166" s="516"/>
      <c r="L166" s="516"/>
      <c r="M166" s="517"/>
    </row>
    <row r="167" spans="1:13">
      <c r="A167" s="476" t="str">
        <f>IF(B167&lt;&gt;"", COUNTA($B$3:B167), "")</f>
        <v/>
      </c>
      <c r="B167" s="477"/>
      <c r="C167" s="477" t="str">
        <f t="shared" ca="1" si="2"/>
        <v>NA</v>
      </c>
      <c r="D167" s="514"/>
      <c r="E167" s="514"/>
      <c r="F167" s="515"/>
      <c r="G167" s="515"/>
      <c r="H167" s="515"/>
      <c r="I167" s="515"/>
      <c r="J167" s="514"/>
      <c r="K167" s="516"/>
      <c r="L167" s="516"/>
      <c r="M167" s="517"/>
    </row>
    <row r="168" spans="1:13">
      <c r="A168" s="476" t="str">
        <f>IF(B168&lt;&gt;"", COUNTA($B$3:B168), "")</f>
        <v/>
      </c>
      <c r="B168" s="477"/>
      <c r="C168" s="477" t="str">
        <f t="shared" ca="1" si="2"/>
        <v>NA</v>
      </c>
      <c r="D168" s="514"/>
      <c r="E168" s="514"/>
      <c r="F168" s="515"/>
      <c r="G168" s="515"/>
      <c r="H168" s="515"/>
      <c r="I168" s="515"/>
      <c r="J168" s="514"/>
      <c r="K168" s="516"/>
      <c r="L168" s="516"/>
      <c r="M168" s="517"/>
    </row>
    <row r="169" spans="1:13">
      <c r="A169" s="476" t="str">
        <f>IF(B169&lt;&gt;"", COUNTA($B$3:B169), "")</f>
        <v/>
      </c>
      <c r="B169" s="477"/>
      <c r="C169" s="477" t="str">
        <f t="shared" ca="1" si="2"/>
        <v>NA</v>
      </c>
      <c r="D169" s="514"/>
      <c r="E169" s="514"/>
      <c r="F169" s="515"/>
      <c r="G169" s="515"/>
      <c r="H169" s="515"/>
      <c r="I169" s="515"/>
      <c r="J169" s="514"/>
      <c r="K169" s="516"/>
      <c r="L169" s="516"/>
      <c r="M169" s="517"/>
    </row>
    <row r="170" spans="1:13">
      <c r="A170" s="476" t="str">
        <f>IF(B170&lt;&gt;"", COUNTA($B$3:B170), "")</f>
        <v/>
      </c>
      <c r="B170" s="477"/>
      <c r="C170" s="477" t="str">
        <f t="shared" ca="1" si="2"/>
        <v>NA</v>
      </c>
      <c r="D170" s="514"/>
      <c r="E170" s="514"/>
      <c r="F170" s="515"/>
      <c r="G170" s="515"/>
      <c r="H170" s="515"/>
      <c r="I170" s="515"/>
      <c r="J170" s="514"/>
      <c r="K170" s="516"/>
      <c r="L170" s="516"/>
      <c r="M170" s="517"/>
    </row>
    <row r="171" spans="1:13">
      <c r="A171" s="476" t="str">
        <f>IF(B171&lt;&gt;"", COUNTA($B$3:B171), "")</f>
        <v/>
      </c>
      <c r="B171" s="477"/>
      <c r="C171" s="477" t="str">
        <f t="shared" ca="1" si="2"/>
        <v>NA</v>
      </c>
      <c r="D171" s="514"/>
      <c r="E171" s="514"/>
      <c r="F171" s="515"/>
      <c r="G171" s="515"/>
      <c r="H171" s="515"/>
      <c r="I171" s="515"/>
      <c r="J171" s="514"/>
      <c r="K171" s="516"/>
      <c r="L171" s="516"/>
      <c r="M171" s="517"/>
    </row>
    <row r="172" spans="1:13">
      <c r="A172" s="476" t="str">
        <f>IF(B172&lt;&gt;"", COUNTA($B$3:B172), "")</f>
        <v/>
      </c>
      <c r="B172" s="477"/>
      <c r="C172" s="477" t="str">
        <f t="shared" ca="1" si="2"/>
        <v>NA</v>
      </c>
      <c r="D172" s="514"/>
      <c r="E172" s="514"/>
      <c r="F172" s="515"/>
      <c r="G172" s="515"/>
      <c r="H172" s="515"/>
      <c r="I172" s="515"/>
      <c r="J172" s="514"/>
      <c r="K172" s="516"/>
      <c r="L172" s="516"/>
      <c r="M172" s="517"/>
    </row>
    <row r="173" spans="1:13">
      <c r="A173" s="476" t="str">
        <f>IF(B173&lt;&gt;"", COUNTA($B$3:B173), "")</f>
        <v/>
      </c>
      <c r="B173" s="477"/>
      <c r="C173" s="477" t="str">
        <f t="shared" ca="1" si="2"/>
        <v>NA</v>
      </c>
      <c r="D173" s="514"/>
      <c r="E173" s="514"/>
      <c r="F173" s="515"/>
      <c r="G173" s="515"/>
      <c r="H173" s="515"/>
      <c r="I173" s="515"/>
      <c r="J173" s="514"/>
      <c r="K173" s="516"/>
      <c r="L173" s="516"/>
      <c r="M173" s="517"/>
    </row>
    <row r="174" spans="1:13">
      <c r="A174" s="476" t="str">
        <f>IF(B174&lt;&gt;"", COUNTA($B$3:B174), "")</f>
        <v/>
      </c>
      <c r="B174" s="477"/>
      <c r="C174" s="477" t="str">
        <f t="shared" ca="1" si="2"/>
        <v>NA</v>
      </c>
      <c r="D174" s="514"/>
      <c r="E174" s="514"/>
      <c r="F174" s="515"/>
      <c r="G174" s="515"/>
      <c r="H174" s="515"/>
      <c r="I174" s="515"/>
      <c r="J174" s="514"/>
      <c r="K174" s="516"/>
      <c r="L174" s="516"/>
      <c r="M174" s="517"/>
    </row>
    <row r="175" spans="1:13">
      <c r="A175" s="476" t="str">
        <f>IF(B175&lt;&gt;"", COUNTA($B$3:B175), "")</f>
        <v/>
      </c>
      <c r="B175" s="477"/>
      <c r="C175" s="477" t="str">
        <f t="shared" ca="1" si="2"/>
        <v>NA</v>
      </c>
      <c r="D175" s="514"/>
      <c r="E175" s="514"/>
      <c r="F175" s="515"/>
      <c r="G175" s="515"/>
      <c r="H175" s="515"/>
      <c r="I175" s="515"/>
      <c r="J175" s="514"/>
      <c r="K175" s="516"/>
      <c r="L175" s="516"/>
      <c r="M175" s="517"/>
    </row>
    <row r="176" spans="1:13">
      <c r="A176" s="476" t="str">
        <f>IF(B176&lt;&gt;"", COUNTA($B$3:B176), "")</f>
        <v/>
      </c>
      <c r="B176" s="477"/>
      <c r="C176" s="477" t="str">
        <f t="shared" ca="1" si="2"/>
        <v>NA</v>
      </c>
      <c r="D176" s="514"/>
      <c r="E176" s="514"/>
      <c r="F176" s="515"/>
      <c r="G176" s="515"/>
      <c r="H176" s="515"/>
      <c r="I176" s="515"/>
      <c r="J176" s="514"/>
      <c r="K176" s="516"/>
      <c r="L176" s="516"/>
      <c r="M176" s="517"/>
    </row>
    <row r="177" spans="1:13">
      <c r="A177" s="476" t="str">
        <f>IF(B177&lt;&gt;"", COUNTA($B$3:B177), "")</f>
        <v/>
      </c>
      <c r="B177" s="477"/>
      <c r="C177" s="477" t="str">
        <f t="shared" ca="1" si="2"/>
        <v>NA</v>
      </c>
      <c r="D177" s="514"/>
      <c r="E177" s="514"/>
      <c r="F177" s="515"/>
      <c r="G177" s="515"/>
      <c r="H177" s="515"/>
      <c r="I177" s="515"/>
      <c r="J177" s="514"/>
      <c r="K177" s="516"/>
      <c r="L177" s="516"/>
      <c r="M177" s="517"/>
    </row>
    <row r="178" spans="1:13">
      <c r="A178" s="476" t="str">
        <f>IF(B178&lt;&gt;"", COUNTA($B$3:B178), "")</f>
        <v/>
      </c>
      <c r="B178" s="477"/>
      <c r="C178" s="477" t="str">
        <f t="shared" ca="1" si="2"/>
        <v>NA</v>
      </c>
      <c r="D178" s="514"/>
      <c r="E178" s="514"/>
      <c r="F178" s="515"/>
      <c r="G178" s="515"/>
      <c r="H178" s="515"/>
      <c r="I178" s="515"/>
      <c r="J178" s="514"/>
      <c r="K178" s="516"/>
      <c r="L178" s="516"/>
      <c r="M178" s="517"/>
    </row>
    <row r="179" spans="1:13">
      <c r="A179" s="476" t="str">
        <f>IF(B179&lt;&gt;"", COUNTA($B$3:B179), "")</f>
        <v/>
      </c>
      <c r="B179" s="477"/>
      <c r="C179" s="477" t="str">
        <f t="shared" ca="1" si="2"/>
        <v>NA</v>
      </c>
      <c r="D179" s="514"/>
      <c r="E179" s="514"/>
      <c r="F179" s="515"/>
      <c r="G179" s="515"/>
      <c r="H179" s="515"/>
      <c r="I179" s="515"/>
      <c r="J179" s="514"/>
      <c r="K179" s="516"/>
      <c r="L179" s="516"/>
      <c r="M179" s="517"/>
    </row>
    <row r="180" spans="1:13">
      <c r="A180" s="476" t="str">
        <f>IF(B180&lt;&gt;"", COUNTA($B$3:B180), "")</f>
        <v/>
      </c>
      <c r="B180" s="477"/>
      <c r="C180" s="477" t="str">
        <f t="shared" ca="1" si="2"/>
        <v>NA</v>
      </c>
      <c r="D180" s="514"/>
      <c r="E180" s="514"/>
      <c r="F180" s="515"/>
      <c r="G180" s="515"/>
      <c r="H180" s="515"/>
      <c r="I180" s="515"/>
      <c r="J180" s="514"/>
      <c r="K180" s="516"/>
      <c r="L180" s="516"/>
      <c r="M180" s="517"/>
    </row>
    <row r="181" spans="1:13">
      <c r="A181" s="476" t="str">
        <f>IF(B181&lt;&gt;"", COUNTA($B$3:B181), "")</f>
        <v/>
      </c>
      <c r="B181" s="477"/>
      <c r="C181" s="477" t="str">
        <f t="shared" ca="1" si="2"/>
        <v>NA</v>
      </c>
      <c r="D181" s="514"/>
      <c r="E181" s="514"/>
      <c r="F181" s="515"/>
      <c r="G181" s="515"/>
      <c r="H181" s="515"/>
      <c r="I181" s="515"/>
      <c r="J181" s="514"/>
      <c r="K181" s="516"/>
      <c r="L181" s="516"/>
      <c r="M181" s="517"/>
    </row>
    <row r="182" spans="1:13">
      <c r="A182" s="476" t="str">
        <f>IF(B182&lt;&gt;"", COUNTA($B$3:B182), "")</f>
        <v/>
      </c>
      <c r="B182" s="477"/>
      <c r="C182" s="477" t="str">
        <f t="shared" ca="1" si="2"/>
        <v>NA</v>
      </c>
      <c r="D182" s="514"/>
      <c r="E182" s="514"/>
      <c r="F182" s="515"/>
      <c r="G182" s="515"/>
      <c r="H182" s="515"/>
      <c r="I182" s="515"/>
      <c r="J182" s="514"/>
      <c r="K182" s="516"/>
      <c r="L182" s="516"/>
      <c r="M182" s="517"/>
    </row>
    <row r="183" spans="1:13">
      <c r="A183" s="476" t="str">
        <f>IF(B183&lt;&gt;"", COUNTA($B$3:B183), "")</f>
        <v/>
      </c>
      <c r="B183" s="477"/>
      <c r="C183" s="477" t="str">
        <f t="shared" ca="1" si="2"/>
        <v>NA</v>
      </c>
      <c r="D183" s="514"/>
      <c r="E183" s="514"/>
      <c r="F183" s="515"/>
      <c r="G183" s="515"/>
      <c r="H183" s="515"/>
      <c r="I183" s="515"/>
      <c r="J183" s="514"/>
      <c r="K183" s="516"/>
      <c r="L183" s="516"/>
      <c r="M183" s="517"/>
    </row>
    <row r="184" spans="1:13">
      <c r="A184" s="476" t="str">
        <f>IF(B184&lt;&gt;"", COUNTA($B$3:B184), "")</f>
        <v/>
      </c>
      <c r="B184" s="477"/>
      <c r="C184" s="477" t="str">
        <f t="shared" ca="1" si="2"/>
        <v>NA</v>
      </c>
      <c r="D184" s="514"/>
      <c r="E184" s="514"/>
      <c r="F184" s="515"/>
      <c r="G184" s="515"/>
      <c r="H184" s="515"/>
      <c r="I184" s="515"/>
      <c r="J184" s="514"/>
      <c r="K184" s="516"/>
      <c r="L184" s="516"/>
      <c r="M184" s="517"/>
    </row>
    <row r="185" spans="1:13">
      <c r="A185" s="476" t="str">
        <f>IF(B185&lt;&gt;"", COUNTA($B$3:B185), "")</f>
        <v/>
      </c>
      <c r="B185" s="477"/>
      <c r="C185" s="477" t="str">
        <f t="shared" ca="1" si="2"/>
        <v>NA</v>
      </c>
      <c r="D185" s="514"/>
      <c r="E185" s="514"/>
      <c r="F185" s="515"/>
      <c r="G185" s="515"/>
      <c r="H185" s="515"/>
      <c r="I185" s="515"/>
      <c r="J185" s="514"/>
      <c r="K185" s="516"/>
      <c r="L185" s="516"/>
      <c r="M185" s="517"/>
    </row>
    <row r="186" spans="1:13">
      <c r="A186" s="476" t="str">
        <f>IF(B186&lt;&gt;"", COUNTA($B$3:B186), "")</f>
        <v/>
      </c>
      <c r="B186" s="477"/>
      <c r="C186" s="477" t="str">
        <f t="shared" ca="1" si="2"/>
        <v>NA</v>
      </c>
      <c r="D186" s="514"/>
      <c r="E186" s="514"/>
      <c r="F186" s="515"/>
      <c r="G186" s="515"/>
      <c r="H186" s="515"/>
      <c r="I186" s="515"/>
      <c r="J186" s="514"/>
      <c r="K186" s="516"/>
      <c r="L186" s="516"/>
      <c r="M186" s="517"/>
    </row>
    <row r="187" spans="1:13">
      <c r="A187" s="476" t="str">
        <f>IF(B187&lt;&gt;"", COUNTA($B$3:B187), "")</f>
        <v/>
      </c>
      <c r="B187" s="477"/>
      <c r="C187" s="477" t="str">
        <f t="shared" ca="1" si="2"/>
        <v>NA</v>
      </c>
      <c r="D187" s="514"/>
      <c r="E187" s="514"/>
      <c r="F187" s="515"/>
      <c r="G187" s="515"/>
      <c r="H187" s="515"/>
      <c r="I187" s="515"/>
      <c r="J187" s="514"/>
      <c r="K187" s="516"/>
      <c r="L187" s="516"/>
      <c r="M187" s="517"/>
    </row>
    <row r="188" spans="1:13">
      <c r="A188" s="476" t="str">
        <f>IF(B188&lt;&gt;"", COUNTA($B$3:B188), "")</f>
        <v/>
      </c>
      <c r="B188" s="477"/>
      <c r="C188" s="477" t="str">
        <f t="shared" ca="1" si="2"/>
        <v>NA</v>
      </c>
      <c r="D188" s="514"/>
      <c r="E188" s="514"/>
      <c r="F188" s="515"/>
      <c r="G188" s="515"/>
      <c r="H188" s="515"/>
      <c r="I188" s="515"/>
      <c r="J188" s="514"/>
      <c r="K188" s="516"/>
      <c r="L188" s="516"/>
      <c r="M188" s="517"/>
    </row>
    <row r="189" spans="1:13">
      <c r="A189" s="476" t="str">
        <f>IF(B189&lt;&gt;"", COUNTA($B$3:B189), "")</f>
        <v/>
      </c>
      <c r="B189" s="477"/>
      <c r="C189" s="477" t="str">
        <f t="shared" ca="1" si="2"/>
        <v>NA</v>
      </c>
      <c r="D189" s="514"/>
      <c r="E189" s="514"/>
      <c r="F189" s="515"/>
      <c r="G189" s="515"/>
      <c r="H189" s="515"/>
      <c r="I189" s="515"/>
      <c r="J189" s="514"/>
      <c r="K189" s="516"/>
      <c r="L189" s="516"/>
      <c r="M189" s="517"/>
    </row>
    <row r="190" spans="1:13">
      <c r="A190" s="476" t="str">
        <f>IF(B190&lt;&gt;"", COUNTA($B$3:B190), "")</f>
        <v/>
      </c>
      <c r="B190" s="477"/>
      <c r="C190" s="477" t="str">
        <f t="shared" ca="1" si="2"/>
        <v>NA</v>
      </c>
      <c r="D190" s="514"/>
      <c r="E190" s="514"/>
      <c r="F190" s="515"/>
      <c r="G190" s="515"/>
      <c r="H190" s="515"/>
      <c r="I190" s="515"/>
      <c r="J190" s="514"/>
      <c r="K190" s="516"/>
      <c r="L190" s="516"/>
      <c r="M190" s="517"/>
    </row>
    <row r="191" spans="1:13">
      <c r="A191" s="476" t="str">
        <f>IF(B191&lt;&gt;"", COUNTA($B$3:B191), "")</f>
        <v/>
      </c>
      <c r="B191" s="477"/>
      <c r="C191" s="477" t="str">
        <f t="shared" ca="1" si="2"/>
        <v>NA</v>
      </c>
      <c r="D191" s="514"/>
      <c r="E191" s="514"/>
      <c r="F191" s="515"/>
      <c r="G191" s="515"/>
      <c r="H191" s="515"/>
      <c r="I191" s="515"/>
      <c r="J191" s="514"/>
      <c r="K191" s="516"/>
      <c r="L191" s="516"/>
      <c r="M191" s="517"/>
    </row>
    <row r="192" spans="1:13">
      <c r="A192" s="476" t="str">
        <f>IF(B192&lt;&gt;"", COUNTA($B$3:B192), "")</f>
        <v/>
      </c>
      <c r="B192" s="477"/>
      <c r="C192" s="477" t="str">
        <f t="shared" ca="1" si="2"/>
        <v>NA</v>
      </c>
      <c r="D192" s="514"/>
      <c r="E192" s="514"/>
      <c r="F192" s="515"/>
      <c r="G192" s="515"/>
      <c r="H192" s="515"/>
      <c r="I192" s="515"/>
      <c r="J192" s="514"/>
      <c r="K192" s="516"/>
      <c r="L192" s="516"/>
      <c r="M192" s="517"/>
    </row>
    <row r="193" spans="1:13">
      <c r="A193" s="476" t="str">
        <f>IF(B193&lt;&gt;"", COUNTA($B$3:B193), "")</f>
        <v/>
      </c>
      <c r="B193" s="477"/>
      <c r="C193" s="477" t="str">
        <f t="shared" ca="1" si="2"/>
        <v>NA</v>
      </c>
      <c r="D193" s="514"/>
      <c r="E193" s="514"/>
      <c r="F193" s="515"/>
      <c r="G193" s="515"/>
      <c r="H193" s="515"/>
      <c r="I193" s="515"/>
      <c r="J193" s="514"/>
      <c r="K193" s="516"/>
      <c r="L193" s="516"/>
      <c r="M193" s="517"/>
    </row>
    <row r="194" spans="1:13">
      <c r="A194" s="476" t="str">
        <f>IF(B194&lt;&gt;"", COUNTA($B$3:B194), "")</f>
        <v/>
      </c>
      <c r="B194" s="477"/>
      <c r="C194" s="477" t="str">
        <f t="shared" ref="C194:C257" ca="1" si="3">IF(AND(L194="", M194=""), "NA",
   IF(M194&lt;&gt;"", "Completed",
      IF(ISNUMBER(L194),
         IF(L194-TODAY() &gt; 0, "Due in "&amp;(L194-TODAY())&amp;" days",
            IF(L194-TODAY() = 0, "Due today", "Overdue "&amp;ABS(L194-TODAY())&amp;" days")
         ),
      "Invalid Date")
   )
)</f>
        <v>NA</v>
      </c>
      <c r="D194" s="514"/>
      <c r="E194" s="514"/>
      <c r="F194" s="515"/>
      <c r="G194" s="515"/>
      <c r="H194" s="515"/>
      <c r="I194" s="515"/>
      <c r="J194" s="514"/>
      <c r="K194" s="516"/>
      <c r="L194" s="516"/>
      <c r="M194" s="517"/>
    </row>
    <row r="195" spans="1:13">
      <c r="A195" s="476" t="str">
        <f>IF(B195&lt;&gt;"", COUNTA($B$3:B195), "")</f>
        <v/>
      </c>
      <c r="B195" s="477"/>
      <c r="C195" s="477" t="str">
        <f t="shared" ca="1" si="3"/>
        <v>NA</v>
      </c>
      <c r="D195" s="514"/>
      <c r="E195" s="514"/>
      <c r="F195" s="515"/>
      <c r="G195" s="515"/>
      <c r="H195" s="515"/>
      <c r="I195" s="515"/>
      <c r="J195" s="514"/>
      <c r="K195" s="516"/>
      <c r="L195" s="516"/>
      <c r="M195" s="517"/>
    </row>
    <row r="196" spans="1:13">
      <c r="A196" s="476" t="str">
        <f>IF(B196&lt;&gt;"", COUNTA($B$3:B196), "")</f>
        <v/>
      </c>
      <c r="B196" s="477"/>
      <c r="C196" s="477" t="str">
        <f t="shared" ca="1" si="3"/>
        <v>NA</v>
      </c>
      <c r="D196" s="514"/>
      <c r="E196" s="514"/>
      <c r="F196" s="515"/>
      <c r="G196" s="515"/>
      <c r="H196" s="515"/>
      <c r="I196" s="515"/>
      <c r="J196" s="514"/>
      <c r="K196" s="516"/>
      <c r="L196" s="516"/>
      <c r="M196" s="517"/>
    </row>
    <row r="197" spans="1:13">
      <c r="A197" s="476" t="str">
        <f>IF(B197&lt;&gt;"", COUNTA($B$3:B197), "")</f>
        <v/>
      </c>
      <c r="B197" s="477"/>
      <c r="C197" s="477" t="str">
        <f t="shared" ca="1" si="3"/>
        <v>NA</v>
      </c>
      <c r="D197" s="514"/>
      <c r="E197" s="514"/>
      <c r="F197" s="515"/>
      <c r="G197" s="515"/>
      <c r="H197" s="515"/>
      <c r="I197" s="515"/>
      <c r="J197" s="514"/>
      <c r="K197" s="516"/>
      <c r="L197" s="516"/>
      <c r="M197" s="517"/>
    </row>
    <row r="198" spans="1:13">
      <c r="A198" s="476" t="str">
        <f>IF(B198&lt;&gt;"", COUNTA($B$3:B198), "")</f>
        <v/>
      </c>
      <c r="B198" s="477"/>
      <c r="C198" s="477" t="str">
        <f t="shared" ca="1" si="3"/>
        <v>NA</v>
      </c>
      <c r="D198" s="514"/>
      <c r="E198" s="514"/>
      <c r="F198" s="515"/>
      <c r="G198" s="515"/>
      <c r="H198" s="515"/>
      <c r="I198" s="515"/>
      <c r="J198" s="514"/>
      <c r="K198" s="516"/>
      <c r="L198" s="516"/>
      <c r="M198" s="517"/>
    </row>
    <row r="199" spans="1:13">
      <c r="A199" s="476" t="str">
        <f>IF(B199&lt;&gt;"", COUNTA($B$3:B199), "")</f>
        <v/>
      </c>
      <c r="B199" s="477"/>
      <c r="C199" s="477" t="str">
        <f t="shared" ca="1" si="3"/>
        <v>NA</v>
      </c>
      <c r="D199" s="514"/>
      <c r="E199" s="514"/>
      <c r="F199" s="515"/>
      <c r="G199" s="515"/>
      <c r="H199" s="515"/>
      <c r="I199" s="515"/>
      <c r="J199" s="514"/>
      <c r="K199" s="516"/>
      <c r="L199" s="516"/>
      <c r="M199" s="517"/>
    </row>
    <row r="200" spans="1:13">
      <c r="A200" s="476" t="str">
        <f>IF(B200&lt;&gt;"", COUNTA($B$3:B200), "")</f>
        <v/>
      </c>
      <c r="B200" s="477"/>
      <c r="C200" s="477" t="str">
        <f t="shared" ca="1" si="3"/>
        <v>NA</v>
      </c>
      <c r="D200" s="514"/>
      <c r="E200" s="514"/>
      <c r="F200" s="515"/>
      <c r="G200" s="515"/>
      <c r="H200" s="515"/>
      <c r="I200" s="515"/>
      <c r="J200" s="514"/>
      <c r="K200" s="516"/>
      <c r="L200" s="516"/>
      <c r="M200" s="517"/>
    </row>
    <row r="201" spans="1:13">
      <c r="A201" s="476" t="str">
        <f>IF(B201&lt;&gt;"", COUNTA($B$3:B201), "")</f>
        <v/>
      </c>
      <c r="B201" s="477"/>
      <c r="C201" s="477" t="str">
        <f t="shared" ca="1" si="3"/>
        <v>NA</v>
      </c>
      <c r="D201" s="514"/>
      <c r="E201" s="514"/>
      <c r="F201" s="515"/>
      <c r="G201" s="515"/>
      <c r="H201" s="515"/>
      <c r="I201" s="515"/>
      <c r="J201" s="514"/>
      <c r="K201" s="516"/>
      <c r="L201" s="516"/>
      <c r="M201" s="517"/>
    </row>
    <row r="202" spans="1:13">
      <c r="A202" s="476" t="str">
        <f>IF(B202&lt;&gt;"", COUNTA($B$3:B202), "")</f>
        <v/>
      </c>
      <c r="B202" s="477"/>
      <c r="C202" s="477" t="str">
        <f t="shared" ca="1" si="3"/>
        <v>NA</v>
      </c>
      <c r="D202" s="514"/>
      <c r="E202" s="514"/>
      <c r="F202" s="515"/>
      <c r="G202" s="515"/>
      <c r="H202" s="515"/>
      <c r="I202" s="515"/>
      <c r="J202" s="514"/>
      <c r="K202" s="516"/>
      <c r="L202" s="516"/>
      <c r="M202" s="517"/>
    </row>
    <row r="203" spans="1:13">
      <c r="A203" s="476" t="str">
        <f>IF(B203&lt;&gt;"", COUNTA($B$3:B203), "")</f>
        <v/>
      </c>
      <c r="B203" s="477"/>
      <c r="C203" s="477" t="str">
        <f t="shared" ca="1" si="3"/>
        <v>NA</v>
      </c>
      <c r="D203" s="514"/>
      <c r="E203" s="514"/>
      <c r="F203" s="515"/>
      <c r="G203" s="515"/>
      <c r="H203" s="515"/>
      <c r="I203" s="515"/>
      <c r="J203" s="514"/>
      <c r="K203" s="516"/>
      <c r="L203" s="516"/>
      <c r="M203" s="517"/>
    </row>
    <row r="204" spans="1:13">
      <c r="A204" s="476" t="str">
        <f>IF(B204&lt;&gt;"", COUNTA($B$3:B204), "")</f>
        <v/>
      </c>
      <c r="B204" s="477"/>
      <c r="C204" s="477" t="str">
        <f t="shared" ca="1" si="3"/>
        <v>NA</v>
      </c>
      <c r="D204" s="514"/>
      <c r="E204" s="514"/>
      <c r="F204" s="515"/>
      <c r="G204" s="515"/>
      <c r="H204" s="515"/>
      <c r="I204" s="515"/>
      <c r="J204" s="514"/>
      <c r="K204" s="516"/>
      <c r="L204" s="516"/>
      <c r="M204" s="517"/>
    </row>
    <row r="205" spans="1:13">
      <c r="A205" s="476" t="str">
        <f>IF(B205&lt;&gt;"", COUNTA($B$3:B205), "")</f>
        <v/>
      </c>
      <c r="B205" s="477"/>
      <c r="C205" s="477" t="str">
        <f t="shared" ca="1" si="3"/>
        <v>NA</v>
      </c>
      <c r="D205" s="514"/>
      <c r="E205" s="514"/>
      <c r="F205" s="515"/>
      <c r="G205" s="515"/>
      <c r="H205" s="515"/>
      <c r="I205" s="515"/>
      <c r="J205" s="514"/>
      <c r="K205" s="516"/>
      <c r="L205" s="516"/>
      <c r="M205" s="517"/>
    </row>
    <row r="206" spans="1:13">
      <c r="A206" s="476" t="str">
        <f>IF(B206&lt;&gt;"", COUNTA($B$3:B206), "")</f>
        <v/>
      </c>
      <c r="B206" s="477"/>
      <c r="C206" s="477" t="str">
        <f t="shared" ca="1" si="3"/>
        <v>NA</v>
      </c>
      <c r="D206" s="514"/>
      <c r="E206" s="514"/>
      <c r="F206" s="515"/>
      <c r="G206" s="515"/>
      <c r="H206" s="515"/>
      <c r="I206" s="515"/>
      <c r="J206" s="514"/>
      <c r="K206" s="516"/>
      <c r="L206" s="516"/>
      <c r="M206" s="517"/>
    </row>
    <row r="207" spans="1:13">
      <c r="A207" s="476" t="str">
        <f>IF(B207&lt;&gt;"", COUNTA($B$3:B207), "")</f>
        <v/>
      </c>
      <c r="B207" s="477"/>
      <c r="C207" s="477" t="str">
        <f t="shared" ca="1" si="3"/>
        <v>NA</v>
      </c>
      <c r="D207" s="514"/>
      <c r="E207" s="514"/>
      <c r="F207" s="515"/>
      <c r="G207" s="515"/>
      <c r="H207" s="515"/>
      <c r="I207" s="515"/>
      <c r="J207" s="514"/>
      <c r="K207" s="516"/>
      <c r="L207" s="516"/>
      <c r="M207" s="517"/>
    </row>
    <row r="208" spans="1:13">
      <c r="A208" s="476" t="str">
        <f>IF(B208&lt;&gt;"", COUNTA($B$3:B208), "")</f>
        <v/>
      </c>
      <c r="B208" s="477"/>
      <c r="C208" s="477" t="str">
        <f t="shared" ca="1" si="3"/>
        <v>NA</v>
      </c>
      <c r="D208" s="514"/>
      <c r="E208" s="514"/>
      <c r="F208" s="515"/>
      <c r="G208" s="515"/>
      <c r="H208" s="515"/>
      <c r="I208" s="515"/>
      <c r="J208" s="514"/>
      <c r="K208" s="516"/>
      <c r="L208" s="516"/>
      <c r="M208" s="517"/>
    </row>
    <row r="209" spans="1:13">
      <c r="A209" s="476" t="str">
        <f>IF(B209&lt;&gt;"", COUNTA($B$3:B209), "")</f>
        <v/>
      </c>
      <c r="B209" s="477"/>
      <c r="C209" s="477" t="str">
        <f t="shared" ca="1" si="3"/>
        <v>NA</v>
      </c>
      <c r="D209" s="514"/>
      <c r="E209" s="514"/>
      <c r="F209" s="515"/>
      <c r="G209" s="515"/>
      <c r="H209" s="515"/>
      <c r="I209" s="515"/>
      <c r="J209" s="514"/>
      <c r="K209" s="516"/>
      <c r="L209" s="516"/>
      <c r="M209" s="517"/>
    </row>
    <row r="210" spans="1:13">
      <c r="A210" s="476" t="str">
        <f>IF(B210&lt;&gt;"", COUNTA($B$3:B210), "")</f>
        <v/>
      </c>
      <c r="B210" s="477"/>
      <c r="C210" s="477" t="str">
        <f t="shared" ca="1" si="3"/>
        <v>NA</v>
      </c>
      <c r="D210" s="514"/>
      <c r="E210" s="514"/>
      <c r="F210" s="515"/>
      <c r="G210" s="515"/>
      <c r="H210" s="515"/>
      <c r="I210" s="515"/>
      <c r="J210" s="514"/>
      <c r="K210" s="516"/>
      <c r="L210" s="516"/>
      <c r="M210" s="517"/>
    </row>
    <row r="211" spans="1:13">
      <c r="A211" s="476" t="str">
        <f>IF(B211&lt;&gt;"", COUNTA($B$3:B211), "")</f>
        <v/>
      </c>
      <c r="B211" s="477"/>
      <c r="C211" s="477" t="str">
        <f t="shared" ca="1" si="3"/>
        <v>NA</v>
      </c>
      <c r="D211" s="514"/>
      <c r="E211" s="514"/>
      <c r="F211" s="515"/>
      <c r="G211" s="515"/>
      <c r="H211" s="515"/>
      <c r="I211" s="515"/>
      <c r="J211" s="514"/>
      <c r="K211" s="516"/>
      <c r="L211" s="516"/>
      <c r="M211" s="517"/>
    </row>
    <row r="212" spans="1:13">
      <c r="A212" s="476" t="str">
        <f>IF(B212&lt;&gt;"", COUNTA($B$3:B212), "")</f>
        <v/>
      </c>
      <c r="B212" s="477"/>
      <c r="C212" s="477" t="str">
        <f t="shared" ca="1" si="3"/>
        <v>NA</v>
      </c>
      <c r="D212" s="514"/>
      <c r="E212" s="514"/>
      <c r="F212" s="515"/>
      <c r="G212" s="515"/>
      <c r="H212" s="515"/>
      <c r="I212" s="515"/>
      <c r="J212" s="514"/>
      <c r="K212" s="516"/>
      <c r="L212" s="516"/>
      <c r="M212" s="517"/>
    </row>
    <row r="213" spans="1:13">
      <c r="A213" s="476" t="str">
        <f>IF(B213&lt;&gt;"", COUNTA($B$3:B213), "")</f>
        <v/>
      </c>
      <c r="B213" s="477"/>
      <c r="C213" s="477" t="str">
        <f t="shared" ca="1" si="3"/>
        <v>NA</v>
      </c>
      <c r="D213" s="514"/>
      <c r="E213" s="514"/>
      <c r="F213" s="515"/>
      <c r="G213" s="515"/>
      <c r="H213" s="515"/>
      <c r="I213" s="515"/>
      <c r="J213" s="514"/>
      <c r="K213" s="516"/>
      <c r="L213" s="516"/>
      <c r="M213" s="517"/>
    </row>
    <row r="214" spans="1:13">
      <c r="A214" s="476" t="str">
        <f>IF(B214&lt;&gt;"", COUNTA($B$3:B214), "")</f>
        <v/>
      </c>
      <c r="B214" s="477"/>
      <c r="C214" s="477" t="str">
        <f t="shared" ca="1" si="3"/>
        <v>NA</v>
      </c>
      <c r="D214" s="514"/>
      <c r="E214" s="514"/>
      <c r="F214" s="515"/>
      <c r="G214" s="515"/>
      <c r="H214" s="515"/>
      <c r="I214" s="515"/>
      <c r="J214" s="514"/>
      <c r="K214" s="516"/>
      <c r="L214" s="516"/>
      <c r="M214" s="517"/>
    </row>
    <row r="215" spans="1:13">
      <c r="A215" s="476" t="str">
        <f>IF(B215&lt;&gt;"", COUNTA($B$3:B215), "")</f>
        <v/>
      </c>
      <c r="B215" s="477"/>
      <c r="C215" s="477" t="str">
        <f t="shared" ca="1" si="3"/>
        <v>NA</v>
      </c>
      <c r="D215" s="514"/>
      <c r="E215" s="514"/>
      <c r="F215" s="515"/>
      <c r="G215" s="515"/>
      <c r="H215" s="515"/>
      <c r="I215" s="515"/>
      <c r="J215" s="514"/>
      <c r="K215" s="516"/>
      <c r="L215" s="516"/>
      <c r="M215" s="517"/>
    </row>
    <row r="216" spans="1:13">
      <c r="A216" s="476" t="str">
        <f>IF(B216&lt;&gt;"", COUNTA($B$3:B216), "")</f>
        <v/>
      </c>
      <c r="B216" s="477"/>
      <c r="C216" s="477" t="str">
        <f t="shared" ca="1" si="3"/>
        <v>NA</v>
      </c>
      <c r="D216" s="514"/>
      <c r="E216" s="514"/>
      <c r="F216" s="515"/>
      <c r="G216" s="515"/>
      <c r="H216" s="515"/>
      <c r="I216" s="515"/>
      <c r="J216" s="514"/>
      <c r="K216" s="516"/>
      <c r="L216" s="516"/>
      <c r="M216" s="517"/>
    </row>
    <row r="217" spans="1:13">
      <c r="A217" s="476" t="str">
        <f>IF(B217&lt;&gt;"", COUNTA($B$3:B217), "")</f>
        <v/>
      </c>
      <c r="B217" s="477"/>
      <c r="C217" s="477" t="str">
        <f t="shared" ca="1" si="3"/>
        <v>NA</v>
      </c>
      <c r="D217" s="514"/>
      <c r="E217" s="514"/>
      <c r="F217" s="515"/>
      <c r="G217" s="515"/>
      <c r="H217" s="515"/>
      <c r="I217" s="515"/>
      <c r="J217" s="514"/>
      <c r="K217" s="516"/>
      <c r="L217" s="516"/>
      <c r="M217" s="517"/>
    </row>
    <row r="218" spans="1:13">
      <c r="A218" s="476" t="str">
        <f>IF(B218&lt;&gt;"", COUNTA($B$3:B218), "")</f>
        <v/>
      </c>
      <c r="B218" s="477"/>
      <c r="C218" s="477" t="str">
        <f t="shared" ca="1" si="3"/>
        <v>NA</v>
      </c>
      <c r="D218" s="514"/>
      <c r="E218" s="514"/>
      <c r="F218" s="515"/>
      <c r="G218" s="515"/>
      <c r="H218" s="515"/>
      <c r="I218" s="515"/>
      <c r="J218" s="514"/>
      <c r="K218" s="516"/>
      <c r="L218" s="516"/>
      <c r="M218" s="517"/>
    </row>
    <row r="219" spans="1:13">
      <c r="A219" s="476" t="str">
        <f>IF(B219&lt;&gt;"", COUNTA($B$3:B219), "")</f>
        <v/>
      </c>
      <c r="B219" s="477"/>
      <c r="C219" s="477" t="str">
        <f t="shared" ca="1" si="3"/>
        <v>NA</v>
      </c>
      <c r="D219" s="514"/>
      <c r="E219" s="514"/>
      <c r="F219" s="515"/>
      <c r="G219" s="515"/>
      <c r="H219" s="515"/>
      <c r="I219" s="515"/>
      <c r="J219" s="514"/>
      <c r="K219" s="516"/>
      <c r="L219" s="516"/>
      <c r="M219" s="517"/>
    </row>
    <row r="220" spans="1:13">
      <c r="A220" s="476" t="str">
        <f>IF(B220&lt;&gt;"", COUNTA($B$3:B220), "")</f>
        <v/>
      </c>
      <c r="B220" s="477"/>
      <c r="C220" s="477" t="str">
        <f t="shared" ca="1" si="3"/>
        <v>NA</v>
      </c>
      <c r="D220" s="514"/>
      <c r="E220" s="514"/>
      <c r="F220" s="515"/>
      <c r="G220" s="515"/>
      <c r="H220" s="515"/>
      <c r="I220" s="515"/>
      <c r="J220" s="514"/>
      <c r="K220" s="516"/>
      <c r="L220" s="516"/>
      <c r="M220" s="517"/>
    </row>
    <row r="221" spans="1:13">
      <c r="A221" s="476" t="str">
        <f>IF(B221&lt;&gt;"", COUNTA($B$3:B221), "")</f>
        <v/>
      </c>
      <c r="B221" s="477"/>
      <c r="C221" s="477" t="str">
        <f t="shared" ca="1" si="3"/>
        <v>NA</v>
      </c>
      <c r="D221" s="514"/>
      <c r="E221" s="514"/>
      <c r="F221" s="515"/>
      <c r="G221" s="515"/>
      <c r="H221" s="515"/>
      <c r="I221" s="515"/>
      <c r="J221" s="514"/>
      <c r="K221" s="516"/>
      <c r="L221" s="516"/>
      <c r="M221" s="517"/>
    </row>
    <row r="222" spans="1:13">
      <c r="A222" s="476" t="str">
        <f>IF(B222&lt;&gt;"", COUNTA($B$3:B222), "")</f>
        <v/>
      </c>
      <c r="B222" s="477"/>
      <c r="C222" s="477" t="str">
        <f t="shared" ca="1" si="3"/>
        <v>NA</v>
      </c>
      <c r="D222" s="514"/>
      <c r="E222" s="514"/>
      <c r="F222" s="515"/>
      <c r="G222" s="515"/>
      <c r="H222" s="515"/>
      <c r="I222" s="515"/>
      <c r="J222" s="514"/>
      <c r="K222" s="516"/>
      <c r="L222" s="516"/>
      <c r="M222" s="517"/>
    </row>
    <row r="223" spans="1:13">
      <c r="A223" s="476" t="str">
        <f>IF(B223&lt;&gt;"", COUNTA($B$3:B223), "")</f>
        <v/>
      </c>
      <c r="B223" s="477"/>
      <c r="C223" s="477" t="str">
        <f t="shared" ca="1" si="3"/>
        <v>NA</v>
      </c>
      <c r="D223" s="514"/>
      <c r="E223" s="514"/>
      <c r="F223" s="515"/>
      <c r="G223" s="515"/>
      <c r="H223" s="515"/>
      <c r="I223" s="515"/>
      <c r="J223" s="514"/>
      <c r="K223" s="516"/>
      <c r="L223" s="516"/>
      <c r="M223" s="517"/>
    </row>
    <row r="224" spans="1:13">
      <c r="A224" s="476" t="str">
        <f>IF(B224&lt;&gt;"", COUNTA($B$3:B224), "")</f>
        <v/>
      </c>
      <c r="B224" s="477"/>
      <c r="C224" s="477" t="str">
        <f t="shared" ca="1" si="3"/>
        <v>NA</v>
      </c>
      <c r="D224" s="514"/>
      <c r="E224" s="514"/>
      <c r="F224" s="515"/>
      <c r="G224" s="515"/>
      <c r="H224" s="515"/>
      <c r="I224" s="515"/>
      <c r="J224" s="514"/>
      <c r="K224" s="516"/>
      <c r="L224" s="516"/>
      <c r="M224" s="517"/>
    </row>
    <row r="225" spans="1:13">
      <c r="A225" s="476" t="str">
        <f>IF(B225&lt;&gt;"", COUNTA($B$3:B225), "")</f>
        <v/>
      </c>
      <c r="B225" s="477"/>
      <c r="C225" s="477" t="str">
        <f t="shared" ca="1" si="3"/>
        <v>NA</v>
      </c>
      <c r="D225" s="514"/>
      <c r="E225" s="514"/>
      <c r="F225" s="515"/>
      <c r="G225" s="515"/>
      <c r="H225" s="515"/>
      <c r="I225" s="515"/>
      <c r="J225" s="514"/>
      <c r="K225" s="516"/>
      <c r="L225" s="516"/>
      <c r="M225" s="517"/>
    </row>
    <row r="226" spans="1:13">
      <c r="A226" s="476" t="str">
        <f>IF(B226&lt;&gt;"", COUNTA($B$3:B226), "")</f>
        <v/>
      </c>
      <c r="B226" s="477"/>
      <c r="C226" s="477" t="str">
        <f t="shared" ca="1" si="3"/>
        <v>NA</v>
      </c>
      <c r="D226" s="514"/>
      <c r="E226" s="514"/>
      <c r="F226" s="515"/>
      <c r="G226" s="515"/>
      <c r="H226" s="515"/>
      <c r="I226" s="515"/>
      <c r="J226" s="514"/>
      <c r="K226" s="516"/>
      <c r="L226" s="516"/>
      <c r="M226" s="517"/>
    </row>
    <row r="227" spans="1:13">
      <c r="A227" s="476" t="str">
        <f>IF(B227&lt;&gt;"", COUNTA($B$3:B227), "")</f>
        <v/>
      </c>
      <c r="B227" s="477"/>
      <c r="C227" s="477" t="str">
        <f t="shared" ca="1" si="3"/>
        <v>NA</v>
      </c>
      <c r="D227" s="514"/>
      <c r="E227" s="514"/>
      <c r="F227" s="515"/>
      <c r="G227" s="515"/>
      <c r="H227" s="515"/>
      <c r="I227" s="515"/>
      <c r="J227" s="514"/>
      <c r="K227" s="516"/>
      <c r="L227" s="516"/>
      <c r="M227" s="517"/>
    </row>
    <row r="228" spans="1:13">
      <c r="A228" s="476" t="str">
        <f>IF(B228&lt;&gt;"", COUNTA($B$3:B228), "")</f>
        <v/>
      </c>
      <c r="B228" s="477"/>
      <c r="C228" s="477" t="str">
        <f t="shared" ca="1" si="3"/>
        <v>NA</v>
      </c>
      <c r="D228" s="514"/>
      <c r="E228" s="514"/>
      <c r="F228" s="515"/>
      <c r="G228" s="515"/>
      <c r="H228" s="515"/>
      <c r="I228" s="515"/>
      <c r="J228" s="514"/>
      <c r="K228" s="516"/>
      <c r="L228" s="516"/>
      <c r="M228" s="517"/>
    </row>
    <row r="229" spans="1:13">
      <c r="A229" s="476" t="str">
        <f>IF(B229&lt;&gt;"", COUNTA($B$3:B229), "")</f>
        <v/>
      </c>
      <c r="B229" s="477"/>
      <c r="C229" s="477" t="str">
        <f t="shared" ca="1" si="3"/>
        <v>NA</v>
      </c>
      <c r="D229" s="514"/>
      <c r="E229" s="514"/>
      <c r="F229" s="515"/>
      <c r="G229" s="515"/>
      <c r="H229" s="515"/>
      <c r="I229" s="515"/>
      <c r="J229" s="514"/>
      <c r="K229" s="516"/>
      <c r="L229" s="516"/>
      <c r="M229" s="517"/>
    </row>
    <row r="230" spans="1:13">
      <c r="A230" s="476" t="str">
        <f>IF(B230&lt;&gt;"", COUNTA($B$3:B230), "")</f>
        <v/>
      </c>
      <c r="B230" s="477"/>
      <c r="C230" s="477" t="str">
        <f t="shared" ca="1" si="3"/>
        <v>NA</v>
      </c>
      <c r="D230" s="514"/>
      <c r="E230" s="514"/>
      <c r="F230" s="515"/>
      <c r="G230" s="515"/>
      <c r="H230" s="515"/>
      <c r="I230" s="515"/>
      <c r="J230" s="514"/>
      <c r="K230" s="516"/>
      <c r="L230" s="516"/>
      <c r="M230" s="517"/>
    </row>
    <row r="231" spans="1:13">
      <c r="A231" s="476" t="str">
        <f>IF(B231&lt;&gt;"", COUNTA($B$3:B231), "")</f>
        <v/>
      </c>
      <c r="B231" s="477"/>
      <c r="C231" s="477" t="str">
        <f t="shared" ca="1" si="3"/>
        <v>NA</v>
      </c>
      <c r="D231" s="514"/>
      <c r="E231" s="514"/>
      <c r="F231" s="515"/>
      <c r="G231" s="515"/>
      <c r="H231" s="515"/>
      <c r="I231" s="515"/>
      <c r="J231" s="514"/>
      <c r="K231" s="516"/>
      <c r="L231" s="516"/>
      <c r="M231" s="517"/>
    </row>
    <row r="232" spans="1:13">
      <c r="A232" s="476" t="str">
        <f>IF(B232&lt;&gt;"", COUNTA($B$3:B232), "")</f>
        <v/>
      </c>
      <c r="B232" s="477"/>
      <c r="C232" s="477" t="str">
        <f t="shared" ca="1" si="3"/>
        <v>NA</v>
      </c>
      <c r="D232" s="514"/>
      <c r="E232" s="514"/>
      <c r="F232" s="515"/>
      <c r="G232" s="515"/>
      <c r="H232" s="515"/>
      <c r="I232" s="515"/>
      <c r="J232" s="514"/>
      <c r="K232" s="516"/>
      <c r="L232" s="516"/>
      <c r="M232" s="517"/>
    </row>
    <row r="233" spans="1:13">
      <c r="A233" s="476" t="str">
        <f>IF(B233&lt;&gt;"", COUNTA($B$3:B233), "")</f>
        <v/>
      </c>
      <c r="B233" s="477"/>
      <c r="C233" s="477" t="str">
        <f t="shared" ca="1" si="3"/>
        <v>NA</v>
      </c>
      <c r="D233" s="514"/>
      <c r="E233" s="514"/>
      <c r="F233" s="515"/>
      <c r="G233" s="515"/>
      <c r="H233" s="515"/>
      <c r="I233" s="515"/>
      <c r="J233" s="514"/>
      <c r="K233" s="516"/>
      <c r="L233" s="516"/>
      <c r="M233" s="517"/>
    </row>
    <row r="234" spans="1:13">
      <c r="A234" s="476" t="str">
        <f>IF(B234&lt;&gt;"", COUNTA($B$3:B234), "")</f>
        <v/>
      </c>
      <c r="B234" s="477"/>
      <c r="C234" s="477" t="str">
        <f t="shared" ca="1" si="3"/>
        <v>NA</v>
      </c>
      <c r="D234" s="514"/>
      <c r="E234" s="514"/>
      <c r="F234" s="515"/>
      <c r="G234" s="515"/>
      <c r="H234" s="515"/>
      <c r="I234" s="515"/>
      <c r="J234" s="514"/>
      <c r="K234" s="516"/>
      <c r="L234" s="516"/>
      <c r="M234" s="517"/>
    </row>
    <row r="235" spans="1:13">
      <c r="A235" s="476" t="str">
        <f>IF(B235&lt;&gt;"", COUNTA($B$3:B235), "")</f>
        <v/>
      </c>
      <c r="B235" s="477"/>
      <c r="C235" s="477" t="str">
        <f t="shared" ca="1" si="3"/>
        <v>NA</v>
      </c>
      <c r="D235" s="514"/>
      <c r="E235" s="514"/>
      <c r="F235" s="515"/>
      <c r="G235" s="515"/>
      <c r="H235" s="515"/>
      <c r="I235" s="515"/>
      <c r="J235" s="514"/>
      <c r="K235" s="516"/>
      <c r="L235" s="516"/>
      <c r="M235" s="517"/>
    </row>
    <row r="236" spans="1:13">
      <c r="A236" s="476" t="str">
        <f>IF(B236&lt;&gt;"", COUNTA($B$3:B236), "")</f>
        <v/>
      </c>
      <c r="B236" s="477"/>
      <c r="C236" s="477" t="str">
        <f t="shared" ca="1" si="3"/>
        <v>NA</v>
      </c>
      <c r="D236" s="514"/>
      <c r="E236" s="514"/>
      <c r="F236" s="515"/>
      <c r="G236" s="515"/>
      <c r="H236" s="515"/>
      <c r="I236" s="515"/>
      <c r="J236" s="514"/>
      <c r="K236" s="516"/>
      <c r="L236" s="516"/>
      <c r="M236" s="517"/>
    </row>
    <row r="237" spans="1:13">
      <c r="A237" s="476" t="str">
        <f>IF(B237&lt;&gt;"", COUNTA($B$3:B237), "")</f>
        <v/>
      </c>
      <c r="B237" s="477"/>
      <c r="C237" s="477" t="str">
        <f t="shared" ca="1" si="3"/>
        <v>NA</v>
      </c>
      <c r="D237" s="514"/>
      <c r="E237" s="514"/>
      <c r="F237" s="515"/>
      <c r="G237" s="515"/>
      <c r="H237" s="515"/>
      <c r="I237" s="515"/>
      <c r="J237" s="514"/>
      <c r="K237" s="516"/>
      <c r="L237" s="516"/>
      <c r="M237" s="517"/>
    </row>
    <row r="238" spans="1:13">
      <c r="A238" s="476" t="str">
        <f>IF(B238&lt;&gt;"", COUNTA($B$3:B238), "")</f>
        <v/>
      </c>
      <c r="B238" s="477"/>
      <c r="C238" s="477" t="str">
        <f t="shared" ca="1" si="3"/>
        <v>NA</v>
      </c>
      <c r="D238" s="514"/>
      <c r="E238" s="514"/>
      <c r="F238" s="515"/>
      <c r="G238" s="515"/>
      <c r="H238" s="515"/>
      <c r="I238" s="515"/>
      <c r="J238" s="514"/>
      <c r="K238" s="516"/>
      <c r="L238" s="516"/>
      <c r="M238" s="517"/>
    </row>
    <row r="239" spans="1:13">
      <c r="A239" s="476" t="str">
        <f>IF(B239&lt;&gt;"", COUNTA($B$3:B239), "")</f>
        <v/>
      </c>
      <c r="B239" s="477"/>
      <c r="C239" s="477" t="str">
        <f t="shared" ca="1" si="3"/>
        <v>NA</v>
      </c>
      <c r="D239" s="514"/>
      <c r="E239" s="514"/>
      <c r="F239" s="515"/>
      <c r="G239" s="515"/>
      <c r="H239" s="515"/>
      <c r="I239" s="515"/>
      <c r="J239" s="514"/>
      <c r="K239" s="516"/>
      <c r="L239" s="516"/>
      <c r="M239" s="517"/>
    </row>
    <row r="240" spans="1:13">
      <c r="A240" s="476" t="str">
        <f>IF(B240&lt;&gt;"", COUNTA($B$3:B240), "")</f>
        <v/>
      </c>
      <c r="B240" s="477"/>
      <c r="C240" s="477" t="str">
        <f t="shared" ca="1" si="3"/>
        <v>NA</v>
      </c>
      <c r="D240" s="514"/>
      <c r="E240" s="514"/>
      <c r="F240" s="515"/>
      <c r="G240" s="515"/>
      <c r="H240" s="515"/>
      <c r="I240" s="515"/>
      <c r="J240" s="514"/>
      <c r="K240" s="516"/>
      <c r="L240" s="516"/>
      <c r="M240" s="517"/>
    </row>
    <row r="241" spans="1:13">
      <c r="A241" s="476" t="str">
        <f>IF(B241&lt;&gt;"", COUNTA($B$3:B241), "")</f>
        <v/>
      </c>
      <c r="B241" s="477"/>
      <c r="C241" s="477" t="str">
        <f t="shared" ca="1" si="3"/>
        <v>NA</v>
      </c>
      <c r="D241" s="514"/>
      <c r="E241" s="514"/>
      <c r="F241" s="515"/>
      <c r="G241" s="515"/>
      <c r="H241" s="515"/>
      <c r="I241" s="515"/>
      <c r="J241" s="514"/>
      <c r="K241" s="516"/>
      <c r="L241" s="516"/>
      <c r="M241" s="517"/>
    </row>
    <row r="242" spans="1:13">
      <c r="A242" s="476" t="str">
        <f>IF(B242&lt;&gt;"", COUNTA($B$3:B242), "")</f>
        <v/>
      </c>
      <c r="B242" s="477"/>
      <c r="C242" s="477" t="str">
        <f t="shared" ca="1" si="3"/>
        <v>NA</v>
      </c>
      <c r="D242" s="514"/>
      <c r="E242" s="514"/>
      <c r="F242" s="515"/>
      <c r="G242" s="515"/>
      <c r="H242" s="515"/>
      <c r="I242" s="515"/>
      <c r="J242" s="514"/>
      <c r="K242" s="516"/>
      <c r="L242" s="516"/>
      <c r="M242" s="517"/>
    </row>
    <row r="243" spans="1:13">
      <c r="A243" s="476" t="str">
        <f>IF(B243&lt;&gt;"", COUNTA($B$3:B243), "")</f>
        <v/>
      </c>
      <c r="B243" s="477"/>
      <c r="C243" s="477" t="str">
        <f t="shared" ca="1" si="3"/>
        <v>NA</v>
      </c>
      <c r="D243" s="514"/>
      <c r="E243" s="514"/>
      <c r="F243" s="515"/>
      <c r="G243" s="515"/>
      <c r="H243" s="515"/>
      <c r="I243" s="515"/>
      <c r="J243" s="514"/>
      <c r="K243" s="516"/>
      <c r="L243" s="516"/>
      <c r="M243" s="517"/>
    </row>
    <row r="244" spans="1:13">
      <c r="A244" s="476" t="str">
        <f>IF(B244&lt;&gt;"", COUNTA($B$3:B244), "")</f>
        <v/>
      </c>
      <c r="B244" s="477"/>
      <c r="C244" s="477" t="str">
        <f t="shared" ca="1" si="3"/>
        <v>NA</v>
      </c>
      <c r="D244" s="514"/>
      <c r="E244" s="514"/>
      <c r="F244" s="515"/>
      <c r="G244" s="515"/>
      <c r="H244" s="515"/>
      <c r="I244" s="515"/>
      <c r="J244" s="514"/>
      <c r="K244" s="516"/>
      <c r="L244" s="516"/>
      <c r="M244" s="517"/>
    </row>
    <row r="245" spans="1:13">
      <c r="A245" s="476" t="str">
        <f>IF(B245&lt;&gt;"", COUNTA($B$3:B245), "")</f>
        <v/>
      </c>
      <c r="B245" s="477"/>
      <c r="C245" s="477" t="str">
        <f t="shared" ca="1" si="3"/>
        <v>NA</v>
      </c>
      <c r="D245" s="514"/>
      <c r="E245" s="514"/>
      <c r="F245" s="515"/>
      <c r="G245" s="515"/>
      <c r="H245" s="515"/>
      <c r="I245" s="515"/>
      <c r="J245" s="514"/>
      <c r="K245" s="516"/>
      <c r="L245" s="516"/>
      <c r="M245" s="517"/>
    </row>
    <row r="246" spans="1:13">
      <c r="A246" s="476" t="str">
        <f>IF(B246&lt;&gt;"", COUNTA($B$3:B246), "")</f>
        <v/>
      </c>
      <c r="B246" s="477"/>
      <c r="C246" s="477" t="str">
        <f t="shared" ca="1" si="3"/>
        <v>NA</v>
      </c>
      <c r="D246" s="514"/>
      <c r="E246" s="514"/>
      <c r="F246" s="515"/>
      <c r="G246" s="515"/>
      <c r="H246" s="515"/>
      <c r="I246" s="515"/>
      <c r="J246" s="514"/>
      <c r="K246" s="516"/>
      <c r="L246" s="516"/>
      <c r="M246" s="517"/>
    </row>
    <row r="247" spans="1:13">
      <c r="A247" s="476" t="str">
        <f>IF(B247&lt;&gt;"", COUNTA($B$3:B247), "")</f>
        <v/>
      </c>
      <c r="B247" s="477"/>
      <c r="C247" s="477" t="str">
        <f t="shared" ca="1" si="3"/>
        <v>NA</v>
      </c>
      <c r="D247" s="514"/>
      <c r="E247" s="514"/>
      <c r="F247" s="515"/>
      <c r="G247" s="515"/>
      <c r="H247" s="515"/>
      <c r="I247" s="515"/>
      <c r="J247" s="514"/>
      <c r="K247" s="516"/>
      <c r="L247" s="516"/>
      <c r="M247" s="517"/>
    </row>
    <row r="248" spans="1:13">
      <c r="A248" s="476" t="str">
        <f>IF(B248&lt;&gt;"", COUNTA($B$3:B248), "")</f>
        <v/>
      </c>
      <c r="B248" s="477"/>
      <c r="C248" s="477" t="str">
        <f t="shared" ca="1" si="3"/>
        <v>NA</v>
      </c>
      <c r="D248" s="514"/>
      <c r="E248" s="514"/>
      <c r="F248" s="515"/>
      <c r="G248" s="515"/>
      <c r="H248" s="515"/>
      <c r="I248" s="515"/>
      <c r="J248" s="514"/>
      <c r="K248" s="516"/>
      <c r="L248" s="516"/>
      <c r="M248" s="517"/>
    </row>
    <row r="249" spans="1:13">
      <c r="A249" s="476" t="str">
        <f>IF(B249&lt;&gt;"", COUNTA($B$3:B249), "")</f>
        <v/>
      </c>
      <c r="B249" s="477"/>
      <c r="C249" s="477" t="str">
        <f t="shared" ca="1" si="3"/>
        <v>NA</v>
      </c>
      <c r="D249" s="514"/>
      <c r="E249" s="514"/>
      <c r="F249" s="515"/>
      <c r="G249" s="515"/>
      <c r="H249" s="515"/>
      <c r="I249" s="515"/>
      <c r="J249" s="514"/>
      <c r="K249" s="516"/>
      <c r="L249" s="516"/>
      <c r="M249" s="517"/>
    </row>
    <row r="250" spans="1:13">
      <c r="A250" s="476" t="str">
        <f>IF(B250&lt;&gt;"", COUNTA($B$3:B250), "")</f>
        <v/>
      </c>
      <c r="B250" s="477"/>
      <c r="C250" s="477" t="str">
        <f t="shared" ca="1" si="3"/>
        <v>NA</v>
      </c>
      <c r="D250" s="514"/>
      <c r="E250" s="514"/>
      <c r="F250" s="515"/>
      <c r="G250" s="515"/>
      <c r="H250" s="515"/>
      <c r="I250" s="515"/>
      <c r="J250" s="514"/>
      <c r="K250" s="516"/>
      <c r="L250" s="516"/>
      <c r="M250" s="517"/>
    </row>
    <row r="251" spans="1:13">
      <c r="A251" s="476" t="str">
        <f>IF(B251&lt;&gt;"", COUNTA($B$3:B251), "")</f>
        <v/>
      </c>
      <c r="B251" s="477"/>
      <c r="C251" s="477" t="str">
        <f t="shared" ca="1" si="3"/>
        <v>NA</v>
      </c>
      <c r="D251" s="514"/>
      <c r="E251" s="514"/>
      <c r="F251" s="515"/>
      <c r="G251" s="515"/>
      <c r="H251" s="515"/>
      <c r="I251" s="515"/>
      <c r="J251" s="514"/>
      <c r="K251" s="516"/>
      <c r="L251" s="516"/>
      <c r="M251" s="517"/>
    </row>
    <row r="252" spans="1:13">
      <c r="A252" s="476" t="str">
        <f>IF(B252&lt;&gt;"", COUNTA($B$3:B252), "")</f>
        <v/>
      </c>
      <c r="B252" s="477"/>
      <c r="C252" s="477" t="str">
        <f t="shared" ca="1" si="3"/>
        <v>NA</v>
      </c>
      <c r="D252" s="514"/>
      <c r="E252" s="514"/>
      <c r="F252" s="515"/>
      <c r="G252" s="515"/>
      <c r="H252" s="515"/>
      <c r="I252" s="515"/>
      <c r="J252" s="514"/>
      <c r="K252" s="516"/>
      <c r="L252" s="516"/>
      <c r="M252" s="517"/>
    </row>
    <row r="253" spans="1:13">
      <c r="A253" s="476" t="str">
        <f>IF(B253&lt;&gt;"", COUNTA($B$3:B253), "")</f>
        <v/>
      </c>
      <c r="B253" s="477"/>
      <c r="C253" s="477" t="str">
        <f t="shared" ca="1" si="3"/>
        <v>NA</v>
      </c>
      <c r="D253" s="514"/>
      <c r="E253" s="514"/>
      <c r="F253" s="515"/>
      <c r="G253" s="515"/>
      <c r="H253" s="515"/>
      <c r="I253" s="515"/>
      <c r="J253" s="514"/>
      <c r="K253" s="516"/>
      <c r="L253" s="516"/>
      <c r="M253" s="517"/>
    </row>
    <row r="254" spans="1:13">
      <c r="A254" s="476" t="str">
        <f>IF(B254&lt;&gt;"", COUNTA($B$3:B254), "")</f>
        <v/>
      </c>
      <c r="B254" s="477"/>
      <c r="C254" s="477" t="str">
        <f t="shared" ca="1" si="3"/>
        <v>NA</v>
      </c>
      <c r="D254" s="514"/>
      <c r="E254" s="514"/>
      <c r="F254" s="515"/>
      <c r="G254" s="515"/>
      <c r="H254" s="515"/>
      <c r="I254" s="515"/>
      <c r="J254" s="514"/>
      <c r="K254" s="516"/>
      <c r="L254" s="516"/>
      <c r="M254" s="517"/>
    </row>
    <row r="255" spans="1:13">
      <c r="A255" s="476" t="str">
        <f>IF(B255&lt;&gt;"", COUNTA($B$3:B255), "")</f>
        <v/>
      </c>
      <c r="B255" s="477"/>
      <c r="C255" s="477" t="str">
        <f t="shared" ca="1" si="3"/>
        <v>NA</v>
      </c>
      <c r="D255" s="514"/>
      <c r="E255" s="514"/>
      <c r="F255" s="515"/>
      <c r="G255" s="515"/>
      <c r="H255" s="515"/>
      <c r="I255" s="515"/>
      <c r="J255" s="514"/>
      <c r="K255" s="516"/>
      <c r="L255" s="516"/>
      <c r="M255" s="517"/>
    </row>
    <row r="256" spans="1:13">
      <c r="A256" s="476" t="str">
        <f>IF(B256&lt;&gt;"", COUNTA($B$3:B256), "")</f>
        <v/>
      </c>
      <c r="B256" s="477"/>
      <c r="C256" s="477" t="str">
        <f t="shared" ca="1" si="3"/>
        <v>NA</v>
      </c>
      <c r="D256" s="514"/>
      <c r="E256" s="514"/>
      <c r="F256" s="515"/>
      <c r="G256" s="515"/>
      <c r="H256" s="515"/>
      <c r="I256" s="515"/>
      <c r="J256" s="514"/>
      <c r="K256" s="516"/>
      <c r="L256" s="516"/>
      <c r="M256" s="517"/>
    </row>
    <row r="257" spans="1:13">
      <c r="A257" s="476" t="str">
        <f>IF(B257&lt;&gt;"", COUNTA($B$3:B257), "")</f>
        <v/>
      </c>
      <c r="B257" s="477"/>
      <c r="C257" s="477" t="str">
        <f t="shared" ca="1" si="3"/>
        <v>NA</v>
      </c>
      <c r="D257" s="514"/>
      <c r="E257" s="514"/>
      <c r="F257" s="515"/>
      <c r="G257" s="515"/>
      <c r="H257" s="515"/>
      <c r="I257" s="515"/>
      <c r="J257" s="514"/>
      <c r="K257" s="516"/>
      <c r="L257" s="516"/>
      <c r="M257" s="517"/>
    </row>
    <row r="258" spans="1:13">
      <c r="A258" s="476" t="str">
        <f>IF(B258&lt;&gt;"", COUNTA($B$3:B258), "")</f>
        <v/>
      </c>
      <c r="B258" s="477"/>
      <c r="C258" s="477" t="str">
        <f t="shared" ref="C258:C274" ca="1" si="4">IF(AND(L258="", M258=""), "NA",
   IF(M258&lt;&gt;"", "Completed",
      IF(ISNUMBER(L258),
         IF(L258-TODAY() &gt; 0, "Due in "&amp;(L258-TODAY())&amp;" days",
            IF(L258-TODAY() = 0, "Due today", "Overdue "&amp;ABS(L258-TODAY())&amp;" days")
         ),
      "Invalid Date")
   )
)</f>
        <v>NA</v>
      </c>
      <c r="D258" s="514"/>
      <c r="E258" s="514"/>
      <c r="F258" s="515"/>
      <c r="G258" s="515"/>
      <c r="H258" s="515"/>
      <c r="I258" s="515"/>
      <c r="J258" s="514"/>
      <c r="K258" s="516"/>
      <c r="L258" s="516"/>
      <c r="M258" s="517"/>
    </row>
    <row r="259" spans="1:13">
      <c r="A259" s="476"/>
      <c r="B259" s="477"/>
      <c r="C259" s="477" t="str">
        <f t="shared" ca="1" si="4"/>
        <v>NA</v>
      </c>
      <c r="D259" s="514"/>
      <c r="E259" s="514"/>
      <c r="F259" s="515"/>
      <c r="G259" s="515"/>
      <c r="H259" s="515"/>
      <c r="I259" s="515"/>
      <c r="J259" s="514"/>
      <c r="K259" s="516"/>
      <c r="L259" s="516"/>
      <c r="M259" s="517"/>
    </row>
    <row r="260" spans="1:13">
      <c r="A260" s="476"/>
      <c r="B260" s="477"/>
      <c r="C260" s="477" t="str">
        <f t="shared" ca="1" si="4"/>
        <v>NA</v>
      </c>
      <c r="D260" s="514"/>
      <c r="E260" s="514"/>
      <c r="F260" s="515"/>
      <c r="G260" s="515"/>
      <c r="H260" s="515"/>
      <c r="I260" s="515"/>
      <c r="J260" s="514"/>
      <c r="K260" s="516"/>
      <c r="L260" s="516"/>
      <c r="M260" s="517"/>
    </row>
    <row r="261" spans="1:13">
      <c r="A261" s="476"/>
      <c r="B261" s="477"/>
      <c r="C261" s="477" t="str">
        <f t="shared" ca="1" si="4"/>
        <v>NA</v>
      </c>
      <c r="D261" s="514"/>
      <c r="E261" s="514"/>
      <c r="F261" s="515"/>
      <c r="G261" s="515"/>
      <c r="H261" s="515"/>
      <c r="I261" s="515"/>
      <c r="J261" s="514"/>
      <c r="K261" s="516"/>
      <c r="L261" s="516"/>
      <c r="M261" s="517"/>
    </row>
    <row r="262" spans="1:13">
      <c r="A262" s="476"/>
      <c r="B262" s="477"/>
      <c r="C262" s="477" t="str">
        <f t="shared" ca="1" si="4"/>
        <v>NA</v>
      </c>
      <c r="D262" s="514"/>
      <c r="E262" s="514"/>
      <c r="F262" s="515"/>
      <c r="G262" s="515"/>
      <c r="H262" s="515"/>
      <c r="I262" s="515"/>
      <c r="J262" s="514"/>
      <c r="K262" s="516"/>
      <c r="L262" s="516"/>
      <c r="M262" s="517"/>
    </row>
    <row r="263" spans="1:13">
      <c r="A263" s="476"/>
      <c r="B263" s="477"/>
      <c r="C263" s="477" t="str">
        <f t="shared" ca="1" si="4"/>
        <v>NA</v>
      </c>
      <c r="D263" s="514"/>
      <c r="E263" s="514"/>
      <c r="F263" s="515"/>
      <c r="G263" s="515"/>
      <c r="H263" s="515"/>
      <c r="I263" s="515"/>
      <c r="J263" s="514"/>
      <c r="K263" s="516"/>
      <c r="L263" s="516"/>
      <c r="M263" s="517"/>
    </row>
    <row r="264" spans="1:13">
      <c r="A264" s="476"/>
      <c r="B264" s="477"/>
      <c r="C264" s="477" t="str">
        <f t="shared" ca="1" si="4"/>
        <v>NA</v>
      </c>
      <c r="D264" s="514"/>
      <c r="E264" s="514"/>
      <c r="F264" s="515"/>
      <c r="G264" s="515"/>
      <c r="H264" s="515"/>
      <c r="I264" s="515"/>
      <c r="J264" s="514"/>
      <c r="K264" s="516"/>
      <c r="L264" s="516"/>
      <c r="M264" s="517"/>
    </row>
    <row r="265" spans="1:13">
      <c r="A265" s="476"/>
      <c r="B265" s="477"/>
      <c r="C265" s="477" t="str">
        <f t="shared" ca="1" si="4"/>
        <v>NA</v>
      </c>
      <c r="D265" s="514"/>
      <c r="E265" s="514"/>
      <c r="F265" s="515"/>
      <c r="G265" s="515"/>
      <c r="H265" s="515"/>
      <c r="I265" s="515"/>
      <c r="J265" s="514"/>
      <c r="K265" s="516"/>
      <c r="L265" s="516"/>
      <c r="M265" s="517"/>
    </row>
    <row r="266" spans="1:13">
      <c r="A266" s="476"/>
      <c r="B266" s="477"/>
      <c r="C266" s="477" t="str">
        <f t="shared" ca="1" si="4"/>
        <v>NA</v>
      </c>
      <c r="D266" s="514"/>
      <c r="E266" s="514"/>
      <c r="F266" s="515"/>
      <c r="G266" s="515"/>
      <c r="H266" s="515"/>
      <c r="I266" s="515"/>
      <c r="J266" s="514"/>
      <c r="K266" s="516"/>
      <c r="L266" s="516"/>
      <c r="M266" s="517"/>
    </row>
    <row r="267" spans="1:13">
      <c r="A267" s="476"/>
      <c r="B267" s="477"/>
      <c r="C267" s="477" t="str">
        <f t="shared" ca="1" si="4"/>
        <v>NA</v>
      </c>
      <c r="D267" s="514"/>
      <c r="E267" s="514"/>
      <c r="F267" s="515"/>
      <c r="G267" s="515"/>
      <c r="H267" s="515"/>
      <c r="I267" s="515"/>
      <c r="J267" s="514"/>
      <c r="K267" s="516"/>
      <c r="L267" s="516"/>
      <c r="M267" s="517"/>
    </row>
    <row r="268" spans="1:13">
      <c r="A268" s="476"/>
      <c r="B268" s="477"/>
      <c r="C268" s="477" t="str">
        <f t="shared" ca="1" si="4"/>
        <v>NA</v>
      </c>
      <c r="D268" s="514"/>
      <c r="E268" s="514"/>
      <c r="F268" s="515"/>
      <c r="G268" s="515"/>
      <c r="H268" s="515"/>
      <c r="I268" s="515"/>
      <c r="J268" s="514"/>
      <c r="K268" s="516"/>
      <c r="L268" s="516"/>
      <c r="M268" s="517"/>
    </row>
    <row r="269" spans="1:13">
      <c r="A269" s="476"/>
      <c r="B269" s="477"/>
      <c r="C269" s="477" t="str">
        <f t="shared" ca="1" si="4"/>
        <v>NA</v>
      </c>
      <c r="D269" s="514"/>
      <c r="E269" s="514"/>
      <c r="F269" s="515"/>
      <c r="G269" s="515"/>
      <c r="H269" s="515"/>
      <c r="I269" s="515"/>
      <c r="J269" s="514"/>
      <c r="K269" s="516"/>
      <c r="L269" s="516"/>
      <c r="M269" s="517"/>
    </row>
    <row r="270" spans="1:13">
      <c r="A270" s="476"/>
      <c r="B270" s="477"/>
      <c r="C270" s="477" t="str">
        <f t="shared" ca="1" si="4"/>
        <v>NA</v>
      </c>
      <c r="D270" s="514"/>
      <c r="E270" s="514"/>
      <c r="F270" s="515"/>
      <c r="G270" s="515"/>
      <c r="H270" s="515"/>
      <c r="I270" s="515"/>
      <c r="J270" s="514"/>
      <c r="K270" s="516"/>
      <c r="L270" s="516"/>
      <c r="M270" s="517"/>
    </row>
    <row r="271" spans="1:13">
      <c r="A271" s="476"/>
      <c r="B271" s="477"/>
      <c r="C271" s="477" t="str">
        <f t="shared" ca="1" si="4"/>
        <v>NA</v>
      </c>
      <c r="D271" s="514"/>
      <c r="E271" s="514"/>
      <c r="F271" s="515"/>
      <c r="G271" s="515"/>
      <c r="H271" s="515"/>
      <c r="I271" s="515"/>
      <c r="J271" s="514"/>
      <c r="K271" s="516"/>
      <c r="L271" s="516"/>
      <c r="M271" s="517"/>
    </row>
    <row r="272" spans="1:13">
      <c r="A272" s="476"/>
      <c r="B272" s="477"/>
      <c r="C272" s="477" t="str">
        <f t="shared" ca="1" si="4"/>
        <v>NA</v>
      </c>
      <c r="D272" s="514"/>
      <c r="E272" s="514"/>
      <c r="F272" s="515"/>
      <c r="G272" s="515"/>
      <c r="H272" s="515"/>
      <c r="I272" s="515"/>
      <c r="J272" s="514"/>
      <c r="K272" s="516"/>
      <c r="L272" s="516"/>
      <c r="M272" s="517"/>
    </row>
    <row r="273" spans="1:13">
      <c r="A273" s="476"/>
      <c r="B273" s="477"/>
      <c r="C273" s="477" t="str">
        <f t="shared" ca="1" si="4"/>
        <v>NA</v>
      </c>
      <c r="D273" s="514"/>
      <c r="E273" s="514"/>
      <c r="F273" s="515"/>
      <c r="G273" s="515"/>
      <c r="H273" s="515"/>
      <c r="I273" s="515"/>
      <c r="J273" s="514"/>
      <c r="K273" s="516"/>
      <c r="L273" s="516"/>
      <c r="M273" s="517"/>
    </row>
    <row r="274" spans="1:13" ht="13.5" thickBot="1">
      <c r="A274" s="518"/>
      <c r="B274" s="519"/>
      <c r="C274" s="519" t="str">
        <f t="shared" ca="1" si="4"/>
        <v>NA</v>
      </c>
      <c r="D274" s="520"/>
      <c r="E274" s="520"/>
      <c r="F274" s="521"/>
      <c r="G274" s="521"/>
      <c r="H274" s="521"/>
      <c r="I274" s="521"/>
      <c r="J274" s="520"/>
      <c r="K274" s="522"/>
      <c r="L274" s="522"/>
      <c r="M274" s="523"/>
    </row>
  </sheetData>
  <autoFilter ref="A2:M274" xr:uid="{00000000-0001-0000-0000-000000000000}">
    <filterColumn colId="2">
      <filters>
        <filter val="NA"/>
        <filter val="Overdue 119 days"/>
        <filter val="Overdue 325 days"/>
      </filters>
    </filterColumn>
    <sortState xmlns:xlrd2="http://schemas.microsoft.com/office/spreadsheetml/2017/richdata2" ref="A4:M274">
      <sortCondition ref="L2"/>
    </sortState>
  </autoFilter>
  <mergeCells count="12">
    <mergeCell ref="G1:G2"/>
    <mergeCell ref="I1:I2"/>
    <mergeCell ref="J1:J2"/>
    <mergeCell ref="K1:K2"/>
    <mergeCell ref="L1:M1"/>
    <mergeCell ref="H1:H2"/>
    <mergeCell ref="F1:F2"/>
    <mergeCell ref="A1:A2"/>
    <mergeCell ref="B1:B2"/>
    <mergeCell ref="D1:D2"/>
    <mergeCell ref="E1:E2"/>
    <mergeCell ref="C1:C2"/>
  </mergeCells>
  <phoneticPr fontId="164" type="noConversion"/>
  <conditionalFormatting sqref="A50:E51 G50:M51 A3:M49 A52:M54 A57:M274 A55:K56 M55:M56">
    <cfRule type="expression" dxfId="981" priority="1340">
      <formula>ISNUMBER(SEARCH("Overdue",$C3))</formula>
    </cfRule>
    <cfRule type="expression" dxfId="980" priority="1341">
      <formula>ISNUMBER(SEARCH("Due today", $C3))</formula>
    </cfRule>
    <cfRule type="expression" dxfId="979" priority="1342">
      <formula>ISNUMBER(SEARCH("Due in", $C3))</formula>
    </cfRule>
    <cfRule type="expression" dxfId="978" priority="1343">
      <formula>ISNUMBER(SEARCH("Completed", $C3))</formula>
    </cfRule>
  </conditionalFormatting>
  <conditionalFormatting sqref="F50 L55">
    <cfRule type="expression" dxfId="977" priority="1348">
      <formula>ISNUMBER(SEARCH("Overdue",$C51))</formula>
    </cfRule>
    <cfRule type="expression" dxfId="976" priority="1349">
      <formula>ISNUMBER(SEARCH("Due today", $C51))</formula>
    </cfRule>
    <cfRule type="expression" dxfId="975" priority="1350">
      <formula>ISNUMBER(SEARCH("Due in", $C51))</formula>
    </cfRule>
    <cfRule type="expression" dxfId="974" priority="1351">
      <formula>ISNUMBER(SEARCH("Completed", $C51))</formula>
    </cfRule>
  </conditionalFormatting>
  <printOptions horizontalCentered="1" verticalCentered="1"/>
  <pageMargins left="0.74803149606299213" right="0.74803149606299213" top="0.98425196850393704" bottom="0.98425196850393704" header="0.51181102362204722" footer="0.51181102362204722"/>
  <pageSetup paperSize="9" scale="23" orientation="portrait" horizontalDpi="300" verticalDpi="300"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E585F26B-5BE3-45C4-A33A-FC65684B4282}">
          <x14:formula1>
            <xm:f>Filter!$B$3</xm:f>
          </x14:formula1>
          <xm:sqref>B3:B1048576</xm:sqref>
        </x14:dataValidation>
        <x14:dataValidation type="list" allowBlank="1" showInputMessage="1" showErrorMessage="1" xr:uid="{5608FB4B-51A3-4581-A758-5428A4B4745C}">
          <x14:formula1>
            <xm:f>Filter!$D$3:$D$15</xm:f>
          </x14:formula1>
          <xm:sqref>D3:D146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A331A-B643-4BBA-9B45-59F5194F8E81}">
  <sheetPr codeName="Module___3">
    <tabColor theme="3" tint="-0.249977111117893"/>
    <outlinePr summaryBelow="0"/>
    <pageSetUpPr fitToPage="1"/>
  </sheetPr>
  <dimension ref="A1:I138"/>
  <sheetViews>
    <sheetView view="pageBreakPreview" topLeftCell="A88" zoomScale="70" zoomScaleNormal="70" zoomScaleSheetLayoutView="70" zoomScalePageLayoutView="50" workbookViewId="0">
      <selection activeCell="I100" sqref="I100"/>
    </sheetView>
  </sheetViews>
  <sheetFormatPr defaultColWidth="3.42578125" defaultRowHeight="14.25" outlineLevelRow="2"/>
  <cols>
    <col min="1" max="1" width="10.42578125" style="336" customWidth="1"/>
    <col min="2" max="2" width="56.7109375" style="337" customWidth="1"/>
    <col min="3" max="3" width="9.28515625" style="338" customWidth="1"/>
    <col min="4" max="4" width="9.28515625" style="339" customWidth="1"/>
    <col min="5" max="5" width="9.5703125" style="339" customWidth="1"/>
    <col min="6" max="6" width="63.5703125" style="337" customWidth="1"/>
    <col min="7" max="7" width="33.28515625" style="340" customWidth="1"/>
    <col min="8" max="8" width="38.140625" style="337" customWidth="1"/>
    <col min="9" max="9" width="39" style="341" customWidth="1"/>
    <col min="10" max="16384" width="3.42578125" style="340"/>
  </cols>
  <sheetData>
    <row r="1" spans="1:9" s="330" customFormat="1" ht="15.75">
      <c r="A1" s="330" t="s">
        <v>1986</v>
      </c>
      <c r="B1" s="331"/>
      <c r="C1" s="332" t="s">
        <v>1987</v>
      </c>
      <c r="D1" s="333"/>
      <c r="E1" s="334"/>
      <c r="F1" s="331"/>
      <c r="G1" s="1097" t="s">
        <v>1988</v>
      </c>
      <c r="H1" s="1098"/>
      <c r="I1" s="335"/>
    </row>
    <row r="2" spans="1:9" s="330" customFormat="1" ht="15.75">
      <c r="A2" s="330" t="s">
        <v>1989</v>
      </c>
      <c r="B2" s="331"/>
      <c r="C2" s="1099" t="s">
        <v>1990</v>
      </c>
      <c r="D2" s="1099"/>
      <c r="E2" s="334"/>
      <c r="F2" s="331"/>
      <c r="G2" s="331" t="s">
        <v>1991</v>
      </c>
      <c r="I2" s="335"/>
    </row>
    <row r="3" spans="1:9" ht="15" thickBot="1"/>
    <row r="4" spans="1:9" s="344" customFormat="1" ht="25.15" customHeight="1" thickTop="1">
      <c r="A4" s="342" t="s">
        <v>1992</v>
      </c>
      <c r="B4" s="1100" t="s">
        <v>1993</v>
      </c>
      <c r="C4" s="1101"/>
      <c r="D4" s="1101"/>
      <c r="E4" s="1102"/>
      <c r="F4" s="1103" t="s">
        <v>1994</v>
      </c>
      <c r="G4" s="1103"/>
      <c r="H4" s="1104"/>
      <c r="I4" s="343"/>
    </row>
    <row r="5" spans="1:9" s="336" customFormat="1" ht="25.15" customHeight="1" outlineLevel="1">
      <c r="A5" s="345" t="s">
        <v>1995</v>
      </c>
      <c r="B5" s="1105" t="s">
        <v>1996</v>
      </c>
      <c r="C5" s="1105"/>
      <c r="D5" s="1105"/>
      <c r="E5" s="1105"/>
      <c r="F5" s="1105"/>
      <c r="G5" s="1105"/>
      <c r="H5" s="1106"/>
      <c r="I5" s="346"/>
    </row>
    <row r="6" spans="1:9" s="336" customFormat="1" ht="45" customHeight="1" outlineLevel="2">
      <c r="A6" s="347" t="s">
        <v>1997</v>
      </c>
      <c r="B6" s="1093" t="s">
        <v>1998</v>
      </c>
      <c r="C6" s="1093"/>
      <c r="D6" s="1093"/>
      <c r="E6" s="1093"/>
      <c r="F6" s="1094"/>
      <c r="G6" s="1095"/>
      <c r="H6" s="1096"/>
      <c r="I6" s="346"/>
    </row>
    <row r="7" spans="1:9" s="336" customFormat="1" ht="45" customHeight="1" outlineLevel="2">
      <c r="A7" s="347" t="s">
        <v>1999</v>
      </c>
      <c r="B7" s="1093" t="s">
        <v>2000</v>
      </c>
      <c r="C7" s="1093"/>
      <c r="D7" s="1093"/>
      <c r="E7" s="1093"/>
      <c r="F7" s="1094"/>
      <c r="G7" s="1095"/>
      <c r="H7" s="1096"/>
      <c r="I7" s="346"/>
    </row>
    <row r="8" spans="1:9" s="336" customFormat="1" ht="45" customHeight="1" outlineLevel="2">
      <c r="A8" s="347" t="s">
        <v>2001</v>
      </c>
      <c r="B8" s="1093" t="s">
        <v>2002</v>
      </c>
      <c r="C8" s="1093"/>
      <c r="D8" s="1093"/>
      <c r="E8" s="1093"/>
      <c r="F8" s="1107"/>
      <c r="G8" s="1107"/>
      <c r="H8" s="1108"/>
      <c r="I8" s="346"/>
    </row>
    <row r="9" spans="1:9" s="336" customFormat="1" ht="45" customHeight="1" outlineLevel="2">
      <c r="A9" s="347" t="s">
        <v>2003</v>
      </c>
      <c r="B9" s="1093" t="s">
        <v>2004</v>
      </c>
      <c r="C9" s="1093"/>
      <c r="D9" s="1093"/>
      <c r="E9" s="1093"/>
      <c r="F9" s="1107"/>
      <c r="G9" s="1107"/>
      <c r="H9" s="1108"/>
      <c r="I9" s="346"/>
    </row>
    <row r="10" spans="1:9" s="336" customFormat="1" ht="45" customHeight="1" outlineLevel="2">
      <c r="A10" s="347" t="s">
        <v>2005</v>
      </c>
      <c r="B10" s="1109" t="s">
        <v>2006</v>
      </c>
      <c r="C10" s="1110"/>
      <c r="D10" s="1110"/>
      <c r="E10" s="1111"/>
      <c r="F10" s="1112"/>
      <c r="G10" s="1107"/>
      <c r="H10" s="1108"/>
      <c r="I10" s="346"/>
    </row>
    <row r="11" spans="1:9" s="336" customFormat="1" ht="25.15" customHeight="1" outlineLevel="1">
      <c r="A11" s="345" t="s">
        <v>2007</v>
      </c>
      <c r="B11" s="1113" t="s">
        <v>2008</v>
      </c>
      <c r="C11" s="1114"/>
      <c r="D11" s="1114"/>
      <c r="E11" s="1114"/>
      <c r="F11" s="1114"/>
      <c r="G11" s="1114"/>
      <c r="H11" s="1115"/>
      <c r="I11" s="346"/>
    </row>
    <row r="12" spans="1:9" s="336" customFormat="1" ht="45" customHeight="1" outlineLevel="2">
      <c r="A12" s="347" t="s">
        <v>2009</v>
      </c>
      <c r="B12" s="1093" t="s">
        <v>2010</v>
      </c>
      <c r="C12" s="1093"/>
      <c r="D12" s="1093"/>
      <c r="E12" s="1093"/>
      <c r="F12" s="1095"/>
      <c r="G12" s="1095"/>
      <c r="H12" s="1096"/>
      <c r="I12" s="346"/>
    </row>
    <row r="13" spans="1:9" s="336" customFormat="1" ht="51" customHeight="1" outlineLevel="2">
      <c r="A13" s="347" t="s">
        <v>2011</v>
      </c>
      <c r="B13" s="1093" t="s">
        <v>2012</v>
      </c>
      <c r="C13" s="1093"/>
      <c r="D13" s="1093"/>
      <c r="E13" s="1093"/>
      <c r="F13" s="1095"/>
      <c r="G13" s="1095"/>
      <c r="H13" s="1096"/>
      <c r="I13" s="346"/>
    </row>
    <row r="14" spans="1:9" s="336" customFormat="1" ht="45" customHeight="1" outlineLevel="2">
      <c r="A14" s="350" t="s">
        <v>2013</v>
      </c>
      <c r="B14" s="1109" t="s">
        <v>2014</v>
      </c>
      <c r="C14" s="1110"/>
      <c r="D14" s="1110"/>
      <c r="E14" s="1111"/>
      <c r="F14" s="1112"/>
      <c r="G14" s="1107"/>
      <c r="H14" s="1108"/>
      <c r="I14" s="346"/>
    </row>
    <row r="15" spans="1:9" s="336" customFormat="1" ht="25.15" customHeight="1">
      <c r="A15" s="351" t="s">
        <v>2015</v>
      </c>
      <c r="B15" s="1116" t="s">
        <v>2016</v>
      </c>
      <c r="C15" s="1116"/>
      <c r="D15" s="1116"/>
      <c r="E15" s="1116"/>
      <c r="F15" s="1116"/>
      <c r="G15" s="1116"/>
      <c r="H15" s="1117"/>
      <c r="I15" s="346"/>
    </row>
    <row r="16" spans="1:9" s="336" customFormat="1" ht="45" customHeight="1" outlineLevel="1">
      <c r="A16" s="347" t="s">
        <v>2017</v>
      </c>
      <c r="B16" s="1093" t="s">
        <v>2018</v>
      </c>
      <c r="C16" s="1093"/>
      <c r="D16" s="1093"/>
      <c r="E16" s="1093"/>
      <c r="F16" s="1095"/>
      <c r="G16" s="1095"/>
      <c r="H16" s="1096"/>
      <c r="I16" s="346"/>
    </row>
    <row r="17" spans="1:9" s="336" customFormat="1" ht="91.15" customHeight="1" outlineLevel="1">
      <c r="A17" s="347" t="s">
        <v>2019</v>
      </c>
      <c r="B17" s="1093" t="s">
        <v>2020</v>
      </c>
      <c r="C17" s="1093"/>
      <c r="D17" s="1093"/>
      <c r="E17" s="1093"/>
      <c r="F17" s="1095"/>
      <c r="G17" s="1095"/>
      <c r="H17" s="1096"/>
      <c r="I17" s="346"/>
    </row>
    <row r="18" spans="1:9" s="336" customFormat="1" ht="48.6" customHeight="1" outlineLevel="1">
      <c r="A18" s="347" t="s">
        <v>2021</v>
      </c>
      <c r="B18" s="1093" t="s">
        <v>2022</v>
      </c>
      <c r="C18" s="1093"/>
      <c r="D18" s="1093"/>
      <c r="E18" s="1093"/>
      <c r="F18" s="1095"/>
      <c r="G18" s="1095"/>
      <c r="H18" s="1096"/>
      <c r="I18" s="346"/>
    </row>
    <row r="19" spans="1:9" s="336" customFormat="1" ht="45" customHeight="1" outlineLevel="1">
      <c r="A19" s="347" t="s">
        <v>2023</v>
      </c>
      <c r="B19" s="1093" t="s">
        <v>2024</v>
      </c>
      <c r="C19" s="1093"/>
      <c r="D19" s="1093"/>
      <c r="E19" s="1093"/>
      <c r="F19" s="1095"/>
      <c r="G19" s="1095"/>
      <c r="H19" s="1096"/>
      <c r="I19" s="346"/>
    </row>
    <row r="20" spans="1:9" s="336" customFormat="1" ht="25.15" customHeight="1" outlineLevel="1">
      <c r="A20" s="345" t="s">
        <v>2025</v>
      </c>
      <c r="B20" s="1113" t="s">
        <v>2026</v>
      </c>
      <c r="C20" s="1114"/>
      <c r="D20" s="1114"/>
      <c r="E20" s="1114"/>
      <c r="F20" s="1114"/>
      <c r="G20" s="1114"/>
      <c r="H20" s="1115"/>
      <c r="I20" s="346"/>
    </row>
    <row r="21" spans="1:9" s="336" customFormat="1" ht="45" customHeight="1" outlineLevel="2">
      <c r="A21" s="347" t="s">
        <v>2027</v>
      </c>
      <c r="B21" s="1093" t="s">
        <v>2028</v>
      </c>
      <c r="C21" s="1093"/>
      <c r="D21" s="1093"/>
      <c r="E21" s="1093"/>
      <c r="F21" s="1095"/>
      <c r="G21" s="1095"/>
      <c r="H21" s="1096"/>
      <c r="I21" s="346"/>
    </row>
    <row r="22" spans="1:9" s="336" customFormat="1" ht="45" customHeight="1" outlineLevel="2">
      <c r="A22" s="347" t="s">
        <v>2029</v>
      </c>
      <c r="B22" s="1093" t="s">
        <v>2030</v>
      </c>
      <c r="C22" s="1093"/>
      <c r="D22" s="1093"/>
      <c r="E22" s="1093"/>
      <c r="F22" s="1095"/>
      <c r="G22" s="1095"/>
      <c r="H22" s="1096"/>
      <c r="I22" s="346"/>
    </row>
    <row r="23" spans="1:9" s="336" customFormat="1" ht="45" customHeight="1" outlineLevel="2">
      <c r="A23" s="347" t="s">
        <v>2031</v>
      </c>
      <c r="B23" s="1093" t="s">
        <v>2032</v>
      </c>
      <c r="C23" s="1093"/>
      <c r="D23" s="1093"/>
      <c r="E23" s="1093"/>
      <c r="F23" s="1095"/>
      <c r="G23" s="1095"/>
      <c r="H23" s="1096"/>
      <c r="I23" s="346"/>
    </row>
    <row r="24" spans="1:9" s="336" customFormat="1" ht="45" customHeight="1" outlineLevel="2">
      <c r="A24" s="347" t="s">
        <v>2033</v>
      </c>
      <c r="B24" s="1093" t="s">
        <v>2034</v>
      </c>
      <c r="C24" s="1093"/>
      <c r="D24" s="1093"/>
      <c r="E24" s="1093"/>
      <c r="F24" s="1095"/>
      <c r="G24" s="1095"/>
      <c r="H24" s="1096"/>
      <c r="I24" s="346"/>
    </row>
    <row r="25" spans="1:9" s="336" customFormat="1" ht="25.15" customHeight="1" outlineLevel="1">
      <c r="A25" s="345" t="s">
        <v>2035</v>
      </c>
      <c r="B25" s="1113" t="s">
        <v>2036</v>
      </c>
      <c r="C25" s="1114"/>
      <c r="D25" s="1114"/>
      <c r="E25" s="1114"/>
      <c r="F25" s="1114"/>
      <c r="G25" s="1114"/>
      <c r="H25" s="1115"/>
      <c r="I25" s="346"/>
    </row>
    <row r="26" spans="1:9" s="336" customFormat="1" ht="55.15" customHeight="1" outlineLevel="2">
      <c r="A26" s="352" t="s">
        <v>2037</v>
      </c>
      <c r="B26" s="1109" t="s">
        <v>2038</v>
      </c>
      <c r="C26" s="1110"/>
      <c r="D26" s="1110"/>
      <c r="E26" s="1111"/>
      <c r="F26" s="1107"/>
      <c r="G26" s="1107"/>
      <c r="H26" s="1108"/>
      <c r="I26" s="346"/>
    </row>
    <row r="27" spans="1:9" s="336" customFormat="1" ht="36" customHeight="1" outlineLevel="2">
      <c r="A27" s="352" t="s">
        <v>2039</v>
      </c>
      <c r="B27" s="1109" t="s">
        <v>2040</v>
      </c>
      <c r="C27" s="1110"/>
      <c r="D27" s="1110"/>
      <c r="E27" s="1111"/>
      <c r="F27" s="1107"/>
      <c r="G27" s="1107"/>
      <c r="H27" s="1108"/>
      <c r="I27" s="346"/>
    </row>
    <row r="28" spans="1:9" s="336" customFormat="1" ht="34.15" customHeight="1" outlineLevel="2">
      <c r="A28" s="352" t="s">
        <v>2041</v>
      </c>
      <c r="B28" s="1109" t="s">
        <v>2042</v>
      </c>
      <c r="C28" s="1110"/>
      <c r="D28" s="1110"/>
      <c r="E28" s="1111"/>
      <c r="F28" s="1107"/>
      <c r="G28" s="1107"/>
      <c r="H28" s="1108"/>
      <c r="I28" s="346"/>
    </row>
    <row r="29" spans="1:9" s="336" customFormat="1" ht="52.15" customHeight="1" outlineLevel="2">
      <c r="A29" s="352" t="s">
        <v>2043</v>
      </c>
      <c r="B29" s="1109" t="s">
        <v>2044</v>
      </c>
      <c r="C29" s="1110"/>
      <c r="D29" s="1110"/>
      <c r="E29" s="1111"/>
      <c r="F29" s="1112"/>
      <c r="G29" s="1107"/>
      <c r="H29" s="1108"/>
      <c r="I29" s="346"/>
    </row>
    <row r="30" spans="1:9" s="336" customFormat="1" ht="51" customHeight="1" outlineLevel="2">
      <c r="A30" s="352" t="s">
        <v>2045</v>
      </c>
      <c r="B30" s="1109" t="s">
        <v>2046</v>
      </c>
      <c r="C30" s="1110"/>
      <c r="D30" s="1110"/>
      <c r="E30" s="1111"/>
      <c r="F30" s="1107"/>
      <c r="G30" s="1107"/>
      <c r="H30" s="1108"/>
      <c r="I30" s="346"/>
    </row>
    <row r="31" spans="1:9" s="336" customFormat="1" ht="38.65" customHeight="1" outlineLevel="2">
      <c r="A31" s="352" t="s">
        <v>2047</v>
      </c>
      <c r="B31" s="1109" t="s">
        <v>2048</v>
      </c>
      <c r="C31" s="1110"/>
      <c r="D31" s="1110"/>
      <c r="E31" s="1111"/>
      <c r="F31" s="1107"/>
      <c r="G31" s="1107"/>
      <c r="H31" s="1108"/>
      <c r="I31" s="346"/>
    </row>
    <row r="32" spans="1:9" s="336" customFormat="1" ht="25.15" customHeight="1" outlineLevel="1">
      <c r="A32" s="345" t="s">
        <v>2049</v>
      </c>
      <c r="B32" s="1113" t="s">
        <v>2050</v>
      </c>
      <c r="C32" s="1114"/>
      <c r="D32" s="1114"/>
      <c r="E32" s="1114"/>
      <c r="F32" s="1114"/>
      <c r="G32" s="1114"/>
      <c r="H32" s="1115"/>
      <c r="I32" s="346"/>
    </row>
    <row r="33" spans="1:9" s="336" customFormat="1" ht="45" customHeight="1" outlineLevel="2">
      <c r="A33" s="347" t="s">
        <v>2051</v>
      </c>
      <c r="B33" s="1093" t="s">
        <v>2052</v>
      </c>
      <c r="C33" s="1093"/>
      <c r="D33" s="1093"/>
      <c r="E33" s="1093"/>
      <c r="F33" s="1095"/>
      <c r="G33" s="1095"/>
      <c r="H33" s="1096"/>
      <c r="I33" s="346"/>
    </row>
    <row r="34" spans="1:9" s="336" customFormat="1" ht="45" customHeight="1" outlineLevel="2">
      <c r="A34" s="347" t="s">
        <v>2053</v>
      </c>
      <c r="B34" s="1093" t="s">
        <v>2054</v>
      </c>
      <c r="C34" s="1093"/>
      <c r="D34" s="1093"/>
      <c r="E34" s="1093"/>
      <c r="F34" s="1095"/>
      <c r="G34" s="1095"/>
      <c r="H34" s="1096"/>
      <c r="I34" s="346"/>
    </row>
    <row r="35" spans="1:9" s="336" customFormat="1" ht="45" customHeight="1" outlineLevel="2">
      <c r="A35" s="347" t="s">
        <v>2055</v>
      </c>
      <c r="B35" s="1093" t="s">
        <v>2056</v>
      </c>
      <c r="C35" s="1093"/>
      <c r="D35" s="1093"/>
      <c r="E35" s="1093"/>
      <c r="F35" s="1095"/>
      <c r="G35" s="1095"/>
      <c r="H35" s="1096"/>
      <c r="I35" s="346"/>
    </row>
    <row r="36" spans="1:9" s="336" customFormat="1" ht="45" customHeight="1" outlineLevel="2">
      <c r="A36" s="347" t="s">
        <v>2057</v>
      </c>
      <c r="B36" s="1093" t="s">
        <v>2058</v>
      </c>
      <c r="C36" s="1093"/>
      <c r="D36" s="1093"/>
      <c r="E36" s="1093"/>
      <c r="F36" s="1095"/>
      <c r="G36" s="1095"/>
      <c r="H36" s="1096"/>
      <c r="I36" s="346"/>
    </row>
    <row r="37" spans="1:9" s="336" customFormat="1" ht="86.65" customHeight="1" outlineLevel="2">
      <c r="A37" s="347" t="s">
        <v>2059</v>
      </c>
      <c r="B37" s="1093" t="s">
        <v>2060</v>
      </c>
      <c r="C37" s="1093"/>
      <c r="D37" s="1093"/>
      <c r="E37" s="1093"/>
      <c r="F37" s="1095"/>
      <c r="G37" s="1095"/>
      <c r="H37" s="1096"/>
      <c r="I37" s="353" t="s">
        <v>2061</v>
      </c>
    </row>
    <row r="38" spans="1:9" s="336" customFormat="1" ht="25.15" customHeight="1" outlineLevel="1">
      <c r="A38" s="345" t="s">
        <v>2062</v>
      </c>
      <c r="B38" s="1113" t="s">
        <v>2063</v>
      </c>
      <c r="C38" s="1114"/>
      <c r="D38" s="1114"/>
      <c r="E38" s="1114"/>
      <c r="F38" s="1114"/>
      <c r="G38" s="1114"/>
      <c r="H38" s="1115"/>
      <c r="I38" s="346"/>
    </row>
    <row r="39" spans="1:9" s="336" customFormat="1" ht="45" customHeight="1" outlineLevel="2">
      <c r="A39" s="347" t="s">
        <v>2064</v>
      </c>
      <c r="B39" s="1093" t="s">
        <v>2065</v>
      </c>
      <c r="C39" s="1093"/>
      <c r="D39" s="1093"/>
      <c r="E39" s="1093"/>
      <c r="F39" s="1095"/>
      <c r="G39" s="1095"/>
      <c r="H39" s="1096"/>
      <c r="I39" s="346"/>
    </row>
    <row r="40" spans="1:9" s="336" customFormat="1" ht="51" customHeight="1" outlineLevel="2">
      <c r="A40" s="347" t="s">
        <v>2066</v>
      </c>
      <c r="B40" s="1093" t="s">
        <v>2067</v>
      </c>
      <c r="C40" s="1093"/>
      <c r="D40" s="1093"/>
      <c r="E40" s="1093"/>
      <c r="F40" s="1094"/>
      <c r="G40" s="1095"/>
      <c r="H40" s="1096"/>
      <c r="I40" s="346"/>
    </row>
    <row r="41" spans="1:9" s="336" customFormat="1" ht="47.65" customHeight="1" outlineLevel="2">
      <c r="A41" s="347" t="s">
        <v>2068</v>
      </c>
      <c r="B41" s="1109" t="s">
        <v>2069</v>
      </c>
      <c r="C41" s="1110"/>
      <c r="D41" s="1110"/>
      <c r="E41" s="1111"/>
      <c r="F41" s="348"/>
      <c r="G41" s="348"/>
      <c r="H41" s="349"/>
      <c r="I41" s="346"/>
    </row>
    <row r="42" spans="1:9" s="336" customFormat="1" ht="45" customHeight="1" outlineLevel="2">
      <c r="A42" s="347" t="s">
        <v>2070</v>
      </c>
      <c r="B42" s="1109" t="s">
        <v>2071</v>
      </c>
      <c r="C42" s="1110"/>
      <c r="D42" s="1110"/>
      <c r="E42" s="1111"/>
      <c r="F42" s="1107"/>
      <c r="G42" s="1107"/>
      <c r="H42" s="1108"/>
      <c r="I42" s="346"/>
    </row>
    <row r="43" spans="1:9" s="336" customFormat="1" ht="25.15" customHeight="1" outlineLevel="1">
      <c r="A43" s="345" t="s">
        <v>2072</v>
      </c>
      <c r="B43" s="1113" t="s">
        <v>2073</v>
      </c>
      <c r="C43" s="1114"/>
      <c r="D43" s="1114"/>
      <c r="E43" s="1114"/>
      <c r="F43" s="1114"/>
      <c r="G43" s="1114"/>
      <c r="H43" s="1115"/>
      <c r="I43" s="346"/>
    </row>
    <row r="44" spans="1:9" s="336" customFormat="1" ht="45" customHeight="1" outlineLevel="2">
      <c r="A44" s="347" t="s">
        <v>2074</v>
      </c>
      <c r="B44" s="1093" t="s">
        <v>2075</v>
      </c>
      <c r="C44" s="1093"/>
      <c r="D44" s="1093"/>
      <c r="E44" s="1093"/>
      <c r="F44" s="1095"/>
      <c r="G44" s="1095"/>
      <c r="H44" s="1096"/>
      <c r="I44" s="346"/>
    </row>
    <row r="45" spans="1:9" s="336" customFormat="1" ht="45" customHeight="1" outlineLevel="2">
      <c r="A45" s="347" t="s">
        <v>2076</v>
      </c>
      <c r="B45" s="1093" t="s">
        <v>2077</v>
      </c>
      <c r="C45" s="1093"/>
      <c r="D45" s="1093"/>
      <c r="E45" s="1093"/>
      <c r="F45" s="1095"/>
      <c r="G45" s="1095"/>
      <c r="H45" s="1096"/>
      <c r="I45" s="346"/>
    </row>
    <row r="46" spans="1:9" s="336" customFormat="1" ht="45" customHeight="1" outlineLevel="2">
      <c r="A46" s="347" t="s">
        <v>2078</v>
      </c>
      <c r="B46" s="1093" t="s">
        <v>2079</v>
      </c>
      <c r="C46" s="1093"/>
      <c r="D46" s="1093"/>
      <c r="E46" s="1093"/>
      <c r="F46" s="1095"/>
      <c r="G46" s="1095"/>
      <c r="H46" s="1096"/>
      <c r="I46" s="346"/>
    </row>
    <row r="47" spans="1:9" s="336" customFormat="1" ht="45" customHeight="1" outlineLevel="2" thickBot="1">
      <c r="A47" s="347" t="s">
        <v>2080</v>
      </c>
      <c r="B47" s="1118" t="s">
        <v>2081</v>
      </c>
      <c r="C47" s="1118"/>
      <c r="D47" s="1118"/>
      <c r="E47" s="1118"/>
      <c r="F47" s="1119"/>
      <c r="G47" s="1119"/>
      <c r="H47" s="1120"/>
      <c r="I47" s="354" t="s">
        <v>2082</v>
      </c>
    </row>
    <row r="48" spans="1:9" s="336" customFormat="1" ht="25.15" customHeight="1" thickTop="1" thickBot="1">
      <c r="A48" s="355" t="s">
        <v>2083</v>
      </c>
      <c r="B48" s="1121" t="s">
        <v>2084</v>
      </c>
      <c r="C48" s="1122"/>
      <c r="D48" s="1122"/>
      <c r="E48" s="1122"/>
      <c r="F48" s="1122"/>
      <c r="G48" s="1122"/>
      <c r="H48" s="1123"/>
      <c r="I48" s="346"/>
    </row>
    <row r="49" spans="1:9" s="336" customFormat="1" ht="45" outlineLevel="1" thickBot="1">
      <c r="A49" s="356" t="s">
        <v>2085</v>
      </c>
      <c r="B49" s="357" t="s">
        <v>2086</v>
      </c>
      <c r="C49" s="358" t="s">
        <v>2087</v>
      </c>
      <c r="D49" s="358" t="s">
        <v>2088</v>
      </c>
      <c r="E49" s="358" t="s">
        <v>2089</v>
      </c>
      <c r="F49" s="357" t="s">
        <v>2090</v>
      </c>
      <c r="G49" s="357" t="s">
        <v>2091</v>
      </c>
      <c r="H49" s="359" t="s">
        <v>2092</v>
      </c>
      <c r="I49" s="346"/>
    </row>
    <row r="50" spans="1:9" s="368" customFormat="1" ht="33.6" customHeight="1" outlineLevel="1" thickBot="1">
      <c r="A50" s="360" t="s">
        <v>2093</v>
      </c>
      <c r="B50" s="361" t="s">
        <v>2094</v>
      </c>
      <c r="C50" s="362">
        <f>SUMPRODUCT(C51:C60,D51:D60)/D50</f>
        <v>0</v>
      </c>
      <c r="D50" s="363">
        <f>SUM(D51:D60)</f>
        <v>9.9999999999999992E-2</v>
      </c>
      <c r="E50" s="364">
        <f>SUM(E51:E60)</f>
        <v>0</v>
      </c>
      <c r="F50" s="361"/>
      <c r="G50" s="365"/>
      <c r="H50" s="366" t="s">
        <v>2095</v>
      </c>
      <c r="I50" s="367"/>
    </row>
    <row r="51" spans="1:9" ht="36" customHeight="1" outlineLevel="2">
      <c r="A51" s="369" t="s">
        <v>2096</v>
      </c>
      <c r="B51" s="370" t="s">
        <v>2097</v>
      </c>
      <c r="C51" s="371"/>
      <c r="D51" s="372">
        <v>0.01</v>
      </c>
      <c r="E51" s="373">
        <f>C51*D51</f>
        <v>0</v>
      </c>
      <c r="F51" s="374" t="s">
        <v>2098</v>
      </c>
      <c r="G51" s="374"/>
      <c r="H51" s="375"/>
      <c r="I51" s="354"/>
    </row>
    <row r="52" spans="1:9" ht="44.25" outlineLevel="2">
      <c r="A52" s="376" t="s">
        <v>2099</v>
      </c>
      <c r="B52" s="377" t="s">
        <v>2100</v>
      </c>
      <c r="C52" s="378"/>
      <c r="D52" s="379">
        <v>0.01</v>
      </c>
      <c r="E52" s="380">
        <f t="shared" ref="E52:E60" si="0">C52*D52</f>
        <v>0</v>
      </c>
      <c r="F52" s="381" t="s">
        <v>2101</v>
      </c>
      <c r="G52" s="381"/>
      <c r="H52" s="382"/>
      <c r="I52" s="354"/>
    </row>
    <row r="53" spans="1:9" ht="76.900000000000006" customHeight="1" outlineLevel="2">
      <c r="A53" s="376" t="s">
        <v>2102</v>
      </c>
      <c r="B53" s="383" t="s">
        <v>2103</v>
      </c>
      <c r="C53" s="378"/>
      <c r="D53" s="379">
        <v>0.01</v>
      </c>
      <c r="E53" s="380">
        <f t="shared" si="0"/>
        <v>0</v>
      </c>
      <c r="F53" s="381" t="s">
        <v>2104</v>
      </c>
      <c r="G53" s="381"/>
      <c r="H53" s="382"/>
      <c r="I53" s="354"/>
    </row>
    <row r="54" spans="1:9" ht="58.15" customHeight="1" outlineLevel="2">
      <c r="A54" s="376" t="s">
        <v>2105</v>
      </c>
      <c r="B54" s="377" t="s">
        <v>2106</v>
      </c>
      <c r="C54" s="378"/>
      <c r="D54" s="379">
        <v>0.01</v>
      </c>
      <c r="E54" s="380">
        <f t="shared" si="0"/>
        <v>0</v>
      </c>
      <c r="F54" s="381" t="s">
        <v>2107</v>
      </c>
      <c r="G54" s="381"/>
      <c r="H54" s="382"/>
      <c r="I54" s="354"/>
    </row>
    <row r="55" spans="1:9" ht="44.25" outlineLevel="2">
      <c r="A55" s="376" t="s">
        <v>2108</v>
      </c>
      <c r="B55" s="377" t="s">
        <v>2109</v>
      </c>
      <c r="C55" s="378"/>
      <c r="D55" s="379">
        <v>0.01</v>
      </c>
      <c r="E55" s="380">
        <f t="shared" si="0"/>
        <v>0</v>
      </c>
      <c r="F55" s="377" t="s">
        <v>2110</v>
      </c>
      <c r="G55" s="381"/>
      <c r="H55" s="382"/>
      <c r="I55" s="354"/>
    </row>
    <row r="56" spans="1:9" ht="44.25" outlineLevel="2">
      <c r="A56" s="376" t="s">
        <v>2111</v>
      </c>
      <c r="B56" s="377" t="s">
        <v>2112</v>
      </c>
      <c r="C56" s="378"/>
      <c r="D56" s="379">
        <v>0.01</v>
      </c>
      <c r="E56" s="380">
        <f t="shared" si="0"/>
        <v>0</v>
      </c>
      <c r="F56" s="381" t="s">
        <v>2113</v>
      </c>
      <c r="G56" s="381"/>
      <c r="H56" s="382"/>
      <c r="I56" s="354"/>
    </row>
    <row r="57" spans="1:9" ht="49.9" customHeight="1" outlineLevel="2">
      <c r="A57" s="376" t="s">
        <v>2114</v>
      </c>
      <c r="B57" s="377" t="s">
        <v>2115</v>
      </c>
      <c r="C57" s="378"/>
      <c r="D57" s="379">
        <v>0.01</v>
      </c>
      <c r="E57" s="380">
        <f t="shared" si="0"/>
        <v>0</v>
      </c>
      <c r="F57" s="381" t="s">
        <v>2116</v>
      </c>
      <c r="G57" s="381"/>
      <c r="H57" s="382"/>
      <c r="I57" s="354"/>
    </row>
    <row r="58" spans="1:9" ht="62.65" customHeight="1" outlineLevel="2">
      <c r="A58" s="376" t="s">
        <v>2117</v>
      </c>
      <c r="B58" s="377" t="s">
        <v>2118</v>
      </c>
      <c r="C58" s="378"/>
      <c r="D58" s="379">
        <v>0.01</v>
      </c>
      <c r="E58" s="380">
        <f t="shared" si="0"/>
        <v>0</v>
      </c>
      <c r="F58" s="381" t="s">
        <v>2119</v>
      </c>
      <c r="G58" s="381"/>
      <c r="H58" s="382"/>
      <c r="I58" s="354"/>
    </row>
    <row r="59" spans="1:9" ht="46.9" customHeight="1" outlineLevel="2">
      <c r="A59" s="376" t="s">
        <v>2120</v>
      </c>
      <c r="B59" s="381" t="s">
        <v>2121</v>
      </c>
      <c r="C59" s="378"/>
      <c r="D59" s="379">
        <v>0.01</v>
      </c>
      <c r="E59" s="380">
        <f t="shared" si="0"/>
        <v>0</v>
      </c>
      <c r="F59" s="384" t="s">
        <v>2122</v>
      </c>
      <c r="G59" s="381"/>
      <c r="H59" s="382"/>
      <c r="I59" s="354"/>
    </row>
    <row r="60" spans="1:9" ht="45.6" customHeight="1" outlineLevel="2">
      <c r="A60" s="376" t="s">
        <v>2123</v>
      </c>
      <c r="B60" s="381" t="s">
        <v>2124</v>
      </c>
      <c r="C60" s="378"/>
      <c r="D60" s="379">
        <v>0.01</v>
      </c>
      <c r="E60" s="380">
        <f t="shared" si="0"/>
        <v>0</v>
      </c>
      <c r="F60" s="384" t="s">
        <v>2125</v>
      </c>
      <c r="G60" s="381"/>
      <c r="H60" s="382"/>
      <c r="I60" s="354"/>
    </row>
    <row r="61" spans="1:9" ht="36" customHeight="1" outlineLevel="1">
      <c r="A61" s="385" t="s">
        <v>2126</v>
      </c>
      <c r="B61" s="386" t="s">
        <v>2127</v>
      </c>
      <c r="C61" s="387">
        <f>SUMPRODUCT(C62:C71,D62:D71)/D61</f>
        <v>0</v>
      </c>
      <c r="D61" s="388">
        <f>SUM(D62:D71)</f>
        <v>9.9999999999999992E-2</v>
      </c>
      <c r="E61" s="389">
        <f>SUM(E62:E71)</f>
        <v>0</v>
      </c>
      <c r="F61" s="386"/>
      <c r="G61" s="390"/>
      <c r="H61" s="391"/>
      <c r="I61" s="354"/>
    </row>
    <row r="62" spans="1:9" ht="36.6" customHeight="1" outlineLevel="2">
      <c r="A62" s="376" t="s">
        <v>2128</v>
      </c>
      <c r="B62" s="381" t="s">
        <v>2129</v>
      </c>
      <c r="C62" s="378"/>
      <c r="D62" s="379">
        <v>0.01</v>
      </c>
      <c r="E62" s="380">
        <f>C62*D62</f>
        <v>0</v>
      </c>
      <c r="F62" s="384" t="s">
        <v>2130</v>
      </c>
      <c r="G62" s="381"/>
      <c r="H62" s="382"/>
      <c r="I62" s="354"/>
    </row>
    <row r="63" spans="1:9" ht="34.9" customHeight="1" outlineLevel="2">
      <c r="A63" s="376" t="s">
        <v>2131</v>
      </c>
      <c r="B63" s="381" t="s">
        <v>2132</v>
      </c>
      <c r="C63" s="378"/>
      <c r="D63" s="379">
        <v>0.01</v>
      </c>
      <c r="E63" s="380">
        <f t="shared" ref="E63:E71" si="1">C63*D63</f>
        <v>0</v>
      </c>
      <c r="F63" s="384" t="s">
        <v>2133</v>
      </c>
      <c r="G63" s="381"/>
      <c r="H63" s="382"/>
      <c r="I63" s="354"/>
    </row>
    <row r="64" spans="1:9" ht="46.9" customHeight="1" outlineLevel="2">
      <c r="A64" s="376" t="s">
        <v>2134</v>
      </c>
      <c r="B64" s="381" t="s">
        <v>2135</v>
      </c>
      <c r="C64" s="378"/>
      <c r="D64" s="379">
        <v>0.01</v>
      </c>
      <c r="E64" s="380">
        <f t="shared" si="1"/>
        <v>0</v>
      </c>
      <c r="F64" s="384" t="s">
        <v>2136</v>
      </c>
      <c r="G64" s="381"/>
      <c r="H64" s="382"/>
      <c r="I64" s="354"/>
    </row>
    <row r="65" spans="1:9" ht="30" outlineLevel="2">
      <c r="A65" s="376" t="s">
        <v>2137</v>
      </c>
      <c r="B65" s="337" t="s">
        <v>2138</v>
      </c>
      <c r="C65" s="378"/>
      <c r="D65" s="379">
        <v>0.01</v>
      </c>
      <c r="E65" s="380">
        <f t="shared" si="1"/>
        <v>0</v>
      </c>
      <c r="F65" s="384" t="s">
        <v>2139</v>
      </c>
      <c r="G65" s="381"/>
      <c r="H65" s="382"/>
      <c r="I65" s="354"/>
    </row>
    <row r="66" spans="1:9" ht="44.25" outlineLevel="2">
      <c r="A66" s="376" t="s">
        <v>2140</v>
      </c>
      <c r="B66" s="381" t="s">
        <v>2141</v>
      </c>
      <c r="C66" s="378"/>
      <c r="D66" s="379">
        <v>0.01</v>
      </c>
      <c r="E66" s="380">
        <f t="shared" si="1"/>
        <v>0</v>
      </c>
      <c r="F66" s="384" t="s">
        <v>2142</v>
      </c>
      <c r="G66" s="381"/>
      <c r="H66" s="382"/>
      <c r="I66" s="354"/>
    </row>
    <row r="67" spans="1:9" ht="44.25" outlineLevel="2">
      <c r="A67" s="376" t="s">
        <v>2143</v>
      </c>
      <c r="B67" s="337" t="s">
        <v>2144</v>
      </c>
      <c r="C67" s="378"/>
      <c r="D67" s="379">
        <v>0.01</v>
      </c>
      <c r="E67" s="380">
        <f t="shared" si="1"/>
        <v>0</v>
      </c>
      <c r="F67" s="384" t="s">
        <v>2145</v>
      </c>
      <c r="G67" s="381"/>
      <c r="H67" s="382"/>
      <c r="I67" s="354"/>
    </row>
    <row r="68" spans="1:9" ht="30" outlineLevel="2">
      <c r="A68" s="376" t="s">
        <v>2146</v>
      </c>
      <c r="B68" s="381" t="s">
        <v>2147</v>
      </c>
      <c r="C68" s="378"/>
      <c r="D68" s="379">
        <v>0.01</v>
      </c>
      <c r="E68" s="380">
        <f t="shared" si="1"/>
        <v>0</v>
      </c>
      <c r="F68" s="384" t="s">
        <v>2148</v>
      </c>
      <c r="G68" s="381"/>
      <c r="H68" s="382"/>
      <c r="I68" s="354"/>
    </row>
    <row r="69" spans="1:9" ht="30" outlineLevel="2">
      <c r="A69" s="376" t="s">
        <v>2149</v>
      </c>
      <c r="B69" s="381" t="s">
        <v>2150</v>
      </c>
      <c r="C69" s="378"/>
      <c r="D69" s="379">
        <v>0.01</v>
      </c>
      <c r="E69" s="380">
        <f t="shared" si="1"/>
        <v>0</v>
      </c>
      <c r="F69" s="384" t="s">
        <v>2151</v>
      </c>
      <c r="G69" s="381"/>
      <c r="H69" s="382"/>
      <c r="I69" s="354"/>
    </row>
    <row r="70" spans="1:9" ht="30" outlineLevel="2">
      <c r="A70" s="376" t="s">
        <v>2152</v>
      </c>
      <c r="B70" s="381" t="s">
        <v>2153</v>
      </c>
      <c r="C70" s="378"/>
      <c r="D70" s="379">
        <v>0.01</v>
      </c>
      <c r="E70" s="380">
        <f t="shared" si="1"/>
        <v>0</v>
      </c>
      <c r="F70" s="384" t="s">
        <v>2154</v>
      </c>
      <c r="G70" s="381"/>
      <c r="H70" s="382"/>
      <c r="I70" s="354"/>
    </row>
    <row r="71" spans="1:9" ht="62.65" customHeight="1" outlineLevel="2" thickBot="1">
      <c r="A71" s="392" t="s">
        <v>2155</v>
      </c>
      <c r="B71" s="393" t="s">
        <v>2156</v>
      </c>
      <c r="C71" s="394"/>
      <c r="D71" s="395">
        <v>0.01</v>
      </c>
      <c r="E71" s="396">
        <f t="shared" si="1"/>
        <v>0</v>
      </c>
      <c r="F71" s="397" t="s">
        <v>2157</v>
      </c>
      <c r="G71" s="393"/>
      <c r="H71" s="398"/>
      <c r="I71" s="354"/>
    </row>
    <row r="72" spans="1:9" s="368" customFormat="1" ht="28.9" customHeight="1" outlineLevel="1" thickBot="1">
      <c r="A72" s="360" t="s">
        <v>2158</v>
      </c>
      <c r="B72" s="361" t="s">
        <v>2159</v>
      </c>
      <c r="C72" s="399">
        <f>SUMPRODUCT(C73:C88,D73:D88)/D72</f>
        <v>0</v>
      </c>
      <c r="D72" s="363">
        <f>SUM(D73:D88)</f>
        <v>0.19500000000000001</v>
      </c>
      <c r="E72" s="364">
        <f>SUM(E73:E88)</f>
        <v>0</v>
      </c>
      <c r="F72" s="361"/>
      <c r="G72" s="365"/>
      <c r="H72" s="366" t="s">
        <v>2160</v>
      </c>
      <c r="I72" s="367"/>
    </row>
    <row r="73" spans="1:9" ht="88.9" customHeight="1" outlineLevel="1">
      <c r="A73" s="369" t="s">
        <v>2009</v>
      </c>
      <c r="B73" s="374" t="s">
        <v>2161</v>
      </c>
      <c r="C73" s="371"/>
      <c r="D73" s="372">
        <v>0.01</v>
      </c>
      <c r="E73" s="373">
        <f>C73*D73</f>
        <v>0</v>
      </c>
      <c r="F73" s="374" t="s">
        <v>2162</v>
      </c>
      <c r="G73" s="400"/>
      <c r="H73" s="375" t="s">
        <v>2163</v>
      </c>
      <c r="I73" s="354"/>
    </row>
    <row r="74" spans="1:9" ht="60" outlineLevel="1">
      <c r="A74" s="376" t="s">
        <v>2164</v>
      </c>
      <c r="B74" s="381" t="s">
        <v>2165</v>
      </c>
      <c r="C74" s="378"/>
      <c r="D74" s="379">
        <v>0.01</v>
      </c>
      <c r="E74" s="380">
        <f t="shared" ref="E74:E100" si="2">C74*D74</f>
        <v>0</v>
      </c>
      <c r="F74" s="381" t="s">
        <v>2166</v>
      </c>
      <c r="G74" s="401"/>
      <c r="H74" s="382" t="s">
        <v>2167</v>
      </c>
      <c r="I74" s="354"/>
    </row>
    <row r="75" spans="1:9" ht="87" customHeight="1" outlineLevel="1">
      <c r="A75" s="376" t="s">
        <v>2168</v>
      </c>
      <c r="B75" s="377" t="s">
        <v>2169</v>
      </c>
      <c r="C75" s="378"/>
      <c r="D75" s="379">
        <v>0.01</v>
      </c>
      <c r="E75" s="380">
        <f t="shared" si="2"/>
        <v>0</v>
      </c>
      <c r="F75" s="381" t="s">
        <v>2170</v>
      </c>
      <c r="G75" s="401"/>
      <c r="H75" s="382"/>
      <c r="I75" s="354"/>
    </row>
    <row r="76" spans="1:9" ht="113.25" customHeight="1" outlineLevel="1">
      <c r="A76" s="376" t="s">
        <v>2011</v>
      </c>
      <c r="B76" s="377" t="s">
        <v>2171</v>
      </c>
      <c r="C76" s="378"/>
      <c r="D76" s="379">
        <v>0.02</v>
      </c>
      <c r="E76" s="380">
        <f t="shared" si="2"/>
        <v>0</v>
      </c>
      <c r="F76" s="384" t="s">
        <v>2172</v>
      </c>
      <c r="G76" s="401"/>
      <c r="H76" s="382"/>
      <c r="I76" s="354"/>
    </row>
    <row r="77" spans="1:9" ht="120" customHeight="1" outlineLevel="1">
      <c r="A77" s="376" t="s">
        <v>2013</v>
      </c>
      <c r="B77" s="381" t="s">
        <v>2173</v>
      </c>
      <c r="C77" s="378"/>
      <c r="D77" s="379">
        <v>0.02</v>
      </c>
      <c r="E77" s="380">
        <f t="shared" si="2"/>
        <v>0</v>
      </c>
      <c r="F77" s="384" t="s">
        <v>2174</v>
      </c>
      <c r="G77" s="401"/>
      <c r="H77" s="382" t="s">
        <v>2175</v>
      </c>
      <c r="I77" s="354"/>
    </row>
    <row r="78" spans="1:9" ht="99" customHeight="1" outlineLevel="1">
      <c r="A78" s="376" t="s">
        <v>2176</v>
      </c>
      <c r="B78" s="381" t="s">
        <v>2177</v>
      </c>
      <c r="C78" s="378"/>
      <c r="D78" s="379">
        <v>0.01</v>
      </c>
      <c r="E78" s="380">
        <f t="shared" si="2"/>
        <v>0</v>
      </c>
      <c r="F78" s="381" t="s">
        <v>2178</v>
      </c>
      <c r="G78" s="337"/>
      <c r="H78" s="382" t="s">
        <v>2179</v>
      </c>
      <c r="I78" s="354"/>
    </row>
    <row r="79" spans="1:9" ht="60" outlineLevel="1">
      <c r="A79" s="392" t="s">
        <v>2180</v>
      </c>
      <c r="B79" s="393" t="s">
        <v>2181</v>
      </c>
      <c r="C79" s="394"/>
      <c r="D79" s="379">
        <v>0.01</v>
      </c>
      <c r="E79" s="380">
        <f t="shared" si="2"/>
        <v>0</v>
      </c>
      <c r="F79" s="397" t="s">
        <v>2182</v>
      </c>
      <c r="G79" s="393"/>
      <c r="H79" s="398" t="s">
        <v>2183</v>
      </c>
      <c r="I79" s="354"/>
    </row>
    <row r="80" spans="1:9" ht="45.75" outlineLevel="1">
      <c r="A80" s="392" t="s">
        <v>2184</v>
      </c>
      <c r="B80" s="381" t="s">
        <v>2185</v>
      </c>
      <c r="C80" s="378"/>
      <c r="D80" s="379">
        <v>0.01</v>
      </c>
      <c r="E80" s="380">
        <f t="shared" si="2"/>
        <v>0</v>
      </c>
      <c r="F80" s="384" t="s">
        <v>2186</v>
      </c>
      <c r="G80" s="381"/>
      <c r="H80" s="382" t="s">
        <v>2187</v>
      </c>
      <c r="I80" s="354"/>
    </row>
    <row r="81" spans="1:9" ht="74.25" outlineLevel="1">
      <c r="A81" s="392" t="s">
        <v>2188</v>
      </c>
      <c r="B81" s="381" t="s">
        <v>2189</v>
      </c>
      <c r="C81" s="378"/>
      <c r="D81" s="379">
        <v>0.01</v>
      </c>
      <c r="E81" s="380">
        <f t="shared" si="2"/>
        <v>0</v>
      </c>
      <c r="F81" s="384" t="s">
        <v>2190</v>
      </c>
      <c r="G81" s="381"/>
      <c r="H81" s="382" t="s">
        <v>2191</v>
      </c>
      <c r="I81" s="354"/>
    </row>
    <row r="82" spans="1:9" ht="44.25" outlineLevel="1">
      <c r="A82" s="392" t="s">
        <v>2192</v>
      </c>
      <c r="B82" s="381" t="s">
        <v>2193</v>
      </c>
      <c r="C82" s="378"/>
      <c r="D82" s="379">
        <v>0.01</v>
      </c>
      <c r="E82" s="380">
        <f t="shared" si="2"/>
        <v>0</v>
      </c>
      <c r="F82" s="384" t="s">
        <v>2194</v>
      </c>
      <c r="G82" s="381"/>
      <c r="H82" s="382"/>
      <c r="I82" s="354"/>
    </row>
    <row r="83" spans="1:9" ht="51" customHeight="1" outlineLevel="1">
      <c r="A83" s="392" t="s">
        <v>2195</v>
      </c>
      <c r="B83" s="381" t="s">
        <v>2196</v>
      </c>
      <c r="C83" s="378"/>
      <c r="D83" s="379">
        <v>0.01</v>
      </c>
      <c r="E83" s="380">
        <f t="shared" si="2"/>
        <v>0</v>
      </c>
      <c r="F83" s="384" t="s">
        <v>2197</v>
      </c>
      <c r="G83" s="381"/>
      <c r="H83" s="382"/>
      <c r="I83" s="354"/>
    </row>
    <row r="84" spans="1:9" ht="84.6" customHeight="1" outlineLevel="1">
      <c r="A84" s="392" t="s">
        <v>2198</v>
      </c>
      <c r="B84" s="381" t="s">
        <v>2199</v>
      </c>
      <c r="C84" s="378"/>
      <c r="D84" s="379">
        <v>0.01</v>
      </c>
      <c r="E84" s="380">
        <f t="shared" si="2"/>
        <v>0</v>
      </c>
      <c r="F84" s="384" t="s">
        <v>2200</v>
      </c>
      <c r="G84" s="381"/>
      <c r="H84" s="382"/>
      <c r="I84" s="354"/>
    </row>
    <row r="85" spans="1:9" ht="51.6" customHeight="1" outlineLevel="1">
      <c r="A85" s="392" t="s">
        <v>2201</v>
      </c>
      <c r="B85" s="381" t="s">
        <v>2202</v>
      </c>
      <c r="C85" s="378"/>
      <c r="D85" s="379">
        <v>0.01</v>
      </c>
      <c r="E85" s="380">
        <f t="shared" si="2"/>
        <v>0</v>
      </c>
      <c r="F85" s="384" t="s">
        <v>2203</v>
      </c>
      <c r="G85" s="381"/>
      <c r="H85" s="382"/>
      <c r="I85" s="354"/>
    </row>
    <row r="86" spans="1:9" ht="58.5" outlineLevel="1">
      <c r="A86" s="392" t="s">
        <v>2204</v>
      </c>
      <c r="B86" s="381" t="s">
        <v>2205</v>
      </c>
      <c r="C86" s="378"/>
      <c r="D86" s="379">
        <v>1.4999999999999999E-2</v>
      </c>
      <c r="E86" s="380">
        <f t="shared" si="2"/>
        <v>0</v>
      </c>
      <c r="F86" s="384" t="s">
        <v>2206</v>
      </c>
      <c r="G86" s="381"/>
      <c r="H86" s="382"/>
      <c r="I86" s="354"/>
    </row>
    <row r="87" spans="1:9" ht="76.900000000000006" customHeight="1" outlineLevel="1">
      <c r="A87" s="376" t="s">
        <v>2207</v>
      </c>
      <c r="B87" s="381" t="s">
        <v>2208</v>
      </c>
      <c r="C87" s="378"/>
      <c r="D87" s="379">
        <v>1.4999999999999999E-2</v>
      </c>
      <c r="E87" s="380">
        <f t="shared" si="2"/>
        <v>0</v>
      </c>
      <c r="F87" s="384" t="s">
        <v>2209</v>
      </c>
      <c r="G87" s="381"/>
      <c r="H87" s="382"/>
      <c r="I87" s="354" t="s">
        <v>2210</v>
      </c>
    </row>
    <row r="88" spans="1:9" ht="63" customHeight="1" outlineLevel="1" thickBot="1">
      <c r="A88" s="402" t="s">
        <v>2211</v>
      </c>
      <c r="B88" s="403" t="s">
        <v>2212</v>
      </c>
      <c r="C88" s="404"/>
      <c r="D88" s="395">
        <v>1.4999999999999999E-2</v>
      </c>
      <c r="E88" s="396">
        <f t="shared" si="2"/>
        <v>0</v>
      </c>
      <c r="F88" s="397" t="s">
        <v>2213</v>
      </c>
      <c r="G88" s="403"/>
      <c r="H88" s="405"/>
      <c r="I88" s="354"/>
    </row>
    <row r="89" spans="1:9" s="407" customFormat="1" ht="30" customHeight="1" outlineLevel="1" thickBot="1">
      <c r="A89" s="360" t="s">
        <v>2214</v>
      </c>
      <c r="B89" s="361" t="s">
        <v>2215</v>
      </c>
      <c r="C89" s="362">
        <f>SUMPRODUCT(C90:C99,D90:D99)/D89</f>
        <v>0</v>
      </c>
      <c r="D89" s="363">
        <f>SUM(D90:D101)</f>
        <v>0.13999999999999999</v>
      </c>
      <c r="E89" s="364">
        <f>SUM(E90:E99)</f>
        <v>0</v>
      </c>
      <c r="F89" s="361"/>
      <c r="G89" s="365"/>
      <c r="H89" s="366" t="s">
        <v>2216</v>
      </c>
      <c r="I89" s="406"/>
    </row>
    <row r="90" spans="1:9" ht="54.6" customHeight="1" outlineLevel="2">
      <c r="A90" s="369" t="s">
        <v>2217</v>
      </c>
      <c r="B90" s="374" t="s">
        <v>2218</v>
      </c>
      <c r="C90" s="371"/>
      <c r="D90" s="372">
        <v>0.01</v>
      </c>
      <c r="E90" s="373">
        <f t="shared" si="2"/>
        <v>0</v>
      </c>
      <c r="F90" s="408" t="s">
        <v>2219</v>
      </c>
      <c r="G90" s="400"/>
      <c r="H90" s="375" t="s">
        <v>2220</v>
      </c>
      <c r="I90" s="354"/>
    </row>
    <row r="91" spans="1:9" ht="44.25" outlineLevel="2">
      <c r="A91" s="376" t="s">
        <v>2221</v>
      </c>
      <c r="B91" s="381" t="s">
        <v>2222</v>
      </c>
      <c r="C91" s="378"/>
      <c r="D91" s="379">
        <v>0.01</v>
      </c>
      <c r="E91" s="380">
        <f t="shared" si="2"/>
        <v>0</v>
      </c>
      <c r="F91" s="384" t="s">
        <v>2223</v>
      </c>
      <c r="G91" s="401"/>
      <c r="H91" s="382" t="s">
        <v>2224</v>
      </c>
      <c r="I91" s="354"/>
    </row>
    <row r="92" spans="1:9" ht="71.650000000000006" customHeight="1" outlineLevel="2">
      <c r="A92" s="376" t="s">
        <v>2225</v>
      </c>
      <c r="B92" s="381" t="s">
        <v>2226</v>
      </c>
      <c r="C92" s="378"/>
      <c r="D92" s="379">
        <v>0.01</v>
      </c>
      <c r="E92" s="380">
        <f t="shared" si="2"/>
        <v>0</v>
      </c>
      <c r="F92" s="384" t="s">
        <v>2227</v>
      </c>
      <c r="G92" s="401"/>
      <c r="H92" s="382"/>
      <c r="I92" s="354"/>
    </row>
    <row r="93" spans="1:9" ht="60" outlineLevel="2">
      <c r="A93" s="376" t="s">
        <v>2228</v>
      </c>
      <c r="B93" s="381" t="s">
        <v>2229</v>
      </c>
      <c r="C93" s="378"/>
      <c r="D93" s="379">
        <v>0.01</v>
      </c>
      <c r="E93" s="380">
        <f t="shared" si="2"/>
        <v>0</v>
      </c>
      <c r="F93" s="409" t="s">
        <v>2230</v>
      </c>
      <c r="G93" s="401"/>
      <c r="H93" s="382" t="s">
        <v>2231</v>
      </c>
      <c r="I93" s="354"/>
    </row>
    <row r="94" spans="1:9" ht="66.599999999999994" customHeight="1" outlineLevel="2">
      <c r="A94" s="376" t="s">
        <v>2232</v>
      </c>
      <c r="B94" s="381" t="s">
        <v>2233</v>
      </c>
      <c r="C94" s="378"/>
      <c r="D94" s="379">
        <v>0.01</v>
      </c>
      <c r="E94" s="380">
        <f t="shared" si="2"/>
        <v>0</v>
      </c>
      <c r="F94" s="409" t="s">
        <v>2234</v>
      </c>
      <c r="G94" s="401"/>
      <c r="H94" s="382"/>
      <c r="I94" s="354"/>
    </row>
    <row r="95" spans="1:9" ht="37.9" customHeight="1" outlineLevel="2">
      <c r="A95" s="376" t="s">
        <v>2235</v>
      </c>
      <c r="B95" s="381" t="s">
        <v>2236</v>
      </c>
      <c r="C95" s="378"/>
      <c r="D95" s="379">
        <v>0.01</v>
      </c>
      <c r="E95" s="380">
        <f t="shared" si="2"/>
        <v>0</v>
      </c>
      <c r="F95" s="409" t="s">
        <v>2237</v>
      </c>
      <c r="G95" s="401"/>
      <c r="H95" s="382"/>
      <c r="I95" s="354"/>
    </row>
    <row r="96" spans="1:9" ht="60" outlineLevel="2">
      <c r="A96" s="376" t="s">
        <v>2238</v>
      </c>
      <c r="B96" s="381" t="s">
        <v>2239</v>
      </c>
      <c r="C96" s="378"/>
      <c r="D96" s="379">
        <v>0.01</v>
      </c>
      <c r="E96" s="380">
        <f t="shared" si="2"/>
        <v>0</v>
      </c>
      <c r="F96" s="381" t="s">
        <v>2240</v>
      </c>
      <c r="G96" s="401"/>
      <c r="H96" s="382"/>
      <c r="I96" s="354"/>
    </row>
    <row r="97" spans="1:9" ht="60" outlineLevel="2">
      <c r="A97" s="376" t="s">
        <v>2241</v>
      </c>
      <c r="B97" s="381" t="s">
        <v>2242</v>
      </c>
      <c r="C97" s="378"/>
      <c r="D97" s="379">
        <v>0.01</v>
      </c>
      <c r="E97" s="380">
        <f t="shared" si="2"/>
        <v>0</v>
      </c>
      <c r="F97" s="384" t="s">
        <v>2243</v>
      </c>
      <c r="G97" s="401"/>
      <c r="H97" s="382"/>
      <c r="I97" s="354"/>
    </row>
    <row r="98" spans="1:9" ht="50.65" customHeight="1" outlineLevel="2">
      <c r="A98" s="376" t="s">
        <v>2244</v>
      </c>
      <c r="B98" s="381" t="s">
        <v>2245</v>
      </c>
      <c r="C98" s="378"/>
      <c r="D98" s="379">
        <v>0.01</v>
      </c>
      <c r="E98" s="380">
        <f t="shared" si="2"/>
        <v>0</v>
      </c>
      <c r="F98" s="384" t="s">
        <v>2246</v>
      </c>
      <c r="G98" s="401"/>
      <c r="H98" s="382"/>
      <c r="I98" s="354"/>
    </row>
    <row r="99" spans="1:9" ht="51.6" customHeight="1" outlineLevel="2">
      <c r="A99" s="376" t="s">
        <v>2247</v>
      </c>
      <c r="B99" s="381" t="s">
        <v>2248</v>
      </c>
      <c r="C99" s="378"/>
      <c r="D99" s="379">
        <v>0.01</v>
      </c>
      <c r="E99" s="380">
        <f t="shared" si="2"/>
        <v>0</v>
      </c>
      <c r="F99" s="384" t="s">
        <v>2249</v>
      </c>
      <c r="G99" s="401"/>
      <c r="H99" s="382"/>
      <c r="I99" s="354"/>
    </row>
    <row r="100" spans="1:9" ht="112.15" customHeight="1" outlineLevel="2">
      <c r="A100" s="402" t="s">
        <v>2250</v>
      </c>
      <c r="B100" s="403" t="s">
        <v>2251</v>
      </c>
      <c r="C100" s="394"/>
      <c r="D100" s="395">
        <v>0.01</v>
      </c>
      <c r="E100" s="396">
        <f t="shared" si="2"/>
        <v>0</v>
      </c>
      <c r="F100" s="410" t="s">
        <v>2252</v>
      </c>
      <c r="G100" s="411"/>
      <c r="H100" s="405"/>
      <c r="I100" s="354" t="s">
        <v>2253</v>
      </c>
    </row>
    <row r="101" spans="1:9" ht="61.15" customHeight="1" outlineLevel="2">
      <c r="A101" s="412" t="s">
        <v>2254</v>
      </c>
      <c r="B101" s="413" t="s">
        <v>2255</v>
      </c>
      <c r="C101" s="414"/>
      <c r="D101" s="415">
        <f>SUM(D102:D104)</f>
        <v>0.03</v>
      </c>
      <c r="E101" s="416">
        <f>C101*D101</f>
        <v>0</v>
      </c>
      <c r="F101" s="417" t="s">
        <v>2256</v>
      </c>
      <c r="G101" s="413"/>
      <c r="H101" s="418"/>
      <c r="I101" s="354"/>
    </row>
    <row r="102" spans="1:9" ht="172.9" customHeight="1" outlineLevel="2">
      <c r="A102" s="419" t="s">
        <v>2257</v>
      </c>
      <c r="B102" s="420" t="s">
        <v>2258</v>
      </c>
      <c r="C102" s="421"/>
      <c r="D102" s="422">
        <v>0.01</v>
      </c>
      <c r="E102" s="423">
        <f>C102*D102</f>
        <v>0</v>
      </c>
      <c r="F102" s="424" t="s">
        <v>2259</v>
      </c>
      <c r="G102" s="425"/>
      <c r="H102" s="426"/>
      <c r="I102" s="354" t="s">
        <v>2260</v>
      </c>
    </row>
    <row r="103" spans="1:9" ht="115.15" customHeight="1" outlineLevel="2">
      <c r="A103" s="427" t="s">
        <v>2261</v>
      </c>
      <c r="B103" s="420" t="s">
        <v>2262</v>
      </c>
      <c r="C103" s="421"/>
      <c r="D103" s="422">
        <v>0.01</v>
      </c>
      <c r="E103" s="423">
        <f>C103*D103</f>
        <v>0</v>
      </c>
      <c r="F103" s="424" t="s">
        <v>2263</v>
      </c>
      <c r="G103" s="420"/>
      <c r="H103" s="428"/>
      <c r="I103" s="354" t="s">
        <v>2253</v>
      </c>
    </row>
    <row r="104" spans="1:9" ht="118.15" customHeight="1" outlineLevel="2" thickBot="1">
      <c r="A104" s="429" t="s">
        <v>2264</v>
      </c>
      <c r="B104" s="420" t="s">
        <v>2265</v>
      </c>
      <c r="C104" s="421"/>
      <c r="D104" s="422">
        <v>0.01</v>
      </c>
      <c r="E104" s="423">
        <f>C104*D104</f>
        <v>0</v>
      </c>
      <c r="F104" s="424" t="s">
        <v>2266</v>
      </c>
      <c r="G104" s="430"/>
      <c r="H104" s="431"/>
      <c r="I104" s="354" t="s">
        <v>2253</v>
      </c>
    </row>
    <row r="105" spans="1:9" s="407" customFormat="1" ht="30" customHeight="1" outlineLevel="1" thickBot="1">
      <c r="A105" s="360" t="s">
        <v>2267</v>
      </c>
      <c r="B105" s="361" t="s">
        <v>2268</v>
      </c>
      <c r="C105" s="362">
        <f>SUMPRODUCT(C106:C113,D106:D113)/D105</f>
        <v>0</v>
      </c>
      <c r="D105" s="363">
        <f>SUM(D106:D113)</f>
        <v>0.17</v>
      </c>
      <c r="E105" s="364">
        <f>SUM(E106:E113)</f>
        <v>0</v>
      </c>
      <c r="F105" s="361"/>
      <c r="G105" s="365"/>
      <c r="H105" s="366" t="s">
        <v>2269</v>
      </c>
      <c r="I105" s="406"/>
    </row>
    <row r="106" spans="1:9" ht="156" customHeight="1" outlineLevel="2">
      <c r="A106" s="369" t="s">
        <v>2027</v>
      </c>
      <c r="B106" s="374" t="s">
        <v>2270</v>
      </c>
      <c r="C106" s="371"/>
      <c r="D106" s="372">
        <v>0.03</v>
      </c>
      <c r="E106" s="373">
        <f t="shared" ref="E106:E137" si="3">C106*D106</f>
        <v>0</v>
      </c>
      <c r="F106" s="374" t="s">
        <v>2271</v>
      </c>
      <c r="G106" s="374"/>
      <c r="H106" s="375"/>
      <c r="I106" s="354"/>
    </row>
    <row r="107" spans="1:9" ht="72" customHeight="1" outlineLevel="2">
      <c r="A107" s="376" t="s">
        <v>2029</v>
      </c>
      <c r="B107" s="381" t="s">
        <v>2272</v>
      </c>
      <c r="C107" s="378"/>
      <c r="D107" s="379">
        <v>0.03</v>
      </c>
      <c r="E107" s="380">
        <f t="shared" si="3"/>
        <v>0</v>
      </c>
      <c r="F107" s="381" t="s">
        <v>2273</v>
      </c>
      <c r="G107" s="381"/>
      <c r="H107" s="382" t="s">
        <v>2274</v>
      </c>
      <c r="I107" s="354"/>
    </row>
    <row r="108" spans="1:9" ht="44.25" outlineLevel="2">
      <c r="A108" s="376" t="s">
        <v>2031</v>
      </c>
      <c r="B108" s="381" t="s">
        <v>2275</v>
      </c>
      <c r="C108" s="378"/>
      <c r="D108" s="379">
        <v>0.02</v>
      </c>
      <c r="E108" s="380">
        <f t="shared" si="3"/>
        <v>0</v>
      </c>
      <c r="F108" s="384" t="s">
        <v>2276</v>
      </c>
      <c r="G108" s="401"/>
      <c r="H108" s="382"/>
      <c r="I108" s="354"/>
    </row>
    <row r="109" spans="1:9" ht="99" customHeight="1" outlineLevel="2">
      <c r="A109" s="376" t="s">
        <v>2033</v>
      </c>
      <c r="B109" s="381" t="s">
        <v>2277</v>
      </c>
      <c r="C109" s="378"/>
      <c r="D109" s="379">
        <v>0.02</v>
      </c>
      <c r="E109" s="380">
        <f t="shared" si="3"/>
        <v>0</v>
      </c>
      <c r="F109" s="384" t="s">
        <v>2278</v>
      </c>
      <c r="G109" s="401"/>
      <c r="H109" s="382" t="s">
        <v>2279</v>
      </c>
      <c r="I109" s="354"/>
    </row>
    <row r="110" spans="1:9" ht="47.65" customHeight="1" outlineLevel="2">
      <c r="A110" s="392" t="s">
        <v>2280</v>
      </c>
      <c r="B110" s="432" t="s">
        <v>2281</v>
      </c>
      <c r="C110" s="394"/>
      <c r="D110" s="395">
        <v>0.02</v>
      </c>
      <c r="E110" s="396">
        <f t="shared" si="3"/>
        <v>0</v>
      </c>
      <c r="F110" s="432" t="s">
        <v>2282</v>
      </c>
      <c r="G110" s="433"/>
      <c r="H110" s="398" t="s">
        <v>2283</v>
      </c>
      <c r="I110" s="354"/>
    </row>
    <row r="111" spans="1:9" ht="81.599999999999994" customHeight="1" outlineLevel="2">
      <c r="A111" s="376" t="s">
        <v>2284</v>
      </c>
      <c r="B111" s="377" t="s">
        <v>2285</v>
      </c>
      <c r="C111" s="434"/>
      <c r="D111" s="435">
        <v>0.02</v>
      </c>
      <c r="E111" s="436">
        <f t="shared" si="3"/>
        <v>0</v>
      </c>
      <c r="F111" s="377" t="s">
        <v>2286</v>
      </c>
      <c r="G111" s="377"/>
      <c r="H111" s="382"/>
      <c r="I111" s="354"/>
    </row>
    <row r="112" spans="1:9" ht="75.599999999999994" customHeight="1" outlineLevel="2">
      <c r="A112" s="376" t="s">
        <v>2287</v>
      </c>
      <c r="B112" s="377" t="s">
        <v>2288</v>
      </c>
      <c r="C112" s="434"/>
      <c r="D112" s="435">
        <v>0.02</v>
      </c>
      <c r="E112" s="436">
        <f t="shared" si="3"/>
        <v>0</v>
      </c>
      <c r="F112" s="377" t="s">
        <v>2289</v>
      </c>
      <c r="G112" s="377"/>
      <c r="H112" s="382"/>
      <c r="I112" s="354" t="s">
        <v>2290</v>
      </c>
    </row>
    <row r="113" spans="1:9" ht="82.15" customHeight="1" outlineLevel="2" thickBot="1">
      <c r="A113" s="392" t="s">
        <v>2291</v>
      </c>
      <c r="B113" s="432" t="s">
        <v>2292</v>
      </c>
      <c r="C113" s="437"/>
      <c r="D113" s="438">
        <v>0.01</v>
      </c>
      <c r="E113" s="439">
        <f t="shared" si="3"/>
        <v>0</v>
      </c>
      <c r="F113" s="432" t="s">
        <v>2293</v>
      </c>
      <c r="G113" s="432"/>
      <c r="H113" s="398"/>
      <c r="I113" s="354"/>
    </row>
    <row r="114" spans="1:9" s="407" customFormat="1" ht="30" customHeight="1" outlineLevel="1" thickBot="1">
      <c r="A114" s="360" t="s">
        <v>2294</v>
      </c>
      <c r="B114" s="361" t="s">
        <v>2295</v>
      </c>
      <c r="C114" s="362">
        <f>SUMPRODUCT(C115:C130,D115:D130)/D114</f>
        <v>0</v>
      </c>
      <c r="D114" s="363">
        <f>SUM(D115:D119,D125:D130)</f>
        <v>0.18500000000000005</v>
      </c>
      <c r="E114" s="364">
        <f>SUM(E115:E130)</f>
        <v>0</v>
      </c>
      <c r="F114" s="361"/>
      <c r="G114" s="365"/>
      <c r="H114" s="366" t="s">
        <v>2296</v>
      </c>
      <c r="I114" s="406"/>
    </row>
    <row r="115" spans="1:9" ht="100.15" customHeight="1" outlineLevel="2">
      <c r="A115" s="369" t="s">
        <v>2037</v>
      </c>
      <c r="B115" s="374" t="s">
        <v>2297</v>
      </c>
      <c r="C115" s="371"/>
      <c r="D115" s="372">
        <v>1.4999999999999999E-2</v>
      </c>
      <c r="E115" s="373">
        <f t="shared" si="3"/>
        <v>0</v>
      </c>
      <c r="F115" s="408" t="s">
        <v>2298</v>
      </c>
      <c r="G115" s="400"/>
      <c r="H115" s="375"/>
      <c r="I115" s="354" t="s">
        <v>2299</v>
      </c>
    </row>
    <row r="116" spans="1:9" ht="52.9" customHeight="1" outlineLevel="2">
      <c r="A116" s="376" t="s">
        <v>2039</v>
      </c>
      <c r="B116" s="409" t="s">
        <v>2300</v>
      </c>
      <c r="C116" s="378"/>
      <c r="D116" s="379">
        <v>0.01</v>
      </c>
      <c r="E116" s="380">
        <f t="shared" si="3"/>
        <v>0</v>
      </c>
      <c r="F116" s="409" t="s">
        <v>2301</v>
      </c>
      <c r="G116" s="440"/>
      <c r="H116" s="382"/>
      <c r="I116" s="354"/>
    </row>
    <row r="117" spans="1:9" ht="106.15" customHeight="1" outlineLevel="2">
      <c r="A117" s="376" t="s">
        <v>2041</v>
      </c>
      <c r="B117" s="409" t="s">
        <v>2302</v>
      </c>
      <c r="C117" s="378"/>
      <c r="D117" s="379">
        <v>0.02</v>
      </c>
      <c r="E117" s="380">
        <f t="shared" si="3"/>
        <v>0</v>
      </c>
      <c r="F117" s="409" t="s">
        <v>2303</v>
      </c>
      <c r="G117" s="440"/>
      <c r="H117" s="382"/>
      <c r="I117" s="354" t="s">
        <v>2304</v>
      </c>
    </row>
    <row r="118" spans="1:9" ht="81.599999999999994" customHeight="1" outlineLevel="2">
      <c r="A118" s="376" t="s">
        <v>2043</v>
      </c>
      <c r="B118" s="409" t="s">
        <v>2305</v>
      </c>
      <c r="C118" s="378"/>
      <c r="D118" s="379">
        <v>0.03</v>
      </c>
      <c r="E118" s="380">
        <f t="shared" si="3"/>
        <v>0</v>
      </c>
      <c r="F118" s="409" t="s">
        <v>2306</v>
      </c>
      <c r="G118" s="440"/>
      <c r="H118" s="382"/>
      <c r="I118" s="354" t="s">
        <v>2307</v>
      </c>
    </row>
    <row r="119" spans="1:9" ht="82.15" customHeight="1" outlineLevel="2">
      <c r="A119" s="376" t="s">
        <v>2045</v>
      </c>
      <c r="B119" s="384" t="s">
        <v>2308</v>
      </c>
      <c r="C119" s="378"/>
      <c r="D119" s="379">
        <f>SUM(D120:D124)</f>
        <v>1.9E-2</v>
      </c>
      <c r="E119" s="441">
        <f>C119*D119</f>
        <v>0</v>
      </c>
      <c r="F119" s="384" t="s">
        <v>2309</v>
      </c>
      <c r="G119" s="401"/>
      <c r="H119" s="382" t="s">
        <v>2310</v>
      </c>
      <c r="I119" s="354"/>
    </row>
    <row r="120" spans="1:9" ht="103.9" customHeight="1" outlineLevel="2">
      <c r="A120" s="376" t="s">
        <v>2311</v>
      </c>
      <c r="B120" s="384" t="s">
        <v>2312</v>
      </c>
      <c r="C120" s="378"/>
      <c r="D120" s="379">
        <v>3.0000000000000001E-3</v>
      </c>
      <c r="E120" s="380">
        <f t="shared" si="3"/>
        <v>0</v>
      </c>
      <c r="F120" s="377" t="s">
        <v>2313</v>
      </c>
      <c r="G120" s="401"/>
      <c r="H120" s="382" t="s">
        <v>2314</v>
      </c>
      <c r="I120" s="354" t="s">
        <v>2315</v>
      </c>
    </row>
    <row r="121" spans="1:9" ht="111" customHeight="1" outlineLevel="2">
      <c r="A121" s="376" t="s">
        <v>2316</v>
      </c>
      <c r="B121" s="384" t="s">
        <v>2317</v>
      </c>
      <c r="C121" s="378"/>
      <c r="D121" s="379">
        <v>3.0000000000000001E-3</v>
      </c>
      <c r="E121" s="380">
        <f t="shared" si="3"/>
        <v>0</v>
      </c>
      <c r="F121" s="377" t="s">
        <v>2318</v>
      </c>
      <c r="G121" s="401"/>
      <c r="H121" s="382" t="s">
        <v>2319</v>
      </c>
      <c r="I121" s="354"/>
    </row>
    <row r="122" spans="1:9" ht="99" customHeight="1" outlineLevel="2">
      <c r="A122" s="376" t="s">
        <v>2320</v>
      </c>
      <c r="B122" s="384" t="s">
        <v>2321</v>
      </c>
      <c r="C122" s="378"/>
      <c r="D122" s="379">
        <v>3.0000000000000001E-3</v>
      </c>
      <c r="E122" s="380">
        <f t="shared" si="3"/>
        <v>0</v>
      </c>
      <c r="F122" s="377" t="s">
        <v>2322</v>
      </c>
      <c r="G122" s="401"/>
      <c r="H122" s="382" t="s">
        <v>2323</v>
      </c>
      <c r="I122" s="354"/>
    </row>
    <row r="123" spans="1:9" ht="84.6" customHeight="1" outlineLevel="2">
      <c r="A123" s="376" t="s">
        <v>2324</v>
      </c>
      <c r="B123" s="384" t="s">
        <v>2325</v>
      </c>
      <c r="C123" s="378"/>
      <c r="D123" s="379">
        <v>3.0000000000000001E-3</v>
      </c>
      <c r="E123" s="380">
        <f t="shared" si="3"/>
        <v>0</v>
      </c>
      <c r="F123" s="442" t="s">
        <v>2326</v>
      </c>
      <c r="G123" s="401"/>
      <c r="H123" s="382"/>
      <c r="I123" s="354"/>
    </row>
    <row r="124" spans="1:9" ht="115.9" customHeight="1" outlineLevel="2">
      <c r="A124" s="419" t="s">
        <v>2327</v>
      </c>
      <c r="B124" s="425" t="s">
        <v>2328</v>
      </c>
      <c r="C124" s="421"/>
      <c r="D124" s="422">
        <v>7.0000000000000001E-3</v>
      </c>
      <c r="E124" s="423">
        <f>C124*D124</f>
        <v>0</v>
      </c>
      <c r="F124" s="425" t="s">
        <v>2329</v>
      </c>
      <c r="G124" s="425"/>
      <c r="H124" s="426"/>
      <c r="I124" s="354" t="s">
        <v>2330</v>
      </c>
    </row>
    <row r="125" spans="1:9" ht="30" outlineLevel="2">
      <c r="A125" s="369" t="s">
        <v>2047</v>
      </c>
      <c r="B125" s="370" t="s">
        <v>2331</v>
      </c>
      <c r="C125" s="371"/>
      <c r="D125" s="372">
        <v>0.02</v>
      </c>
      <c r="E125" s="373">
        <f t="shared" si="3"/>
        <v>0</v>
      </c>
      <c r="F125" s="408" t="s">
        <v>2332</v>
      </c>
      <c r="G125" s="400"/>
      <c r="H125" s="375"/>
      <c r="I125" s="354"/>
    </row>
    <row r="126" spans="1:9" ht="44.25" outlineLevel="2">
      <c r="A126" s="392" t="s">
        <v>2333</v>
      </c>
      <c r="B126" s="393" t="s">
        <v>2334</v>
      </c>
      <c r="C126" s="394"/>
      <c r="D126" s="395">
        <v>6.0000000000000001E-3</v>
      </c>
      <c r="E126" s="396">
        <f t="shared" si="3"/>
        <v>0</v>
      </c>
      <c r="F126" s="397" t="s">
        <v>2335</v>
      </c>
      <c r="G126" s="433"/>
      <c r="H126" s="398"/>
      <c r="I126" s="354"/>
    </row>
    <row r="127" spans="1:9" ht="45.75" outlineLevel="2">
      <c r="A127" s="376" t="s">
        <v>2336</v>
      </c>
      <c r="B127" s="381" t="s">
        <v>2337</v>
      </c>
      <c r="C127" s="378"/>
      <c r="D127" s="379">
        <v>0.02</v>
      </c>
      <c r="E127" s="396">
        <f t="shared" si="3"/>
        <v>0</v>
      </c>
      <c r="F127" s="384" t="s">
        <v>2338</v>
      </c>
      <c r="G127" s="401"/>
      <c r="H127" s="382"/>
      <c r="I127" s="354"/>
    </row>
    <row r="128" spans="1:9" ht="67.900000000000006" customHeight="1" outlineLevel="2">
      <c r="A128" s="376" t="s">
        <v>2339</v>
      </c>
      <c r="B128" s="381" t="s">
        <v>2340</v>
      </c>
      <c r="C128" s="378"/>
      <c r="D128" s="379">
        <v>1.4999999999999999E-2</v>
      </c>
      <c r="E128" s="396">
        <f t="shared" si="3"/>
        <v>0</v>
      </c>
      <c r="F128" s="384" t="s">
        <v>2341</v>
      </c>
      <c r="G128" s="401"/>
      <c r="H128" s="382"/>
      <c r="I128" s="354"/>
    </row>
    <row r="129" spans="1:9" ht="72.599999999999994" customHeight="1" outlineLevel="2">
      <c r="A129" s="376" t="s">
        <v>2342</v>
      </c>
      <c r="B129" s="381" t="s">
        <v>2343</v>
      </c>
      <c r="C129" s="378"/>
      <c r="D129" s="379">
        <v>1.4999999999999999E-2</v>
      </c>
      <c r="E129" s="396">
        <f t="shared" si="3"/>
        <v>0</v>
      </c>
      <c r="F129" s="384" t="s">
        <v>2344</v>
      </c>
      <c r="G129" s="401"/>
      <c r="H129" s="382"/>
      <c r="I129" s="354"/>
    </row>
    <row r="130" spans="1:9" ht="60.75" outlineLevel="2" thickBot="1">
      <c r="A130" s="392" t="s">
        <v>2345</v>
      </c>
      <c r="B130" s="393" t="s">
        <v>2346</v>
      </c>
      <c r="C130" s="394"/>
      <c r="D130" s="395">
        <v>1.4999999999999999E-2</v>
      </c>
      <c r="E130" s="396">
        <f t="shared" si="3"/>
        <v>0</v>
      </c>
      <c r="F130" s="397" t="s">
        <v>2347</v>
      </c>
      <c r="G130" s="433"/>
      <c r="H130" s="398"/>
      <c r="I130" s="354"/>
    </row>
    <row r="131" spans="1:9" s="407" customFormat="1" ht="30" customHeight="1" outlineLevel="1" thickBot="1">
      <c r="A131" s="360" t="s">
        <v>2348</v>
      </c>
      <c r="B131" s="361" t="s">
        <v>2349</v>
      </c>
      <c r="C131" s="362">
        <f>SUMPRODUCT(C132:C137,D132:D137)/D131</f>
        <v>0</v>
      </c>
      <c r="D131" s="363">
        <f>SUM(D132:D137)</f>
        <v>0.11000000000000001</v>
      </c>
      <c r="E131" s="364">
        <f>SUM(E132:E137)</f>
        <v>0</v>
      </c>
      <c r="F131" s="361"/>
      <c r="G131" s="365"/>
      <c r="H131" s="366" t="s">
        <v>2350</v>
      </c>
      <c r="I131" s="406"/>
    </row>
    <row r="132" spans="1:9" ht="45" customHeight="1" outlineLevel="2">
      <c r="A132" s="369" t="s">
        <v>2051</v>
      </c>
      <c r="B132" s="370" t="s">
        <v>2351</v>
      </c>
      <c r="C132" s="371"/>
      <c r="D132" s="372">
        <v>0.01</v>
      </c>
      <c r="E132" s="373">
        <f t="shared" si="3"/>
        <v>0</v>
      </c>
      <c r="F132" s="408"/>
      <c r="G132" s="400" t="s">
        <v>2352</v>
      </c>
      <c r="H132" s="375"/>
      <c r="I132" s="354"/>
    </row>
    <row r="133" spans="1:9" ht="109.15" customHeight="1" outlineLevel="2">
      <c r="A133" s="376" t="s">
        <v>2353</v>
      </c>
      <c r="B133" s="377" t="s">
        <v>2354</v>
      </c>
      <c r="C133" s="378"/>
      <c r="D133" s="379">
        <v>0.02</v>
      </c>
      <c r="E133" s="380">
        <f t="shared" si="3"/>
        <v>0</v>
      </c>
      <c r="F133" s="384" t="s">
        <v>2355</v>
      </c>
      <c r="G133" s="401"/>
      <c r="H133" s="382" t="s">
        <v>2356</v>
      </c>
      <c r="I133" s="354"/>
    </row>
    <row r="134" spans="1:9" ht="223.15" customHeight="1" outlineLevel="2">
      <c r="A134" s="376" t="s">
        <v>2357</v>
      </c>
      <c r="B134" s="377" t="s">
        <v>2358</v>
      </c>
      <c r="C134" s="378"/>
      <c r="D134" s="379">
        <v>0.02</v>
      </c>
      <c r="E134" s="380">
        <f t="shared" si="3"/>
        <v>0</v>
      </c>
      <c r="F134" s="384" t="s">
        <v>2359</v>
      </c>
      <c r="G134" s="401"/>
      <c r="H134" s="382" t="s">
        <v>2360</v>
      </c>
      <c r="I134" s="354"/>
    </row>
    <row r="135" spans="1:9" ht="75" customHeight="1" outlineLevel="2">
      <c r="A135" s="376" t="s">
        <v>2361</v>
      </c>
      <c r="B135" s="377" t="s">
        <v>2362</v>
      </c>
      <c r="C135" s="378"/>
      <c r="D135" s="379">
        <v>0.02</v>
      </c>
      <c r="E135" s="380">
        <f t="shared" si="3"/>
        <v>0</v>
      </c>
      <c r="F135" s="384" t="s">
        <v>2363</v>
      </c>
      <c r="G135" s="401"/>
      <c r="H135" s="382"/>
      <c r="I135" s="354"/>
    </row>
    <row r="136" spans="1:9" ht="50.65" customHeight="1" outlineLevel="2">
      <c r="A136" s="392" t="s">
        <v>2364</v>
      </c>
      <c r="B136" s="432" t="s">
        <v>2365</v>
      </c>
      <c r="C136" s="394"/>
      <c r="D136" s="395">
        <v>0.02</v>
      </c>
      <c r="E136" s="396">
        <f t="shared" si="3"/>
        <v>0</v>
      </c>
      <c r="F136" s="397" t="s">
        <v>2366</v>
      </c>
      <c r="G136" s="433"/>
      <c r="H136" s="398"/>
      <c r="I136" s="354"/>
    </row>
    <row r="137" spans="1:9" ht="55.15" customHeight="1" outlineLevel="2" thickBot="1">
      <c r="A137" s="376" t="s">
        <v>2367</v>
      </c>
      <c r="B137" s="377" t="s">
        <v>2368</v>
      </c>
      <c r="C137" s="378"/>
      <c r="D137" s="379">
        <v>0.02</v>
      </c>
      <c r="E137" s="380">
        <f t="shared" si="3"/>
        <v>0</v>
      </c>
      <c r="F137" s="384" t="s">
        <v>2369</v>
      </c>
      <c r="G137" s="401"/>
      <c r="H137" s="382"/>
      <c r="I137" s="354"/>
    </row>
    <row r="138" spans="1:9" s="451" customFormat="1" ht="30" customHeight="1" thickBot="1">
      <c r="A138" s="443"/>
      <c r="B138" s="444" t="s">
        <v>2370</v>
      </c>
      <c r="C138" s="445"/>
      <c r="D138" s="446">
        <f>D50+D61+D72+D89+D105+D114+D131</f>
        <v>1.0000000000000002</v>
      </c>
      <c r="E138" s="447">
        <f>E50+E61+E72+E89+E105+E114+E131</f>
        <v>0</v>
      </c>
      <c r="F138" s="444"/>
      <c r="G138" s="448"/>
      <c r="H138" s="449"/>
      <c r="I138" s="450"/>
    </row>
  </sheetData>
  <mergeCells count="82">
    <mergeCell ref="B47:E47"/>
    <mergeCell ref="F47:H47"/>
    <mergeCell ref="B48:H48"/>
    <mergeCell ref="B44:E44"/>
    <mergeCell ref="F44:H44"/>
    <mergeCell ref="B45:E45"/>
    <mergeCell ref="F45:H45"/>
    <mergeCell ref="B46:E46"/>
    <mergeCell ref="F46:H46"/>
    <mergeCell ref="B43:H43"/>
    <mergeCell ref="B36:E36"/>
    <mergeCell ref="F36:H36"/>
    <mergeCell ref="B37:E37"/>
    <mergeCell ref="F37:H37"/>
    <mergeCell ref="B38:H38"/>
    <mergeCell ref="B39:E39"/>
    <mergeCell ref="F39:H39"/>
    <mergeCell ref="B40:E40"/>
    <mergeCell ref="F40:H40"/>
    <mergeCell ref="B41:E41"/>
    <mergeCell ref="B42:E42"/>
    <mergeCell ref="F42:H42"/>
    <mergeCell ref="B35:E35"/>
    <mergeCell ref="F35:H35"/>
    <mergeCell ref="B29:E29"/>
    <mergeCell ref="F29:H29"/>
    <mergeCell ref="B30:E30"/>
    <mergeCell ref="F30:H30"/>
    <mergeCell ref="B31:E31"/>
    <mergeCell ref="F31:H31"/>
    <mergeCell ref="B32:H32"/>
    <mergeCell ref="B33:E33"/>
    <mergeCell ref="F33:H33"/>
    <mergeCell ref="B34:E34"/>
    <mergeCell ref="F34:H34"/>
    <mergeCell ref="B28:E28"/>
    <mergeCell ref="F28:H28"/>
    <mergeCell ref="B22:E22"/>
    <mergeCell ref="F22:H22"/>
    <mergeCell ref="B23:E23"/>
    <mergeCell ref="F23:H23"/>
    <mergeCell ref="B24:E24"/>
    <mergeCell ref="F24:H24"/>
    <mergeCell ref="B25:H25"/>
    <mergeCell ref="B26:E26"/>
    <mergeCell ref="F26:H26"/>
    <mergeCell ref="B27:E27"/>
    <mergeCell ref="F27:H27"/>
    <mergeCell ref="B21:E21"/>
    <mergeCell ref="F21:H21"/>
    <mergeCell ref="B14:E14"/>
    <mergeCell ref="F14:H14"/>
    <mergeCell ref="B15:H15"/>
    <mergeCell ref="B16:E16"/>
    <mergeCell ref="F16:H16"/>
    <mergeCell ref="B17:E17"/>
    <mergeCell ref="F17:H17"/>
    <mergeCell ref="B18:E18"/>
    <mergeCell ref="F18:H18"/>
    <mergeCell ref="B19:E19"/>
    <mergeCell ref="F19:H19"/>
    <mergeCell ref="B20:H20"/>
    <mergeCell ref="B13:E13"/>
    <mergeCell ref="F13:H13"/>
    <mergeCell ref="B7:E7"/>
    <mergeCell ref="F7:H7"/>
    <mergeCell ref="B8:E8"/>
    <mergeCell ref="F8:H8"/>
    <mergeCell ref="B9:E9"/>
    <mergeCell ref="F9:H9"/>
    <mergeCell ref="B10:E10"/>
    <mergeCell ref="F10:H10"/>
    <mergeCell ref="B11:H11"/>
    <mergeCell ref="B12:E12"/>
    <mergeCell ref="F12:H12"/>
    <mergeCell ref="B6:E6"/>
    <mergeCell ref="F6:H6"/>
    <mergeCell ref="G1:H1"/>
    <mergeCell ref="C2:D2"/>
    <mergeCell ref="B4:E4"/>
    <mergeCell ref="F4:H4"/>
    <mergeCell ref="B5:H5"/>
  </mergeCells>
  <phoneticPr fontId="164" type="noConversion"/>
  <printOptions horizontalCentered="1"/>
  <pageMargins left="0.19685039370078741" right="0.19685039370078741" top="0.59055118110236227" bottom="0.47244094488188981" header="0" footer="0"/>
  <pageSetup paperSize="8" scale="45" fitToHeight="3" orientation="portrait" r:id="rId1"/>
  <headerFooter alignWithMargins="0">
    <oddHeader>&amp;L&amp;G&amp;C&amp;"Arial,粗體"&amp;14 2016&amp;"華康仿宋體W4,粗體"建造部工地管理作業查核表&amp;R&amp;"Lucida Sans Unicode,標準"&amp;10 13 June, 2016</oddHeader>
  </headerFooter>
  <rowBreaks count="1" manualBreakCount="1">
    <brk id="47" max="8" man="1"/>
  </rowBreaks>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D30A7-00ED-4261-8C77-B0A2B54197D3}">
  <sheetPr codeName="Sheet20">
    <tabColor rgb="FF009900"/>
  </sheetPr>
  <dimension ref="B5:AV99"/>
  <sheetViews>
    <sheetView topLeftCell="A4" zoomScale="55" zoomScaleNormal="55" workbookViewId="0">
      <selection activeCell="AJ16" sqref="AJ16"/>
    </sheetView>
  </sheetViews>
  <sheetFormatPr defaultColWidth="9.28515625" defaultRowHeight="15.75"/>
  <cols>
    <col min="1" max="1" width="9.28515625" style="48"/>
    <col min="2" max="2" width="9.85546875" style="48" bestFit="1" customWidth="1"/>
    <col min="3" max="6" width="9.28515625" style="48"/>
    <col min="7" max="7" width="3.7109375" style="48" customWidth="1"/>
    <col min="8" max="8" width="9" style="48" customWidth="1"/>
    <col min="9" max="11" width="9.28515625" style="48"/>
    <col min="12" max="12" width="3.7109375" style="48" customWidth="1"/>
    <col min="13" max="16" width="9.28515625" style="48"/>
    <col min="17" max="17" width="3.7109375" style="48" customWidth="1"/>
    <col min="18" max="21" width="9.28515625" style="48"/>
    <col min="22" max="22" width="3.7109375" style="48" customWidth="1"/>
    <col min="23" max="26" width="9.28515625" style="48"/>
    <col min="27" max="27" width="0" style="48" hidden="1" customWidth="1"/>
    <col min="28" max="38" width="9.28515625" style="48"/>
    <col min="39" max="39" width="3.7109375" style="48" customWidth="1"/>
    <col min="40" max="42" width="9.28515625" style="48"/>
    <col min="43" max="43" width="9.28515625" style="48" bestFit="1" customWidth="1"/>
    <col min="44" max="45" width="9.28515625" style="48" customWidth="1"/>
    <col min="46" max="46" width="9.28515625" style="48"/>
    <col min="47" max="47" width="3.7109375" style="48" customWidth="1"/>
    <col min="48" max="62" width="9.28515625" style="48"/>
    <col min="63" max="63" width="3.7109375" style="48" customWidth="1"/>
    <col min="64" max="64" width="9.28515625" style="48"/>
    <col min="65" max="65" width="9.28515625" style="48" customWidth="1"/>
    <col min="66" max="16384" width="9.28515625" style="48"/>
  </cols>
  <sheetData>
    <row r="5" spans="48:48">
      <c r="AV5" s="78" t="s">
        <v>4</v>
      </c>
    </row>
    <row r="6" spans="48:48">
      <c r="AV6" s="140" t="s">
        <v>5</v>
      </c>
    </row>
    <row r="7" spans="48:48">
      <c r="AV7" s="149" t="s">
        <v>6</v>
      </c>
    </row>
    <row r="8" spans="48:48">
      <c r="AV8" s="149" t="s">
        <v>7</v>
      </c>
    </row>
    <row r="9" spans="48:48">
      <c r="AV9" s="77" t="s">
        <v>8</v>
      </c>
    </row>
    <row r="10" spans="48:48">
      <c r="AV10" s="77" t="s">
        <v>9</v>
      </c>
    </row>
    <row r="11" spans="48:48">
      <c r="AV11" s="77" t="s">
        <v>10</v>
      </c>
    </row>
    <row r="12" spans="48:48">
      <c r="AV12" s="77" t="s">
        <v>11</v>
      </c>
    </row>
    <row r="13" spans="48:48">
      <c r="AV13" s="77" t="s">
        <v>12</v>
      </c>
    </row>
    <row r="14" spans="48:48">
      <c r="AV14" s="77" t="s">
        <v>13</v>
      </c>
    </row>
    <row r="15" spans="48:48">
      <c r="AV15" s="77" t="s">
        <v>14</v>
      </c>
    </row>
    <row r="16" spans="48:48">
      <c r="AV16" s="77" t="s">
        <v>15</v>
      </c>
    </row>
    <row r="17" spans="8:48">
      <c r="AV17" s="77" t="s">
        <v>16</v>
      </c>
    </row>
    <row r="18" spans="8:48">
      <c r="AV18" s="77" t="s">
        <v>17</v>
      </c>
    </row>
    <row r="19" spans="8:48">
      <c r="AV19" s="77" t="s">
        <v>18</v>
      </c>
    </row>
    <row r="20" spans="8:48">
      <c r="AV20" s="77"/>
    </row>
    <row r="21" spans="8:48">
      <c r="AV21" s="77"/>
    </row>
    <row r="22" spans="8:48">
      <c r="AV22" s="78" t="s">
        <v>19</v>
      </c>
    </row>
    <row r="23" spans="8:48">
      <c r="AV23" s="77" t="s">
        <v>20</v>
      </c>
    </row>
    <row r="24" spans="8:48">
      <c r="AV24" s="77" t="s">
        <v>21</v>
      </c>
    </row>
    <row r="25" spans="8:48">
      <c r="AV25" s="77" t="s">
        <v>22</v>
      </c>
    </row>
    <row r="26" spans="8:48">
      <c r="H26" s="1124"/>
      <c r="I26" s="1124"/>
      <c r="AV26" s="77" t="s">
        <v>23</v>
      </c>
    </row>
    <row r="27" spans="8:48">
      <c r="H27" s="1124"/>
      <c r="I27" s="1124"/>
      <c r="AV27" s="77" t="s">
        <v>24</v>
      </c>
    </row>
    <row r="28" spans="8:48">
      <c r="H28" s="1124"/>
      <c r="I28" s="1124"/>
      <c r="AV28" s="77"/>
    </row>
    <row r="29" spans="8:48">
      <c r="H29" s="1124"/>
      <c r="I29" s="1124"/>
      <c r="AV29" s="77"/>
    </row>
    <row r="56" spans="18:18">
      <c r="R56" s="48" t="s">
        <v>25</v>
      </c>
    </row>
    <row r="75" spans="2:2" ht="30">
      <c r="B75" s="770"/>
    </row>
    <row r="89" spans="42:42">
      <c r="AP89" s="813"/>
    </row>
    <row r="99" spans="33:33">
      <c r="AG99" s="48" t="s">
        <v>2494</v>
      </c>
    </row>
  </sheetData>
  <mergeCells count="1">
    <mergeCell ref="H26:I29"/>
  </mergeCells>
  <phoneticPr fontId="164" type="noConversion"/>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741D0-DE41-47FF-9EA8-5ACADEDD930B}">
  <sheetPr codeName="Sheet34">
    <tabColor theme="7" tint="0.59999389629810485"/>
  </sheetPr>
  <dimension ref="A24"/>
  <sheetViews>
    <sheetView tabSelected="1" view="pageBreakPreview" zoomScaleNormal="100" zoomScaleSheetLayoutView="100" workbookViewId="0">
      <selection activeCell="S24" sqref="S24"/>
    </sheetView>
  </sheetViews>
  <sheetFormatPr defaultColWidth="8.7109375" defaultRowHeight="15.75"/>
  <sheetData>
    <row r="24" ht="19.5" customHeight="1"/>
  </sheetData>
  <phoneticPr fontId="16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04381-6471-4D0A-B30F-25CCA74CE3DA}">
  <sheetPr codeName="Sheet63"/>
  <dimension ref="A2:O37"/>
  <sheetViews>
    <sheetView zoomScale="70" zoomScaleNormal="70" workbookViewId="0">
      <selection activeCell="M25" sqref="M25"/>
    </sheetView>
  </sheetViews>
  <sheetFormatPr defaultRowHeight="15.75"/>
  <cols>
    <col min="1" max="1" width="13.140625" bestFit="1" customWidth="1"/>
    <col min="2" max="2" width="14.28515625" bestFit="1" customWidth="1"/>
    <col min="3" max="3" width="15.28515625" bestFit="1" customWidth="1"/>
    <col min="4" max="4" width="14.7109375" bestFit="1" customWidth="1"/>
    <col min="6" max="6" width="13.42578125" customWidth="1"/>
    <col min="7" max="7" width="13.42578125" style="959" customWidth="1"/>
    <col min="8" max="8" width="14.5703125" customWidth="1"/>
    <col min="9" max="11" width="15.42578125" customWidth="1"/>
    <col min="12" max="12" width="18.5703125" customWidth="1"/>
    <col min="13" max="13" width="13.42578125" bestFit="1" customWidth="1"/>
    <col min="14" max="14" width="11.85546875" bestFit="1" customWidth="1"/>
    <col min="15" max="15" width="11.7109375" customWidth="1"/>
    <col min="16" max="16" width="8.7109375" customWidth="1"/>
  </cols>
  <sheetData>
    <row r="2" spans="1:15">
      <c r="F2" s="977"/>
      <c r="G2" s="957"/>
      <c r="H2" s="956"/>
      <c r="I2" s="956"/>
      <c r="J2" s="956"/>
      <c r="K2" s="956"/>
    </row>
    <row r="3" spans="1:15">
      <c r="A3" s="75" t="s">
        <v>53</v>
      </c>
      <c r="B3" t="s">
        <v>4429</v>
      </c>
      <c r="C3" t="s">
        <v>4430</v>
      </c>
      <c r="D3" t="s">
        <v>4434</v>
      </c>
      <c r="F3" s="33" t="s">
        <v>2957</v>
      </c>
      <c r="G3" s="958" t="s">
        <v>4431</v>
      </c>
      <c r="H3" s="33" t="s">
        <v>4425</v>
      </c>
      <c r="I3" s="33" t="s">
        <v>4426</v>
      </c>
      <c r="J3" s="33" t="s">
        <v>4433</v>
      </c>
      <c r="K3" s="33" t="s">
        <v>4435</v>
      </c>
      <c r="M3" t="s">
        <v>4612</v>
      </c>
      <c r="N3" t="s">
        <v>4613</v>
      </c>
      <c r="O3" t="s">
        <v>4614</v>
      </c>
    </row>
    <row r="4" spans="1:15">
      <c r="A4" s="954">
        <v>45352</v>
      </c>
      <c r="B4">
        <v>3</v>
      </c>
      <c r="C4">
        <v>3</v>
      </c>
      <c r="D4">
        <v>3</v>
      </c>
      <c r="E4" s="33"/>
      <c r="F4" s="955">
        <f>A4</f>
        <v>45352</v>
      </c>
      <c r="G4" s="958" t="str">
        <f>TEXT(F4,"mmm yyyy")</f>
        <v>Mar 2024</v>
      </c>
      <c r="H4" s="33">
        <f>IF(B4=0,NA(),SUM($B$4:B4))</f>
        <v>3</v>
      </c>
      <c r="I4" s="33">
        <f>IF(C4=0,NA(),SUM($C$4:C4))</f>
        <v>3</v>
      </c>
      <c r="J4" s="33">
        <f>IF(D4=0,NA(),SUM($D$4:D4))</f>
        <v>3</v>
      </c>
      <c r="K4" s="33" t="e">
        <v>#N/A</v>
      </c>
      <c r="M4" t="e">
        <f ca="1">IF(
    AND(YEAR($F4)=YEAR(TODAY()), MONTH($F4)=MONTH(TODAY())),
    _xlfn.AGGREGATE(14,6,$H$4:$J$35,1),
    NA()
)</f>
        <v>#N/A</v>
      </c>
      <c r="N4" t="e">
        <f ca="1">IF(
    AND(YEAR($F4)=YEAR(TODAY()), MONTH($F4)=MONTH(TODAY())),
    0,
    NA()
)</f>
        <v>#N/A</v>
      </c>
      <c r="O4" t="str">
        <f ca="1">IF(
    AND(YEAR($F4)=YEAR(TODAY()), MONTH($F4)=MONTH(TODAY())),
    "Today",
    ""
)</f>
        <v/>
      </c>
    </row>
    <row r="5" spans="1:15">
      <c r="A5" s="954">
        <v>45383</v>
      </c>
      <c r="B5">
        <v>7</v>
      </c>
      <c r="C5">
        <v>7</v>
      </c>
      <c r="D5">
        <v>7</v>
      </c>
      <c r="E5" s="33"/>
      <c r="F5" s="955">
        <f t="shared" ref="F5:F27" si="0">A5</f>
        <v>45383</v>
      </c>
      <c r="G5" s="958" t="str">
        <f t="shared" ref="G5:G27" si="1">TEXT(F5,"mmm yyyy")</f>
        <v>Apr 2024</v>
      </c>
      <c r="H5" s="33">
        <f>IF(B5=0,NA(),SUM($B$4:B5))</f>
        <v>10</v>
      </c>
      <c r="I5" s="33">
        <f>IF(C5=0,NA(),SUM($C$4:C5))</f>
        <v>10</v>
      </c>
      <c r="J5" s="33">
        <f>IF(D5=0,NA(),SUM($D$4:D5))</f>
        <v>10</v>
      </c>
      <c r="K5" s="33" t="e">
        <v>#N/A</v>
      </c>
      <c r="M5" t="e">
        <f t="shared" ref="M5:M34" ca="1" si="2">IF(
    AND(YEAR($F5)=YEAR(TODAY()), MONTH($F5)=MONTH(TODAY())),
    _xlfn.AGGREGATE(14,6,$H$4:$J$35,1),
    NA()
)</f>
        <v>#N/A</v>
      </c>
      <c r="N5" t="e">
        <f t="shared" ref="N5:N34" ca="1" si="3">IF(
    AND(YEAR($F5)=YEAR(TODAY()), MONTH($F5)=MONTH(TODAY())),
    0,
    NA()
)</f>
        <v>#N/A</v>
      </c>
      <c r="O5" t="str">
        <f t="shared" ref="O5:O34" ca="1" si="4">IF(
    AND(YEAR($F5)=YEAR(TODAY()), MONTH($F5)=MONTH(TODAY())),
    "Today",
    ""
)</f>
        <v/>
      </c>
    </row>
    <row r="6" spans="1:15">
      <c r="A6" s="954">
        <v>45413</v>
      </c>
      <c r="B6">
        <v>15</v>
      </c>
      <c r="C6">
        <v>15</v>
      </c>
      <c r="D6">
        <v>15</v>
      </c>
      <c r="E6" s="33"/>
      <c r="F6" s="955">
        <f t="shared" si="0"/>
        <v>45413</v>
      </c>
      <c r="G6" s="958" t="str">
        <f t="shared" si="1"/>
        <v>May 2024</v>
      </c>
      <c r="H6" s="33">
        <f>IF(B6=0,NA(),SUM($B$4:B6))</f>
        <v>25</v>
      </c>
      <c r="I6" s="33">
        <f>IF(C6=0,NA(),SUM($C$4:C6))</f>
        <v>25</v>
      </c>
      <c r="J6" s="33">
        <f>IF(D6=0,NA(),SUM($D$4:D6))</f>
        <v>25</v>
      </c>
      <c r="K6" s="33" t="e">
        <v>#N/A</v>
      </c>
      <c r="M6" t="e">
        <f t="shared" ca="1" si="2"/>
        <v>#N/A</v>
      </c>
      <c r="N6" t="e">
        <f t="shared" ca="1" si="3"/>
        <v>#N/A</v>
      </c>
      <c r="O6" t="str">
        <f t="shared" ca="1" si="4"/>
        <v/>
      </c>
    </row>
    <row r="7" spans="1:15">
      <c r="A7" s="954">
        <v>45444</v>
      </c>
      <c r="B7">
        <v>14</v>
      </c>
      <c r="C7">
        <v>14</v>
      </c>
      <c r="D7">
        <v>14</v>
      </c>
      <c r="E7" s="33"/>
      <c r="F7" s="955">
        <f t="shared" si="0"/>
        <v>45444</v>
      </c>
      <c r="G7" s="958" t="str">
        <f t="shared" si="1"/>
        <v>Jun 2024</v>
      </c>
      <c r="H7" s="33">
        <f>IF(B7=0,NA(),SUM($B$4:B7))</f>
        <v>39</v>
      </c>
      <c r="I7" s="33">
        <f>IF(C7=0,NA(),SUM($C$4:C7))</f>
        <v>39</v>
      </c>
      <c r="J7" s="33">
        <f>IF(D7=0,NA(),SUM($D$4:D7))</f>
        <v>39</v>
      </c>
      <c r="K7" s="33" t="e">
        <v>#N/A</v>
      </c>
      <c r="M7" t="e">
        <f t="shared" ca="1" si="2"/>
        <v>#N/A</v>
      </c>
      <c r="N7" t="e">
        <f t="shared" ca="1" si="3"/>
        <v>#N/A</v>
      </c>
      <c r="O7" t="str">
        <f t="shared" ca="1" si="4"/>
        <v/>
      </c>
    </row>
    <row r="8" spans="1:15">
      <c r="A8" s="954">
        <v>45474</v>
      </c>
      <c r="B8">
        <v>1</v>
      </c>
      <c r="C8">
        <v>1</v>
      </c>
      <c r="D8">
        <v>1</v>
      </c>
      <c r="E8" s="33"/>
      <c r="F8" s="955">
        <f t="shared" si="0"/>
        <v>45474</v>
      </c>
      <c r="G8" s="958" t="str">
        <f t="shared" si="1"/>
        <v>Jul 2024</v>
      </c>
      <c r="H8" s="33">
        <f>IF(B8=0,NA(),SUM($B$4:B8))</f>
        <v>40</v>
      </c>
      <c r="I8" s="33">
        <f>IF(C8=0,NA(),SUM($C$4:C8))</f>
        <v>40</v>
      </c>
      <c r="J8" s="33">
        <f>IF(D8=0,NA(),SUM($D$4:D8))</f>
        <v>40</v>
      </c>
      <c r="K8" s="33" t="e">
        <v>#N/A</v>
      </c>
      <c r="M8" t="e">
        <f t="shared" ca="1" si="2"/>
        <v>#N/A</v>
      </c>
      <c r="N8" t="e">
        <f t="shared" ca="1" si="3"/>
        <v>#N/A</v>
      </c>
      <c r="O8" t="str">
        <f t="shared" ca="1" si="4"/>
        <v/>
      </c>
    </row>
    <row r="9" spans="1:15">
      <c r="A9" s="954">
        <v>45505</v>
      </c>
      <c r="B9">
        <v>5</v>
      </c>
      <c r="C9">
        <v>5</v>
      </c>
      <c r="D9">
        <v>5</v>
      </c>
      <c r="E9" s="33"/>
      <c r="F9" s="955">
        <f t="shared" si="0"/>
        <v>45505</v>
      </c>
      <c r="G9" s="958" t="str">
        <f t="shared" si="1"/>
        <v>Aug 2024</v>
      </c>
      <c r="H9" s="33">
        <f>IF(B9=0,NA(),SUM($B$4:B9))</f>
        <v>45</v>
      </c>
      <c r="I9" s="33">
        <f>IF(C9=0,NA(),SUM($C$4:C9))</f>
        <v>45</v>
      </c>
      <c r="J9" s="33">
        <f>IF(D9=0,NA(),SUM($D$4:D9))</f>
        <v>45</v>
      </c>
      <c r="K9" s="33" t="e">
        <v>#N/A</v>
      </c>
      <c r="M9" t="e">
        <f t="shared" ca="1" si="2"/>
        <v>#N/A</v>
      </c>
      <c r="N9" t="e">
        <f t="shared" ca="1" si="3"/>
        <v>#N/A</v>
      </c>
      <c r="O9" t="str">
        <f t="shared" ca="1" si="4"/>
        <v/>
      </c>
    </row>
    <row r="10" spans="1:15" ht="15.6" customHeight="1">
      <c r="A10" s="954">
        <v>45536</v>
      </c>
      <c r="B10">
        <v>23</v>
      </c>
      <c r="C10">
        <v>23</v>
      </c>
      <c r="D10">
        <v>23</v>
      </c>
      <c r="E10" s="33"/>
      <c r="F10" s="955">
        <f t="shared" si="0"/>
        <v>45536</v>
      </c>
      <c r="G10" s="958" t="str">
        <f t="shared" si="1"/>
        <v>Sep 2024</v>
      </c>
      <c r="H10" s="33">
        <f>IF(B10=0,NA(),SUM($B$4:B10))</f>
        <v>68</v>
      </c>
      <c r="I10" s="33">
        <f>IF(C10=0,NA(),SUM($C$4:C10))</f>
        <v>68</v>
      </c>
      <c r="J10" s="33">
        <f>IF(D10=0,NA(),SUM($D$4:D10))</f>
        <v>68</v>
      </c>
      <c r="K10" s="33" t="e">
        <v>#N/A</v>
      </c>
      <c r="M10" t="e">
        <f t="shared" ca="1" si="2"/>
        <v>#N/A</v>
      </c>
      <c r="N10" t="e">
        <f t="shared" ca="1" si="3"/>
        <v>#N/A</v>
      </c>
      <c r="O10" t="str">
        <f t="shared" ca="1" si="4"/>
        <v/>
      </c>
    </row>
    <row r="11" spans="1:15">
      <c r="A11" s="954">
        <v>45566</v>
      </c>
      <c r="B11">
        <v>6</v>
      </c>
      <c r="C11">
        <v>6</v>
      </c>
      <c r="D11">
        <v>6</v>
      </c>
      <c r="E11" s="33"/>
      <c r="F11" s="955">
        <f t="shared" si="0"/>
        <v>45566</v>
      </c>
      <c r="G11" s="958" t="str">
        <f t="shared" si="1"/>
        <v>Oct 2024</v>
      </c>
      <c r="H11" s="33">
        <f>IF(B11=0,NA(),SUM($B$4:B11))</f>
        <v>74</v>
      </c>
      <c r="I11" s="33">
        <f>IF(C11=0,NA(),SUM($C$4:C11))</f>
        <v>74</v>
      </c>
      <c r="J11" s="33">
        <f>IF(D11=0,NA(),SUM($D$4:D11))</f>
        <v>74</v>
      </c>
      <c r="K11" s="33">
        <v>80</v>
      </c>
      <c r="M11" t="e">
        <f t="shared" ca="1" si="2"/>
        <v>#N/A</v>
      </c>
      <c r="N11" t="e">
        <f t="shared" ca="1" si="3"/>
        <v>#N/A</v>
      </c>
      <c r="O11" t="str">
        <f t="shared" ca="1" si="4"/>
        <v/>
      </c>
    </row>
    <row r="12" spans="1:15">
      <c r="A12" s="954">
        <v>45597</v>
      </c>
      <c r="B12">
        <v>4</v>
      </c>
      <c r="C12">
        <v>4</v>
      </c>
      <c r="D12">
        <v>4</v>
      </c>
      <c r="E12" s="33"/>
      <c r="F12" s="955">
        <f t="shared" si="0"/>
        <v>45597</v>
      </c>
      <c r="G12" s="958" t="str">
        <f t="shared" si="1"/>
        <v>Nov 2024</v>
      </c>
      <c r="H12" s="33">
        <f>IF(B12=0,NA(),SUM($B$4:B12))</f>
        <v>78</v>
      </c>
      <c r="I12" s="33">
        <f>IF(C12=0,NA(),SUM($C$4:C12))</f>
        <v>78</v>
      </c>
      <c r="J12" s="33">
        <f>IF(D12=0,NA(),SUM($D$4:D12))</f>
        <v>78</v>
      </c>
      <c r="K12" s="33">
        <v>80</v>
      </c>
      <c r="M12" t="e">
        <f t="shared" ca="1" si="2"/>
        <v>#N/A</v>
      </c>
      <c r="N12" t="e">
        <f t="shared" ca="1" si="3"/>
        <v>#N/A</v>
      </c>
      <c r="O12" t="str">
        <f t="shared" ca="1" si="4"/>
        <v/>
      </c>
    </row>
    <row r="13" spans="1:15">
      <c r="A13" s="954">
        <v>45658</v>
      </c>
      <c r="E13" s="33"/>
      <c r="F13" s="955">
        <f t="shared" si="0"/>
        <v>45658</v>
      </c>
      <c r="G13" s="958" t="str">
        <f t="shared" si="1"/>
        <v>Jan 2025</v>
      </c>
      <c r="H13" s="33" t="e">
        <f>IF(B13=0,NA(),SUM($B$4:B13))</f>
        <v>#N/A</v>
      </c>
      <c r="I13" s="33" t="e">
        <f>IF(C13=0,NA(),SUM($C$4:C13))</f>
        <v>#N/A</v>
      </c>
      <c r="J13" s="33" t="e">
        <f>IF(D13=0,NA(),SUM($D$4:D13))</f>
        <v>#N/A</v>
      </c>
      <c r="K13" s="33">
        <v>80</v>
      </c>
      <c r="M13" t="e">
        <f t="shared" ca="1" si="2"/>
        <v>#N/A</v>
      </c>
      <c r="N13" t="e">
        <f t="shared" ca="1" si="3"/>
        <v>#N/A</v>
      </c>
      <c r="O13" t="str">
        <f t="shared" ca="1" si="4"/>
        <v/>
      </c>
    </row>
    <row r="14" spans="1:15">
      <c r="A14" s="954">
        <v>45689</v>
      </c>
      <c r="B14">
        <v>1</v>
      </c>
      <c r="C14">
        <v>1</v>
      </c>
      <c r="D14">
        <v>1</v>
      </c>
      <c r="E14" s="33"/>
      <c r="F14" s="955">
        <f t="shared" si="0"/>
        <v>45689</v>
      </c>
      <c r="G14" s="958" t="str">
        <f t="shared" si="1"/>
        <v>Feb 2025</v>
      </c>
      <c r="H14" s="33">
        <f>IF(B14=0,NA(),SUM($B$4:B14))</f>
        <v>79</v>
      </c>
      <c r="I14" s="33">
        <f>IF(C14=0,NA(),SUM($C$4:C14))</f>
        <v>79</v>
      </c>
      <c r="J14" s="33">
        <f>IF(D14=0,NA(),SUM($D$4:D14))</f>
        <v>79</v>
      </c>
      <c r="K14" s="33" t="e">
        <v>#N/A</v>
      </c>
      <c r="M14" t="e">
        <f t="shared" ca="1" si="2"/>
        <v>#N/A</v>
      </c>
      <c r="N14" t="e">
        <f t="shared" ca="1" si="3"/>
        <v>#N/A</v>
      </c>
      <c r="O14" t="str">
        <f t="shared" ca="1" si="4"/>
        <v/>
      </c>
    </row>
    <row r="15" spans="1:15">
      <c r="A15" s="954">
        <v>45717</v>
      </c>
      <c r="B15">
        <v>10</v>
      </c>
      <c r="C15">
        <v>10</v>
      </c>
      <c r="D15">
        <v>9</v>
      </c>
      <c r="E15" s="33"/>
      <c r="F15" s="955">
        <f t="shared" si="0"/>
        <v>45717</v>
      </c>
      <c r="G15" s="958" t="str">
        <f t="shared" si="1"/>
        <v>Mar 2025</v>
      </c>
      <c r="H15" s="33">
        <f>IF(B15=0,NA(),SUM($B$4:B15))</f>
        <v>89</v>
      </c>
      <c r="I15" s="33">
        <f>IF(C15=0,NA(),SUM($C$4:C15))</f>
        <v>89</v>
      </c>
      <c r="J15" s="33">
        <f>IF(D15=0,NA(),SUM($D$4:D15))</f>
        <v>88</v>
      </c>
      <c r="K15" s="33" t="e">
        <v>#N/A</v>
      </c>
      <c r="M15" t="e">
        <f t="shared" ca="1" si="2"/>
        <v>#N/A</v>
      </c>
      <c r="N15" t="e">
        <f t="shared" ca="1" si="3"/>
        <v>#N/A</v>
      </c>
      <c r="O15" t="str">
        <f t="shared" ca="1" si="4"/>
        <v/>
      </c>
    </row>
    <row r="16" spans="1:15">
      <c r="A16" s="954">
        <v>45748</v>
      </c>
      <c r="B16">
        <v>26</v>
      </c>
      <c r="C16">
        <v>26</v>
      </c>
      <c r="D16">
        <v>10</v>
      </c>
      <c r="E16" s="33"/>
      <c r="F16" s="955">
        <f t="shared" si="0"/>
        <v>45748</v>
      </c>
      <c r="G16" s="958" t="str">
        <f t="shared" si="1"/>
        <v>Apr 2025</v>
      </c>
      <c r="H16" s="33">
        <f>IF(B16=0,NA(),SUM($B$4:B16))</f>
        <v>115</v>
      </c>
      <c r="I16" s="33">
        <f>IF(C16=0,NA(),SUM($C$4:C16))</f>
        <v>115</v>
      </c>
      <c r="J16" s="33">
        <f>IF(D16=0,NA(),SUM($D$4:D16))</f>
        <v>98</v>
      </c>
      <c r="K16" s="33" t="e">
        <v>#N/A</v>
      </c>
      <c r="M16" t="e">
        <f t="shared" ca="1" si="2"/>
        <v>#N/A</v>
      </c>
      <c r="N16" t="e">
        <f t="shared" ca="1" si="3"/>
        <v>#N/A</v>
      </c>
      <c r="O16" t="str">
        <f t="shared" ca="1" si="4"/>
        <v/>
      </c>
    </row>
    <row r="17" spans="1:15">
      <c r="A17" s="954">
        <v>45778</v>
      </c>
      <c r="B17">
        <v>44</v>
      </c>
      <c r="C17">
        <v>44</v>
      </c>
      <c r="D17">
        <v>16</v>
      </c>
      <c r="E17" s="33"/>
      <c r="F17" s="955">
        <f t="shared" si="0"/>
        <v>45778</v>
      </c>
      <c r="G17" s="958" t="str">
        <f t="shared" si="1"/>
        <v>May 2025</v>
      </c>
      <c r="H17" s="33">
        <f>IF(B17=0,NA(),SUM($B$4:B17))</f>
        <v>159</v>
      </c>
      <c r="I17" s="33">
        <f>IF(C17=0,NA(),SUM($C$4:C17))</f>
        <v>159</v>
      </c>
      <c r="J17" s="33">
        <f>IF(D17=0,NA(),SUM($D$4:D17))</f>
        <v>114</v>
      </c>
      <c r="K17" s="33" t="e">
        <v>#N/A</v>
      </c>
      <c r="M17" t="e">
        <f t="shared" ca="1" si="2"/>
        <v>#N/A</v>
      </c>
      <c r="N17" t="e">
        <f t="shared" ca="1" si="3"/>
        <v>#N/A</v>
      </c>
      <c r="O17" t="str">
        <f t="shared" ca="1" si="4"/>
        <v/>
      </c>
    </row>
    <row r="18" spans="1:15">
      <c r="A18" s="954">
        <v>45809</v>
      </c>
      <c r="B18">
        <v>54</v>
      </c>
      <c r="C18">
        <v>54</v>
      </c>
      <c r="D18">
        <v>14</v>
      </c>
      <c r="E18" s="33"/>
      <c r="F18" s="955">
        <f t="shared" si="0"/>
        <v>45809</v>
      </c>
      <c r="G18" s="958" t="str">
        <f t="shared" si="1"/>
        <v>Jun 2025</v>
      </c>
      <c r="H18" s="33">
        <f>IF(B18=0,NA(),SUM($B$4:B18))</f>
        <v>213</v>
      </c>
      <c r="I18" s="33">
        <f>IF(C18=0,NA(),SUM($C$4:C18))</f>
        <v>213</v>
      </c>
      <c r="J18" s="33">
        <f>IF(D18=0,NA(),SUM($D$4:D18))</f>
        <v>128</v>
      </c>
      <c r="K18" s="33" t="e">
        <v>#N/A</v>
      </c>
      <c r="M18" t="e">
        <f t="shared" ca="1" si="2"/>
        <v>#N/A</v>
      </c>
      <c r="N18" t="e">
        <f t="shared" ca="1" si="3"/>
        <v>#N/A</v>
      </c>
      <c r="O18" t="str">
        <f t="shared" ca="1" si="4"/>
        <v/>
      </c>
    </row>
    <row r="19" spans="1:15">
      <c r="A19" s="954">
        <v>45839</v>
      </c>
      <c r="B19">
        <v>50</v>
      </c>
      <c r="C19">
        <v>50</v>
      </c>
      <c r="D19">
        <v>14</v>
      </c>
      <c r="F19" s="955">
        <f>A19</f>
        <v>45839</v>
      </c>
      <c r="G19" s="958" t="str">
        <f t="shared" si="1"/>
        <v>Jul 2025</v>
      </c>
      <c r="H19" s="33">
        <f>IF(B19=0,NA(),SUM($B$4:B19))</f>
        <v>263</v>
      </c>
      <c r="I19" s="33">
        <f>IF(C19=0,NA(),SUM($C$4:C19))</f>
        <v>263</v>
      </c>
      <c r="J19" s="33">
        <f>IF(D19=0,NA(),SUM($D$4:D19))</f>
        <v>142</v>
      </c>
      <c r="K19" s="33" t="e">
        <v>#N/A</v>
      </c>
      <c r="M19" t="e">
        <f t="shared" ca="1" si="2"/>
        <v>#N/A</v>
      </c>
      <c r="N19" t="e">
        <f t="shared" ca="1" si="3"/>
        <v>#N/A</v>
      </c>
      <c r="O19" t="str">
        <f t="shared" ca="1" si="4"/>
        <v/>
      </c>
    </row>
    <row r="20" spans="1:15">
      <c r="A20" s="954">
        <v>45870</v>
      </c>
      <c r="B20">
        <v>40</v>
      </c>
      <c r="C20">
        <v>40</v>
      </c>
      <c r="D20">
        <v>10</v>
      </c>
      <c r="F20" s="955">
        <f t="shared" si="0"/>
        <v>45870</v>
      </c>
      <c r="G20" s="958" t="str">
        <f t="shared" si="1"/>
        <v>Aug 2025</v>
      </c>
      <c r="H20" s="33">
        <f>IF(B20=0,NA(),SUM($B$4:B20))</f>
        <v>303</v>
      </c>
      <c r="I20" s="33">
        <f>IF(C20=0,NA(),SUM($C$4:C20))</f>
        <v>303</v>
      </c>
      <c r="J20" s="33">
        <f>IF(D20=0,NA(),SUM($D$4:D20))</f>
        <v>152</v>
      </c>
      <c r="K20" s="33" t="e">
        <v>#N/A</v>
      </c>
      <c r="M20" t="e">
        <f t="shared" ca="1" si="2"/>
        <v>#N/A</v>
      </c>
      <c r="N20" t="e">
        <f t="shared" ca="1" si="3"/>
        <v>#N/A</v>
      </c>
      <c r="O20" t="str">
        <f t="shared" ca="1" si="4"/>
        <v/>
      </c>
    </row>
    <row r="21" spans="1:15">
      <c r="A21" s="954">
        <v>45901</v>
      </c>
      <c r="B21">
        <v>33</v>
      </c>
      <c r="C21">
        <v>33</v>
      </c>
      <c r="F21" s="955">
        <f t="shared" si="0"/>
        <v>45901</v>
      </c>
      <c r="G21" s="958" t="s">
        <v>4432</v>
      </c>
      <c r="H21" s="33">
        <f>IF(B21=0,NA(),SUM($B$4:B21))</f>
        <v>336</v>
      </c>
      <c r="I21" s="33">
        <f>IF(C21=0,NA(),SUM($C$4:C21))</f>
        <v>336</v>
      </c>
      <c r="J21" s="33" t="e">
        <f>IF(D21=0,NA(),SUM($D$4:D21))</f>
        <v>#N/A</v>
      </c>
      <c r="K21" s="33" t="e">
        <v>#N/A</v>
      </c>
      <c r="M21" t="e">
        <f t="shared" ca="1" si="2"/>
        <v>#N/A</v>
      </c>
      <c r="N21" t="e">
        <f t="shared" ca="1" si="3"/>
        <v>#N/A</v>
      </c>
      <c r="O21" t="str">
        <f t="shared" ca="1" si="4"/>
        <v/>
      </c>
    </row>
    <row r="22" spans="1:15">
      <c r="A22" s="954">
        <v>45931</v>
      </c>
      <c r="B22">
        <v>21</v>
      </c>
      <c r="C22">
        <v>21</v>
      </c>
      <c r="F22" s="955">
        <f t="shared" si="0"/>
        <v>45931</v>
      </c>
      <c r="G22" s="958" t="str">
        <f t="shared" si="1"/>
        <v>Oct 2025</v>
      </c>
      <c r="H22" s="33">
        <f>IF(B22=0,NA(),SUM($B$4:B22))</f>
        <v>357</v>
      </c>
      <c r="I22" s="33">
        <f>IF(C22=0,NA(),SUM($C$4:C22))</f>
        <v>357</v>
      </c>
      <c r="J22" s="33" t="e">
        <f>IF(D22=0,NA(),SUM($D$4:D22))</f>
        <v>#N/A</v>
      </c>
      <c r="K22" s="33">
        <v>80</v>
      </c>
      <c r="M22" t="e">
        <f t="shared" ca="1" si="2"/>
        <v>#N/A</v>
      </c>
      <c r="N22" t="e">
        <f t="shared" ca="1" si="3"/>
        <v>#N/A</v>
      </c>
      <c r="O22" t="str">
        <f t="shared" ca="1" si="4"/>
        <v/>
      </c>
    </row>
    <row r="23" spans="1:15">
      <c r="A23" s="954">
        <v>45962</v>
      </c>
      <c r="B23">
        <v>2</v>
      </c>
      <c r="F23" s="955">
        <f t="shared" si="0"/>
        <v>45962</v>
      </c>
      <c r="G23" s="958" t="str">
        <f t="shared" si="1"/>
        <v>Nov 2025</v>
      </c>
      <c r="H23" s="33">
        <f>IF(B23=0,NA(),SUM($B$4:B23))</f>
        <v>359</v>
      </c>
      <c r="I23" s="33" t="e">
        <f>IF(C23=0,NA(),SUM($C$4:C23))</f>
        <v>#N/A</v>
      </c>
      <c r="J23" s="33" t="e">
        <f>IF(D23=0,NA(),SUM($D$4:D23))</f>
        <v>#N/A</v>
      </c>
      <c r="K23" s="33">
        <v>80</v>
      </c>
      <c r="M23" t="e">
        <f t="shared" ca="1" si="2"/>
        <v>#N/A</v>
      </c>
      <c r="N23" t="e">
        <f t="shared" ca="1" si="3"/>
        <v>#N/A</v>
      </c>
      <c r="O23" t="str">
        <f t="shared" ca="1" si="4"/>
        <v/>
      </c>
    </row>
    <row r="24" spans="1:15">
      <c r="A24" s="954">
        <v>45992</v>
      </c>
      <c r="B24">
        <v>21</v>
      </c>
      <c r="C24">
        <v>0</v>
      </c>
      <c r="F24" s="955">
        <f t="shared" si="0"/>
        <v>45992</v>
      </c>
      <c r="G24" s="958" t="str">
        <f t="shared" si="1"/>
        <v>Dec 2025</v>
      </c>
      <c r="H24" s="33">
        <f>IF(B24=0,NA(),SUM($B$4:B24))</f>
        <v>380</v>
      </c>
      <c r="I24" s="33" t="e">
        <f>IF(C24=0,NA(),SUM($C$4:C24))</f>
        <v>#N/A</v>
      </c>
      <c r="J24" s="33" t="e">
        <f>IF(D24=0,NA(),SUM($D$4:D24))</f>
        <v>#N/A</v>
      </c>
      <c r="K24" s="33">
        <v>80</v>
      </c>
      <c r="M24" t="e">
        <f t="shared" ca="1" si="2"/>
        <v>#N/A</v>
      </c>
      <c r="N24" t="e">
        <f t="shared" ca="1" si="3"/>
        <v>#N/A</v>
      </c>
      <c r="O24" t="str">
        <f t="shared" ca="1" si="4"/>
        <v/>
      </c>
    </row>
    <row r="25" spans="1:15">
      <c r="A25" s="954">
        <v>46023</v>
      </c>
      <c r="B25">
        <v>7</v>
      </c>
      <c r="F25" s="955">
        <f t="shared" si="0"/>
        <v>46023</v>
      </c>
      <c r="G25" s="958" t="str">
        <f t="shared" si="1"/>
        <v>Jan 2026</v>
      </c>
      <c r="H25" s="33">
        <f>IF(B25=0,NA(),SUM($B$4:B25))</f>
        <v>387</v>
      </c>
      <c r="I25" s="33" t="e">
        <f>IF(C25=0,NA(),SUM($C$4:C25))</f>
        <v>#N/A</v>
      </c>
      <c r="J25" s="33" t="e">
        <f>IF(D25=0,NA(),SUM($D$4:D25))</f>
        <v>#N/A</v>
      </c>
      <c r="K25" s="33" t="e">
        <v>#N/A</v>
      </c>
      <c r="M25">
        <f t="shared" ca="1" si="2"/>
        <v>546</v>
      </c>
      <c r="N25">
        <f t="shared" ca="1" si="3"/>
        <v>0</v>
      </c>
      <c r="O25" t="str">
        <f t="shared" ca="1" si="4"/>
        <v>Today</v>
      </c>
    </row>
    <row r="26" spans="1:15">
      <c r="A26" s="954">
        <v>46054</v>
      </c>
      <c r="B26">
        <v>13</v>
      </c>
      <c r="C26">
        <v>0</v>
      </c>
      <c r="F26" s="955">
        <f t="shared" si="0"/>
        <v>46054</v>
      </c>
      <c r="G26" s="958" t="str">
        <f t="shared" si="1"/>
        <v>Feb 2026</v>
      </c>
      <c r="H26" s="33">
        <f>IF(B26=0,NA(),SUM($B$4:B26))</f>
        <v>400</v>
      </c>
      <c r="I26" s="33" t="e">
        <f>IF(C26=0,NA(),SUM($C$4:C26))</f>
        <v>#N/A</v>
      </c>
      <c r="J26" s="33" t="e">
        <f>IF(D26=0,NA(),SUM($D$4:D26))</f>
        <v>#N/A</v>
      </c>
      <c r="K26" s="33" t="e">
        <v>#N/A</v>
      </c>
      <c r="M26" t="e">
        <f t="shared" ca="1" si="2"/>
        <v>#N/A</v>
      </c>
      <c r="N26" t="e">
        <f t="shared" ca="1" si="3"/>
        <v>#N/A</v>
      </c>
      <c r="O26" t="str">
        <f t="shared" ca="1" si="4"/>
        <v/>
      </c>
    </row>
    <row r="27" spans="1:15">
      <c r="A27" s="954">
        <v>46082</v>
      </c>
      <c r="B27">
        <v>32</v>
      </c>
      <c r="C27">
        <v>0</v>
      </c>
      <c r="F27" s="955">
        <f t="shared" si="0"/>
        <v>46082</v>
      </c>
      <c r="G27" s="958" t="str">
        <f t="shared" si="1"/>
        <v>Mar 2026</v>
      </c>
      <c r="H27" s="33">
        <f>IF(B27=0,NA(),SUM($B$4:B27))</f>
        <v>432</v>
      </c>
      <c r="I27" s="33" t="e">
        <f>IF(C27=0,NA(),SUM($C$4:C27))</f>
        <v>#N/A</v>
      </c>
      <c r="J27" s="33" t="e">
        <f>IF(D27=0,NA(),SUM($D$4:D27))</f>
        <v>#N/A</v>
      </c>
      <c r="K27" s="33" t="e">
        <v>#N/A</v>
      </c>
      <c r="M27" t="e">
        <f t="shared" ca="1" si="2"/>
        <v>#N/A</v>
      </c>
      <c r="N27" t="e">
        <f t="shared" ca="1" si="3"/>
        <v>#N/A</v>
      </c>
      <c r="O27" t="str">
        <f t="shared" ca="1" si="4"/>
        <v/>
      </c>
    </row>
    <row r="28" spans="1:15">
      <c r="A28" s="954">
        <v>46113</v>
      </c>
      <c r="B28">
        <v>38</v>
      </c>
      <c r="C28">
        <v>0</v>
      </c>
      <c r="F28" s="955">
        <f t="shared" ref="F28:F30" si="5">A28</f>
        <v>46113</v>
      </c>
      <c r="G28" s="958" t="str">
        <f t="shared" ref="G28:G30" si="6">TEXT(F28,"mmm yyyy")</f>
        <v>Apr 2026</v>
      </c>
      <c r="H28" s="33">
        <f>IF(B28=0,NA(),SUM($B$4:B28))</f>
        <v>470</v>
      </c>
      <c r="I28" s="33" t="e">
        <f>IF(C28=0,NA(),SUM($C$4:C28))</f>
        <v>#N/A</v>
      </c>
      <c r="J28" s="33" t="e">
        <f>IF(D28=0,NA(),SUM($D$4:D28))</f>
        <v>#N/A</v>
      </c>
      <c r="K28" s="33" t="e">
        <v>#N/A</v>
      </c>
      <c r="M28" t="e">
        <f t="shared" ca="1" si="2"/>
        <v>#N/A</v>
      </c>
      <c r="N28" t="e">
        <f t="shared" ca="1" si="3"/>
        <v>#N/A</v>
      </c>
      <c r="O28" t="str">
        <f t="shared" ca="1" si="4"/>
        <v/>
      </c>
    </row>
    <row r="29" spans="1:15">
      <c r="A29" s="954">
        <v>46143</v>
      </c>
      <c r="B29">
        <v>26</v>
      </c>
      <c r="F29" s="955">
        <f t="shared" si="5"/>
        <v>46143</v>
      </c>
      <c r="G29" s="958" t="str">
        <f t="shared" si="6"/>
        <v>May 2026</v>
      </c>
      <c r="H29" s="33">
        <f>IF(B29=0,NA(),SUM($B$4:B29))</f>
        <v>496</v>
      </c>
      <c r="I29" s="33" t="e">
        <f>IF(C29=0,NA(),SUM($C$4:C29))</f>
        <v>#N/A</v>
      </c>
      <c r="J29" s="33" t="e">
        <f>IF(D29=0,NA(),SUM($D$4:D29))</f>
        <v>#N/A</v>
      </c>
      <c r="K29" s="33" t="e">
        <v>#N/A</v>
      </c>
      <c r="M29" t="e">
        <f t="shared" ca="1" si="2"/>
        <v>#N/A</v>
      </c>
      <c r="N29" t="e">
        <f t="shared" ca="1" si="3"/>
        <v>#N/A</v>
      </c>
      <c r="O29" t="str">
        <f t="shared" ca="1" si="4"/>
        <v/>
      </c>
    </row>
    <row r="30" spans="1:15">
      <c r="A30" s="954">
        <v>46174</v>
      </c>
      <c r="B30">
        <v>29</v>
      </c>
      <c r="C30">
        <v>0</v>
      </c>
      <c r="F30" s="955">
        <f t="shared" si="5"/>
        <v>46174</v>
      </c>
      <c r="G30" s="958" t="str">
        <f t="shared" si="6"/>
        <v>Jun 2026</v>
      </c>
      <c r="H30" s="33">
        <f>IF(B30=0,NA(),SUM($B$4:B30))</f>
        <v>525</v>
      </c>
      <c r="I30" s="33" t="e">
        <f>IF(C30=0,NA(),SUM($C$4:C30))</f>
        <v>#N/A</v>
      </c>
      <c r="J30" s="33" t="e">
        <f>IF(D30=0,NA(),SUM($D$4:D30))</f>
        <v>#N/A</v>
      </c>
      <c r="K30" s="33" t="e">
        <v>#N/A</v>
      </c>
      <c r="M30" t="e">
        <f t="shared" ca="1" si="2"/>
        <v>#N/A</v>
      </c>
      <c r="N30" t="e">
        <f t="shared" ca="1" si="3"/>
        <v>#N/A</v>
      </c>
      <c r="O30" t="str">
        <f t="shared" ca="1" si="4"/>
        <v/>
      </c>
    </row>
    <row r="31" spans="1:15">
      <c r="A31" s="954">
        <v>46204</v>
      </c>
      <c r="B31">
        <v>19</v>
      </c>
      <c r="F31" s="955">
        <f t="shared" ref="F31" si="7">A31</f>
        <v>46204</v>
      </c>
      <c r="G31" s="958" t="str">
        <f t="shared" ref="G31" si="8">TEXT(F31,"mmm yyyy")</f>
        <v>Jul 2026</v>
      </c>
      <c r="H31" s="33">
        <f>IF(B31=0,NA(),SUM($B$4:B31))</f>
        <v>544</v>
      </c>
      <c r="I31" s="33" t="e">
        <f>IF(C31=0,NA(),SUM($C$4:C31))</f>
        <v>#N/A</v>
      </c>
      <c r="J31" s="33" t="e">
        <f>IF(D31=0,NA(),SUM($D$4:D31))</f>
        <v>#N/A</v>
      </c>
      <c r="K31" s="33" t="e">
        <v>#N/A</v>
      </c>
      <c r="M31" t="e">
        <f t="shared" ca="1" si="2"/>
        <v>#N/A</v>
      </c>
      <c r="N31" t="e">
        <f t="shared" ca="1" si="3"/>
        <v>#N/A</v>
      </c>
      <c r="O31" t="str">
        <f t="shared" ca="1" si="4"/>
        <v/>
      </c>
    </row>
    <row r="32" spans="1:15">
      <c r="A32" s="954">
        <v>46235</v>
      </c>
      <c r="B32">
        <v>2</v>
      </c>
      <c r="F32" s="955">
        <f t="shared" ref="F32" si="9">A32</f>
        <v>46235</v>
      </c>
      <c r="G32" s="958" t="str">
        <f t="shared" ref="G32" si="10">TEXT(F32,"mmm yyyy")</f>
        <v>Aug 2026</v>
      </c>
      <c r="H32" s="33">
        <f>IF(B32=0,NA(),SUM($B$4:B32))</f>
        <v>546</v>
      </c>
      <c r="I32" s="33" t="e">
        <f>IF(C32=0,NA(),SUM($C$4:C32))</f>
        <v>#N/A</v>
      </c>
      <c r="J32" s="33" t="e">
        <f>IF(D32=0,NA(),SUM($D$4:D32))</f>
        <v>#N/A</v>
      </c>
      <c r="K32" s="33" t="e">
        <v>#N/A</v>
      </c>
      <c r="M32" t="e">
        <f t="shared" ca="1" si="2"/>
        <v>#N/A</v>
      </c>
      <c r="N32" t="e">
        <f t="shared" ca="1" si="3"/>
        <v>#N/A</v>
      </c>
      <c r="O32" t="str">
        <f t="shared" ca="1" si="4"/>
        <v/>
      </c>
    </row>
    <row r="33" spans="1:15">
      <c r="A33" s="74" t="s">
        <v>4619</v>
      </c>
      <c r="F33" s="955"/>
      <c r="G33" s="958"/>
      <c r="H33" s="33"/>
      <c r="I33" s="33"/>
      <c r="J33" s="33"/>
      <c r="K33" s="33"/>
      <c r="M33" t="e">
        <f t="shared" ca="1" si="2"/>
        <v>#N/A</v>
      </c>
      <c r="N33" t="e">
        <f t="shared" ca="1" si="3"/>
        <v>#N/A</v>
      </c>
      <c r="O33" t="str">
        <f t="shared" ca="1" si="4"/>
        <v/>
      </c>
    </row>
    <row r="34" spans="1:15">
      <c r="A34" s="74" t="s">
        <v>54</v>
      </c>
      <c r="B34">
        <v>546</v>
      </c>
      <c r="C34">
        <v>357</v>
      </c>
      <c r="D34">
        <v>152</v>
      </c>
      <c r="F34" s="955"/>
      <c r="G34" s="958"/>
      <c r="H34" s="33"/>
      <c r="I34" s="33"/>
      <c r="J34" s="33"/>
      <c r="K34" s="33"/>
      <c r="M34" t="e">
        <f t="shared" ca="1" si="2"/>
        <v>#N/A</v>
      </c>
      <c r="N34" t="e">
        <f t="shared" ca="1" si="3"/>
        <v>#N/A</v>
      </c>
      <c r="O34" t="str">
        <f t="shared" ca="1" si="4"/>
        <v/>
      </c>
    </row>
    <row r="35" spans="1:15">
      <c r="F35" s="955"/>
      <c r="G35" s="958"/>
      <c r="H35" s="33"/>
      <c r="I35" s="33"/>
      <c r="J35" s="33"/>
      <c r="K35" s="33"/>
    </row>
    <row r="37" spans="1:15">
      <c r="B37" t="s">
        <v>4608</v>
      </c>
    </row>
  </sheetData>
  <phoneticPr fontId="43" type="noConversion"/>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0E12-A243-409B-BCAA-B5CF566DF4C6}">
  <sheetPr codeName="Sheet64">
    <tabColor theme="4" tint="0.59999389629810485"/>
  </sheetPr>
  <dimension ref="A1:N177"/>
  <sheetViews>
    <sheetView zoomScale="70" zoomScaleNormal="70" zoomScaleSheetLayoutView="115" workbookViewId="0">
      <pane xSplit="10" ySplit="2" topLeftCell="K162" activePane="bottomRight" state="frozen"/>
      <selection pane="topRight" activeCell="D1" sqref="D1"/>
      <selection pane="bottomLeft" activeCell="A2" sqref="A2"/>
      <selection pane="bottomRight" activeCell="H10" sqref="H10"/>
    </sheetView>
  </sheetViews>
  <sheetFormatPr defaultRowHeight="29.25" customHeight="1" outlineLevelCol="2"/>
  <cols>
    <col min="1" max="1" width="12" customWidth="1" outlineLevel="1"/>
    <col min="2" max="2" width="19.85546875" customWidth="1" outlineLevel="1"/>
    <col min="3" max="3" width="29.42578125" customWidth="1" outlineLevel="1"/>
    <col min="4" max="4" width="21.42578125" customWidth="1" outlineLevel="1"/>
    <col min="5" max="5" width="27.7109375" customWidth="1" outlineLevel="1"/>
    <col min="6" max="6" width="33" hidden="1" customWidth="1" outlineLevel="2"/>
    <col min="7" max="7" width="28.28515625" style="39" customWidth="1" outlineLevel="1" collapsed="1"/>
    <col min="8" max="8" width="28.140625" style="894" bestFit="1" customWidth="1"/>
    <col min="9" max="9" width="28.28515625" style="39" customWidth="1"/>
    <col min="10" max="10" width="23.42578125" customWidth="1"/>
    <col min="11" max="11" width="21" customWidth="1"/>
    <col min="12" max="12" width="15.85546875" style="117" customWidth="1"/>
    <col min="13" max="13" width="36.85546875" style="74" customWidth="1"/>
    <col min="14" max="14" width="8.7109375" style="40"/>
    <col min="15" max="15" width="33.42578125" bestFit="1" customWidth="1"/>
    <col min="17" max="17" width="29.85546875" bestFit="1" customWidth="1"/>
    <col min="18" max="18" width="11.42578125" bestFit="1" customWidth="1"/>
  </cols>
  <sheetData>
    <row r="1" spans="1:14" ht="29.25" customHeight="1">
      <c r="A1" s="912" t="s">
        <v>4258</v>
      </c>
      <c r="I1" s="911">
        <f>SUBTOTAL(9,I3:I1014)</f>
        <v>546</v>
      </c>
      <c r="J1" s="911">
        <f>SUBTOTAL(9,J3:J1014)</f>
        <v>357</v>
      </c>
      <c r="K1" s="911">
        <f>SUBTOTAL(9,K3:K1080)</f>
        <v>152</v>
      </c>
    </row>
    <row r="2" spans="1:14" ht="29.25" customHeight="1">
      <c r="A2" s="907" t="s">
        <v>0</v>
      </c>
      <c r="B2" s="907" t="s">
        <v>26</v>
      </c>
      <c r="C2" s="907" t="s">
        <v>4257</v>
      </c>
      <c r="D2" s="907" t="s">
        <v>4198</v>
      </c>
      <c r="E2" s="907" t="s">
        <v>4256</v>
      </c>
      <c r="F2" s="907" t="s">
        <v>4273</v>
      </c>
      <c r="G2" s="910" t="s">
        <v>4110</v>
      </c>
      <c r="H2" s="909" t="s">
        <v>2957</v>
      </c>
      <c r="I2" s="909" t="s">
        <v>4427</v>
      </c>
      <c r="J2" s="907" t="s">
        <v>4428</v>
      </c>
      <c r="K2" s="907" t="s">
        <v>4255</v>
      </c>
      <c r="L2" s="908" t="s">
        <v>3962</v>
      </c>
      <c r="M2" s="907" t="s">
        <v>4254</v>
      </c>
      <c r="N2" s="100"/>
    </row>
    <row r="3" spans="1:14" ht="30" customHeight="1">
      <c r="A3" s="33">
        <f>ROW(A1)</f>
        <v>1</v>
      </c>
      <c r="B3" s="33" t="s">
        <v>4253</v>
      </c>
      <c r="C3" s="33" t="s">
        <v>4252</v>
      </c>
      <c r="D3" s="896" t="s">
        <v>4228</v>
      </c>
      <c r="E3" s="33" t="s">
        <v>4238</v>
      </c>
      <c r="F3" s="33"/>
      <c r="G3" s="100" t="s">
        <v>4268</v>
      </c>
      <c r="H3" s="900"/>
      <c r="I3" s="100"/>
      <c r="J3" s="708"/>
      <c r="K3" s="100"/>
      <c r="L3" s="895" t="b">
        <f>IF(J3&lt;&gt;K3,FALSE,TRUE)</f>
        <v>1</v>
      </c>
      <c r="M3" s="897"/>
    </row>
    <row r="4" spans="1:14" ht="30" customHeight="1">
      <c r="A4" s="33">
        <f t="shared" ref="A4:A67" si="0">ROW(A2)</f>
        <v>2</v>
      </c>
      <c r="B4" s="33" t="s">
        <v>4253</v>
      </c>
      <c r="C4" s="33" t="s">
        <v>4252</v>
      </c>
      <c r="D4" s="896" t="s">
        <v>4210</v>
      </c>
      <c r="E4" s="33" t="s">
        <v>4250</v>
      </c>
      <c r="F4" s="33"/>
      <c r="G4" s="975" t="s">
        <v>4222</v>
      </c>
      <c r="H4" s="900"/>
      <c r="I4" s="898"/>
      <c r="J4" s="898"/>
      <c r="K4" s="898"/>
      <c r="L4" s="895" t="b">
        <f t="shared" ref="L4" si="1">IF(J4&lt;&gt;K4,FALSE,TRUE)</f>
        <v>1</v>
      </c>
      <c r="M4" s="897"/>
    </row>
    <row r="5" spans="1:14" ht="30" customHeight="1">
      <c r="A5" s="33">
        <f t="shared" si="0"/>
        <v>3</v>
      </c>
      <c r="B5" s="33" t="s">
        <v>4253</v>
      </c>
      <c r="C5" s="33" t="s">
        <v>4252</v>
      </c>
      <c r="D5" s="896" t="s">
        <v>4210</v>
      </c>
      <c r="E5" s="33" t="s">
        <v>4250</v>
      </c>
      <c r="F5" s="33"/>
      <c r="G5" s="975" t="s">
        <v>4222</v>
      </c>
      <c r="H5" s="900"/>
      <c r="I5" s="898"/>
      <c r="J5" s="898"/>
      <c r="K5" s="898"/>
      <c r="L5" s="895" t="b">
        <f t="shared" ref="L5" si="2">IF(J5&lt;&gt;K5,FALSE,TRUE)</f>
        <v>1</v>
      </c>
      <c r="M5" s="897"/>
    </row>
    <row r="6" spans="1:14" ht="30" customHeight="1">
      <c r="A6" s="33">
        <f t="shared" si="0"/>
        <v>4</v>
      </c>
      <c r="B6" s="33" t="s">
        <v>4253</v>
      </c>
      <c r="C6" s="33" t="s">
        <v>4252</v>
      </c>
      <c r="D6" s="896" t="s">
        <v>4210</v>
      </c>
      <c r="E6" s="33" t="s">
        <v>4250</v>
      </c>
      <c r="F6" s="33"/>
      <c r="G6" s="975" t="s">
        <v>4222</v>
      </c>
      <c r="H6" s="900">
        <v>45352</v>
      </c>
      <c r="I6" s="898">
        <v>2</v>
      </c>
      <c r="J6" s="898">
        <v>2</v>
      </c>
      <c r="K6" s="898">
        <v>2</v>
      </c>
      <c r="L6" s="895" t="b">
        <f t="shared" ref="L6:L69" si="3">IF(J6&lt;&gt;K6,FALSE,TRUE)</f>
        <v>1</v>
      </c>
      <c r="M6" s="897"/>
    </row>
    <row r="7" spans="1:14" ht="30" customHeight="1">
      <c r="A7" s="33">
        <f t="shared" si="0"/>
        <v>5</v>
      </c>
      <c r="B7" s="33" t="s">
        <v>4253</v>
      </c>
      <c r="C7" s="33" t="s">
        <v>4252</v>
      </c>
      <c r="D7" s="896" t="s">
        <v>4210</v>
      </c>
      <c r="E7" s="33" t="s">
        <v>4250</v>
      </c>
      <c r="F7" s="33"/>
      <c r="G7" s="975" t="s">
        <v>4222</v>
      </c>
      <c r="H7" s="900">
        <v>45383</v>
      </c>
      <c r="I7" s="898">
        <v>6</v>
      </c>
      <c r="J7" s="898">
        <v>6</v>
      </c>
      <c r="K7" s="898">
        <v>6</v>
      </c>
      <c r="L7" s="895" t="b">
        <f t="shared" si="3"/>
        <v>1</v>
      </c>
      <c r="M7" s="897"/>
    </row>
    <row r="8" spans="1:14" ht="30" customHeight="1">
      <c r="A8" s="33">
        <f t="shared" si="0"/>
        <v>6</v>
      </c>
      <c r="B8" s="33" t="s">
        <v>4253</v>
      </c>
      <c r="C8" s="33" t="s">
        <v>4252</v>
      </c>
      <c r="D8" s="896" t="s">
        <v>4210</v>
      </c>
      <c r="E8" s="33" t="s">
        <v>4250</v>
      </c>
      <c r="F8" s="33"/>
      <c r="G8" s="975" t="s">
        <v>4222</v>
      </c>
      <c r="H8" s="900">
        <v>45413</v>
      </c>
      <c r="I8" s="898">
        <v>14</v>
      </c>
      <c r="J8" s="898">
        <v>14</v>
      </c>
      <c r="K8" s="898">
        <v>14</v>
      </c>
      <c r="L8" s="895" t="b">
        <f t="shared" si="3"/>
        <v>1</v>
      </c>
      <c r="M8" s="897"/>
    </row>
    <row r="9" spans="1:14" ht="30" customHeight="1">
      <c r="A9" s="33">
        <f t="shared" si="0"/>
        <v>7</v>
      </c>
      <c r="B9" s="33" t="s">
        <v>4253</v>
      </c>
      <c r="C9" s="33" t="s">
        <v>4252</v>
      </c>
      <c r="D9" s="896" t="s">
        <v>4210</v>
      </c>
      <c r="E9" s="33" t="s">
        <v>4250</v>
      </c>
      <c r="F9" s="33"/>
      <c r="G9" s="975" t="s">
        <v>4222</v>
      </c>
      <c r="H9" s="900">
        <v>45444</v>
      </c>
      <c r="I9" s="898">
        <v>14</v>
      </c>
      <c r="J9" s="898">
        <v>14</v>
      </c>
      <c r="K9" s="898">
        <v>14</v>
      </c>
      <c r="L9" s="895" t="b">
        <f t="shared" si="3"/>
        <v>1</v>
      </c>
      <c r="M9" s="897"/>
    </row>
    <row r="10" spans="1:14" ht="30" customHeight="1">
      <c r="A10" s="33">
        <f t="shared" si="0"/>
        <v>8</v>
      </c>
      <c r="B10" s="33" t="s">
        <v>4253</v>
      </c>
      <c r="C10" s="33" t="s">
        <v>4252</v>
      </c>
      <c r="D10" s="896" t="s">
        <v>4210</v>
      </c>
      <c r="E10" s="33" t="s">
        <v>4250</v>
      </c>
      <c r="F10" s="33"/>
      <c r="G10" s="975" t="s">
        <v>4222</v>
      </c>
      <c r="H10" s="900">
        <v>45474</v>
      </c>
      <c r="I10" s="898">
        <v>1</v>
      </c>
      <c r="J10" s="898">
        <v>1</v>
      </c>
      <c r="K10" s="898">
        <v>1</v>
      </c>
      <c r="L10" s="895" t="b">
        <f t="shared" si="3"/>
        <v>1</v>
      </c>
      <c r="M10" s="897"/>
    </row>
    <row r="11" spans="1:14" ht="30" customHeight="1">
      <c r="A11" s="33">
        <f t="shared" si="0"/>
        <v>9</v>
      </c>
      <c r="B11" s="33" t="s">
        <v>4253</v>
      </c>
      <c r="C11" s="33" t="s">
        <v>4252</v>
      </c>
      <c r="D11" s="896" t="s">
        <v>4210</v>
      </c>
      <c r="E11" s="33" t="s">
        <v>4250</v>
      </c>
      <c r="F11" s="33"/>
      <c r="G11" s="975" t="s">
        <v>4222</v>
      </c>
      <c r="H11" s="900">
        <v>45658</v>
      </c>
      <c r="I11" s="898"/>
      <c r="J11" s="898"/>
      <c r="K11" s="898"/>
      <c r="L11" s="895" t="b">
        <v>0</v>
      </c>
      <c r="M11" s="897"/>
    </row>
    <row r="12" spans="1:14" ht="30" customHeight="1">
      <c r="A12" s="33">
        <f t="shared" si="0"/>
        <v>10</v>
      </c>
      <c r="B12" s="33" t="s">
        <v>4253</v>
      </c>
      <c r="C12" s="33" t="s">
        <v>4252</v>
      </c>
      <c r="D12" s="896" t="s">
        <v>4210</v>
      </c>
      <c r="E12" s="33" t="s">
        <v>4250</v>
      </c>
      <c r="F12" s="33"/>
      <c r="G12" s="975" t="s">
        <v>4218</v>
      </c>
      <c r="H12" s="900">
        <v>45689</v>
      </c>
      <c r="I12" s="898">
        <v>1</v>
      </c>
      <c r="J12" s="898">
        <v>1</v>
      </c>
      <c r="K12" s="898">
        <v>1</v>
      </c>
      <c r="L12" s="895" t="b">
        <f t="shared" si="3"/>
        <v>1</v>
      </c>
      <c r="M12" s="897"/>
    </row>
    <row r="13" spans="1:14" ht="30" customHeight="1">
      <c r="A13" s="33">
        <f t="shared" si="0"/>
        <v>11</v>
      </c>
      <c r="B13" s="33" t="s">
        <v>4253</v>
      </c>
      <c r="C13" s="33" t="s">
        <v>4252</v>
      </c>
      <c r="D13" s="896" t="s">
        <v>4210</v>
      </c>
      <c r="E13" s="33" t="s">
        <v>4250</v>
      </c>
      <c r="F13" s="33"/>
      <c r="G13" s="975" t="s">
        <v>4218</v>
      </c>
      <c r="H13" s="900">
        <v>45717</v>
      </c>
      <c r="I13" s="898">
        <v>7</v>
      </c>
      <c r="J13" s="898">
        <v>7</v>
      </c>
      <c r="K13" s="898">
        <v>7</v>
      </c>
      <c r="L13" s="895" t="b">
        <f t="shared" si="3"/>
        <v>1</v>
      </c>
      <c r="M13" s="897"/>
    </row>
    <row r="14" spans="1:14" ht="30" customHeight="1">
      <c r="A14" s="33">
        <f t="shared" si="0"/>
        <v>12</v>
      </c>
      <c r="B14" s="33" t="s">
        <v>4253</v>
      </c>
      <c r="C14" s="33" t="s">
        <v>4252</v>
      </c>
      <c r="D14" s="896" t="s">
        <v>4210</v>
      </c>
      <c r="E14" s="33" t="s">
        <v>4250</v>
      </c>
      <c r="F14" s="33"/>
      <c r="G14" s="975" t="s">
        <v>4218</v>
      </c>
      <c r="H14" s="900">
        <v>45748</v>
      </c>
      <c r="I14" s="898">
        <v>10</v>
      </c>
      <c r="J14" s="898">
        <v>10</v>
      </c>
      <c r="K14" s="898">
        <v>10</v>
      </c>
      <c r="L14" s="895" t="b">
        <f t="shared" si="3"/>
        <v>1</v>
      </c>
      <c r="M14" s="897"/>
    </row>
    <row r="15" spans="1:14" ht="30" customHeight="1">
      <c r="A15" s="33">
        <f t="shared" si="0"/>
        <v>13</v>
      </c>
      <c r="B15" s="33" t="s">
        <v>4253</v>
      </c>
      <c r="C15" s="33" t="s">
        <v>4252</v>
      </c>
      <c r="D15" s="896" t="s">
        <v>4210</v>
      </c>
      <c r="E15" s="33" t="s">
        <v>4250</v>
      </c>
      <c r="F15" s="33"/>
      <c r="G15" s="975" t="s">
        <v>4218</v>
      </c>
      <c r="H15" s="900">
        <v>45778</v>
      </c>
      <c r="I15" s="898">
        <v>16</v>
      </c>
      <c r="J15" s="898">
        <v>16</v>
      </c>
      <c r="K15" s="898">
        <v>16</v>
      </c>
      <c r="L15" s="895" t="b">
        <f t="shared" si="3"/>
        <v>1</v>
      </c>
      <c r="M15" s="897"/>
    </row>
    <row r="16" spans="1:14" ht="30" customHeight="1">
      <c r="A16" s="33">
        <f t="shared" si="0"/>
        <v>14</v>
      </c>
      <c r="B16" s="33" t="s">
        <v>4253</v>
      </c>
      <c r="C16" s="33" t="s">
        <v>4252</v>
      </c>
      <c r="D16" s="896" t="s">
        <v>4210</v>
      </c>
      <c r="E16" s="33" t="s">
        <v>4250</v>
      </c>
      <c r="F16" s="33"/>
      <c r="G16" s="975" t="s">
        <v>4218</v>
      </c>
      <c r="H16" s="900">
        <v>45809</v>
      </c>
      <c r="I16" s="898">
        <v>2</v>
      </c>
      <c r="J16" s="898">
        <v>2</v>
      </c>
      <c r="K16" s="898">
        <v>2</v>
      </c>
      <c r="L16" s="895" t="b">
        <f t="shared" si="3"/>
        <v>1</v>
      </c>
      <c r="M16" s="897"/>
    </row>
    <row r="17" spans="1:14" ht="30" customHeight="1">
      <c r="A17" s="33">
        <f t="shared" si="0"/>
        <v>15</v>
      </c>
      <c r="B17" s="33" t="s">
        <v>4253</v>
      </c>
      <c r="C17" s="33" t="s">
        <v>4251</v>
      </c>
      <c r="D17" s="896" t="s">
        <v>4228</v>
      </c>
      <c r="E17" s="33" t="s">
        <v>4238</v>
      </c>
      <c r="F17" s="33"/>
      <c r="G17" s="100" t="s">
        <v>4222</v>
      </c>
      <c r="H17" s="900"/>
      <c r="I17" s="898"/>
      <c r="J17" s="899"/>
      <c r="K17" s="898"/>
      <c r="L17" s="895" t="b">
        <f t="shared" si="3"/>
        <v>1</v>
      </c>
      <c r="M17" s="897"/>
    </row>
    <row r="18" spans="1:14" s="902" customFormat="1" ht="30" customHeight="1" thickBot="1">
      <c r="A18" s="33">
        <f t="shared" si="0"/>
        <v>16</v>
      </c>
      <c r="B18" s="906" t="s">
        <v>4253</v>
      </c>
      <c r="C18" s="906" t="s">
        <v>4251</v>
      </c>
      <c r="D18" s="904" t="s">
        <v>4228</v>
      </c>
      <c r="E18" s="906" t="s">
        <v>4238</v>
      </c>
      <c r="F18" s="906"/>
      <c r="G18" s="904" t="s">
        <v>4218</v>
      </c>
      <c r="H18" s="904"/>
      <c r="I18" s="905"/>
      <c r="J18" s="904"/>
      <c r="K18" s="905"/>
      <c r="L18" s="895" t="b">
        <f t="shared" si="3"/>
        <v>1</v>
      </c>
      <c r="M18" s="904"/>
      <c r="N18" s="903"/>
    </row>
    <row r="19" spans="1:14" ht="30" customHeight="1" thickTop="1">
      <c r="A19" s="33">
        <f t="shared" si="0"/>
        <v>17</v>
      </c>
      <c r="B19" s="33" t="s">
        <v>4253</v>
      </c>
      <c r="C19" s="33" t="s">
        <v>4251</v>
      </c>
      <c r="D19" s="896" t="s">
        <v>4210</v>
      </c>
      <c r="E19" s="33" t="s">
        <v>4250</v>
      </c>
      <c r="F19" s="33"/>
      <c r="G19" s="100" t="s">
        <v>4222</v>
      </c>
      <c r="H19" s="900">
        <v>45505</v>
      </c>
      <c r="I19" s="898">
        <v>4</v>
      </c>
      <c r="J19" s="898">
        <v>4</v>
      </c>
      <c r="K19" s="898">
        <v>4</v>
      </c>
      <c r="L19" s="895" t="b">
        <f t="shared" si="3"/>
        <v>1</v>
      </c>
      <c r="M19" s="901"/>
    </row>
    <row r="20" spans="1:14" ht="30" customHeight="1">
      <c r="A20" s="33">
        <f t="shared" si="0"/>
        <v>18</v>
      </c>
      <c r="B20" s="33" t="s">
        <v>4253</v>
      </c>
      <c r="C20" s="33" t="s">
        <v>4251</v>
      </c>
      <c r="D20" s="896" t="s">
        <v>4210</v>
      </c>
      <c r="E20" s="33" t="s">
        <v>4250</v>
      </c>
      <c r="F20" s="33"/>
      <c r="G20" s="100" t="s">
        <v>4222</v>
      </c>
      <c r="H20" s="900">
        <v>45536</v>
      </c>
      <c r="I20" s="898">
        <v>23</v>
      </c>
      <c r="J20" s="898">
        <v>23</v>
      </c>
      <c r="K20" s="898">
        <v>23</v>
      </c>
      <c r="L20" s="895" t="b">
        <f t="shared" si="3"/>
        <v>1</v>
      </c>
      <c r="M20" s="901"/>
    </row>
    <row r="21" spans="1:14" ht="30" customHeight="1">
      <c r="A21" s="33">
        <f t="shared" si="0"/>
        <v>19</v>
      </c>
      <c r="B21" s="33" t="s">
        <v>4253</v>
      </c>
      <c r="C21" s="33" t="s">
        <v>4251</v>
      </c>
      <c r="D21" s="896" t="s">
        <v>4210</v>
      </c>
      <c r="E21" s="33" t="s">
        <v>4250</v>
      </c>
      <c r="F21" s="33"/>
      <c r="G21" s="100" t="s">
        <v>4222</v>
      </c>
      <c r="H21" s="900">
        <v>45566</v>
      </c>
      <c r="I21" s="898">
        <v>6</v>
      </c>
      <c r="J21" s="898">
        <v>6</v>
      </c>
      <c r="K21" s="898">
        <v>6</v>
      </c>
      <c r="L21" s="895" t="b">
        <f t="shared" si="3"/>
        <v>1</v>
      </c>
      <c r="M21" s="901"/>
    </row>
    <row r="22" spans="1:14" ht="30" customHeight="1">
      <c r="A22" s="33">
        <f t="shared" si="0"/>
        <v>20</v>
      </c>
      <c r="B22" s="33" t="s">
        <v>4253</v>
      </c>
      <c r="C22" s="33" t="s">
        <v>4251</v>
      </c>
      <c r="D22" s="896" t="s">
        <v>4210</v>
      </c>
      <c r="E22" s="33" t="s">
        <v>4250</v>
      </c>
      <c r="F22" s="33"/>
      <c r="G22" s="100" t="s">
        <v>4222</v>
      </c>
      <c r="H22" s="900">
        <v>45597</v>
      </c>
      <c r="I22" s="898">
        <v>4</v>
      </c>
      <c r="J22" s="898">
        <v>4</v>
      </c>
      <c r="K22" s="898">
        <v>4</v>
      </c>
      <c r="L22" s="895" t="b">
        <f t="shared" si="3"/>
        <v>1</v>
      </c>
      <c r="M22" s="901"/>
    </row>
    <row r="23" spans="1:14" ht="30" customHeight="1">
      <c r="A23" s="33">
        <f t="shared" si="0"/>
        <v>21</v>
      </c>
      <c r="B23" s="33" t="s">
        <v>4253</v>
      </c>
      <c r="C23" s="33" t="s">
        <v>4251</v>
      </c>
      <c r="D23" s="896" t="s">
        <v>4210</v>
      </c>
      <c r="E23" s="33" t="s">
        <v>4250</v>
      </c>
      <c r="F23" s="33"/>
      <c r="G23" s="100" t="s">
        <v>4218</v>
      </c>
      <c r="H23" s="900">
        <v>45809</v>
      </c>
      <c r="I23" s="898">
        <v>12</v>
      </c>
      <c r="J23" s="898">
        <v>12</v>
      </c>
      <c r="K23" s="898">
        <v>12</v>
      </c>
      <c r="L23" s="895" t="b">
        <f t="shared" si="3"/>
        <v>1</v>
      </c>
      <c r="M23" s="901"/>
    </row>
    <row r="24" spans="1:14" ht="30" customHeight="1">
      <c r="A24" s="33">
        <f t="shared" si="0"/>
        <v>22</v>
      </c>
      <c r="B24" s="33" t="s">
        <v>4253</v>
      </c>
      <c r="C24" s="33" t="s">
        <v>4251</v>
      </c>
      <c r="D24" s="896" t="s">
        <v>4210</v>
      </c>
      <c r="E24" s="33" t="s">
        <v>4250</v>
      </c>
      <c r="F24" s="33"/>
      <c r="G24" s="100" t="s">
        <v>4218</v>
      </c>
      <c r="H24" s="900">
        <v>45839</v>
      </c>
      <c r="I24" s="898">
        <v>14</v>
      </c>
      <c r="J24" s="898">
        <v>14</v>
      </c>
      <c r="K24" s="898">
        <v>14</v>
      </c>
      <c r="L24" s="895" t="b">
        <f t="shared" si="3"/>
        <v>1</v>
      </c>
      <c r="M24" s="901"/>
    </row>
    <row r="25" spans="1:14" ht="30" customHeight="1">
      <c r="A25" s="33">
        <f t="shared" si="0"/>
        <v>23</v>
      </c>
      <c r="B25" s="33" t="s">
        <v>4253</v>
      </c>
      <c r="C25" s="33" t="s">
        <v>4251</v>
      </c>
      <c r="D25" s="896" t="s">
        <v>4210</v>
      </c>
      <c r="E25" s="33" t="s">
        <v>4250</v>
      </c>
      <c r="F25" s="33"/>
      <c r="G25" s="100" t="s">
        <v>4218</v>
      </c>
      <c r="H25" s="900">
        <v>45870</v>
      </c>
      <c r="I25" s="898">
        <v>10</v>
      </c>
      <c r="J25" s="898">
        <v>10</v>
      </c>
      <c r="K25" s="898">
        <v>10</v>
      </c>
      <c r="L25" s="895" t="b">
        <f t="shared" si="3"/>
        <v>1</v>
      </c>
      <c r="M25" s="901"/>
    </row>
    <row r="26" spans="1:14" ht="30" customHeight="1">
      <c r="A26" s="33">
        <f t="shared" si="0"/>
        <v>24</v>
      </c>
      <c r="B26" s="33" t="s">
        <v>3664</v>
      </c>
      <c r="C26" s="33" t="s">
        <v>4252</v>
      </c>
      <c r="D26" s="896" t="s">
        <v>4228</v>
      </c>
      <c r="E26" s="33" t="s">
        <v>4238</v>
      </c>
      <c r="F26" s="33"/>
      <c r="G26" s="100" t="s">
        <v>4222</v>
      </c>
      <c r="H26" s="900"/>
      <c r="I26" s="898"/>
      <c r="J26" s="899"/>
      <c r="K26" s="898"/>
      <c r="L26" s="895" t="b">
        <f t="shared" si="3"/>
        <v>1</v>
      </c>
      <c r="M26" s="897"/>
    </row>
    <row r="27" spans="1:14" ht="30" customHeight="1">
      <c r="A27" s="33">
        <f t="shared" si="0"/>
        <v>25</v>
      </c>
      <c r="B27" s="33" t="s">
        <v>3664</v>
      </c>
      <c r="C27" s="33" t="s">
        <v>4252</v>
      </c>
      <c r="D27" s="896" t="s">
        <v>4228</v>
      </c>
      <c r="E27" s="33" t="s">
        <v>4238</v>
      </c>
      <c r="F27" s="33"/>
      <c r="G27" s="896" t="s">
        <v>4218</v>
      </c>
      <c r="H27" s="900"/>
      <c r="I27" s="896"/>
      <c r="J27" s="899"/>
      <c r="K27" s="898"/>
      <c r="L27" s="895" t="b">
        <f t="shared" si="3"/>
        <v>1</v>
      </c>
      <c r="M27" s="897"/>
    </row>
    <row r="28" spans="1:14" ht="30" customHeight="1">
      <c r="A28" s="33">
        <f t="shared" si="0"/>
        <v>26</v>
      </c>
      <c r="B28" s="33" t="s">
        <v>3664</v>
      </c>
      <c r="C28" s="33" t="s">
        <v>4252</v>
      </c>
      <c r="D28" s="896" t="s">
        <v>4210</v>
      </c>
      <c r="E28" s="33" t="s">
        <v>4250</v>
      </c>
      <c r="F28" s="33"/>
      <c r="G28" s="100" t="s">
        <v>4222</v>
      </c>
      <c r="H28" s="900"/>
      <c r="I28" s="100"/>
      <c r="J28" s="899"/>
      <c r="K28" s="898"/>
      <c r="L28" s="895" t="b">
        <f t="shared" si="3"/>
        <v>1</v>
      </c>
      <c r="M28" s="897"/>
    </row>
    <row r="29" spans="1:14" ht="30" customHeight="1">
      <c r="A29" s="33">
        <f t="shared" si="0"/>
        <v>27</v>
      </c>
      <c r="B29" s="33" t="s">
        <v>3664</v>
      </c>
      <c r="C29" s="33" t="s">
        <v>4252</v>
      </c>
      <c r="D29" s="896" t="s">
        <v>4210</v>
      </c>
      <c r="E29" s="33" t="s">
        <v>4250</v>
      </c>
      <c r="F29" s="33"/>
      <c r="G29" s="896" t="s">
        <v>4218</v>
      </c>
      <c r="H29" s="900"/>
      <c r="I29" s="896"/>
      <c r="J29" s="899"/>
      <c r="K29" s="898"/>
      <c r="L29" s="895" t="b">
        <f t="shared" si="3"/>
        <v>1</v>
      </c>
      <c r="M29" s="897"/>
    </row>
    <row r="30" spans="1:14" ht="30" customHeight="1">
      <c r="A30" s="33">
        <f t="shared" si="0"/>
        <v>28</v>
      </c>
      <c r="B30" s="33" t="s">
        <v>3664</v>
      </c>
      <c r="C30" s="33" t="s">
        <v>4251</v>
      </c>
      <c r="D30" s="896" t="s">
        <v>4228</v>
      </c>
      <c r="E30" s="33" t="s">
        <v>4238</v>
      </c>
      <c r="F30" s="33"/>
      <c r="G30" s="100" t="s">
        <v>4222</v>
      </c>
      <c r="H30" s="900"/>
      <c r="I30" s="100"/>
      <c r="J30" s="899"/>
      <c r="K30" s="898"/>
      <c r="L30" s="895" t="b">
        <f t="shared" si="3"/>
        <v>1</v>
      </c>
      <c r="M30" s="897"/>
    </row>
    <row r="31" spans="1:14" ht="30" customHeight="1">
      <c r="A31" s="33">
        <f t="shared" si="0"/>
        <v>29</v>
      </c>
      <c r="B31" s="33" t="s">
        <v>3664</v>
      </c>
      <c r="C31" s="33" t="s">
        <v>4251</v>
      </c>
      <c r="D31" s="896" t="s">
        <v>4228</v>
      </c>
      <c r="E31" s="33" t="s">
        <v>4238</v>
      </c>
      <c r="F31" s="33"/>
      <c r="G31" s="896" t="s">
        <v>4218</v>
      </c>
      <c r="H31" s="900"/>
      <c r="I31" s="896"/>
      <c r="J31" s="899"/>
      <c r="K31" s="898"/>
      <c r="L31" s="895" t="b">
        <f t="shared" si="3"/>
        <v>1</v>
      </c>
      <c r="M31" s="897"/>
    </row>
    <row r="32" spans="1:14" ht="30" customHeight="1">
      <c r="A32" s="33">
        <f t="shared" si="0"/>
        <v>30</v>
      </c>
      <c r="B32" s="33" t="s">
        <v>3664</v>
      </c>
      <c r="C32" s="33" t="s">
        <v>4251</v>
      </c>
      <c r="D32" s="896" t="s">
        <v>4210</v>
      </c>
      <c r="E32" s="33" t="s">
        <v>4250</v>
      </c>
      <c r="F32" s="33"/>
      <c r="G32" s="100" t="s">
        <v>4222</v>
      </c>
      <c r="H32" s="900"/>
      <c r="I32" s="100"/>
      <c r="J32" s="899"/>
      <c r="K32" s="898"/>
      <c r="L32" s="895" t="b">
        <f t="shared" si="3"/>
        <v>1</v>
      </c>
      <c r="M32" s="897"/>
    </row>
    <row r="33" spans="1:13" ht="30" customHeight="1">
      <c r="A33" s="33">
        <f t="shared" si="0"/>
        <v>31</v>
      </c>
      <c r="B33" s="33" t="s">
        <v>3664</v>
      </c>
      <c r="C33" s="33" t="s">
        <v>4251</v>
      </c>
      <c r="D33" s="896" t="s">
        <v>4210</v>
      </c>
      <c r="E33" s="33" t="s">
        <v>4250</v>
      </c>
      <c r="F33" s="33"/>
      <c r="G33" s="896" t="s">
        <v>4218</v>
      </c>
      <c r="H33" s="900"/>
      <c r="I33" s="896"/>
      <c r="J33" s="899"/>
      <c r="K33" s="898"/>
      <c r="L33" s="895" t="b">
        <f t="shared" si="3"/>
        <v>1</v>
      </c>
      <c r="M33" s="897"/>
    </row>
    <row r="34" spans="1:13" ht="30" customHeight="1">
      <c r="A34" s="33">
        <f t="shared" si="0"/>
        <v>32</v>
      </c>
      <c r="B34" s="33" t="s">
        <v>3664</v>
      </c>
      <c r="C34" s="33" t="s">
        <v>4247</v>
      </c>
      <c r="D34" s="896" t="s">
        <v>4228</v>
      </c>
      <c r="E34" s="33" t="s">
        <v>4238</v>
      </c>
      <c r="F34" s="33"/>
      <c r="G34" s="100" t="s">
        <v>4222</v>
      </c>
      <c r="H34" s="900"/>
      <c r="I34" s="100"/>
      <c r="J34" s="899"/>
      <c r="K34" s="898"/>
      <c r="L34" s="895" t="b">
        <f t="shared" si="3"/>
        <v>1</v>
      </c>
      <c r="M34" s="897"/>
    </row>
    <row r="35" spans="1:13" ht="30" customHeight="1">
      <c r="A35" s="33">
        <f t="shared" si="0"/>
        <v>33</v>
      </c>
      <c r="B35" s="33" t="s">
        <v>3664</v>
      </c>
      <c r="C35" s="33" t="s">
        <v>4247</v>
      </c>
      <c r="D35" s="896" t="s">
        <v>4228</v>
      </c>
      <c r="E35" s="33" t="s">
        <v>4238</v>
      </c>
      <c r="F35" s="33"/>
      <c r="G35" s="896" t="s">
        <v>4218</v>
      </c>
      <c r="H35" s="900"/>
      <c r="I35" s="896"/>
      <c r="J35" s="899"/>
      <c r="K35" s="898"/>
      <c r="L35" s="895" t="b">
        <f t="shared" si="3"/>
        <v>1</v>
      </c>
      <c r="M35" s="897"/>
    </row>
    <row r="36" spans="1:13" ht="30" customHeight="1">
      <c r="A36" s="33">
        <f t="shared" si="0"/>
        <v>34</v>
      </c>
      <c r="B36" s="33" t="s">
        <v>3664</v>
      </c>
      <c r="C36" s="33" t="s">
        <v>4247</v>
      </c>
      <c r="D36" s="896" t="s">
        <v>4210</v>
      </c>
      <c r="E36" s="33" t="s">
        <v>4250</v>
      </c>
      <c r="F36" s="33"/>
      <c r="G36" s="100" t="s">
        <v>4222</v>
      </c>
      <c r="H36" s="900">
        <v>45383</v>
      </c>
      <c r="I36" s="100">
        <v>1</v>
      </c>
      <c r="J36" s="899">
        <v>1</v>
      </c>
      <c r="K36" s="898">
        <v>1</v>
      </c>
      <c r="L36" s="895" t="b">
        <f t="shared" si="3"/>
        <v>1</v>
      </c>
      <c r="M36" s="897"/>
    </row>
    <row r="37" spans="1:13" ht="30" customHeight="1">
      <c r="A37" s="33">
        <f t="shared" si="0"/>
        <v>35</v>
      </c>
      <c r="B37" s="33" t="s">
        <v>3664</v>
      </c>
      <c r="C37" s="33" t="s">
        <v>4247</v>
      </c>
      <c r="D37" s="896" t="s">
        <v>4210</v>
      </c>
      <c r="E37" s="33" t="s">
        <v>4250</v>
      </c>
      <c r="F37" s="33"/>
      <c r="G37" s="896" t="s">
        <v>4218</v>
      </c>
      <c r="H37" s="900">
        <v>45717</v>
      </c>
      <c r="I37" s="896">
        <v>1</v>
      </c>
      <c r="J37" s="899">
        <v>1</v>
      </c>
      <c r="K37" s="898">
        <v>1</v>
      </c>
      <c r="L37" s="895" t="b">
        <f t="shared" si="3"/>
        <v>1</v>
      </c>
      <c r="M37" s="897"/>
    </row>
    <row r="38" spans="1:13" ht="30" customHeight="1">
      <c r="A38" s="33">
        <f t="shared" si="0"/>
        <v>36</v>
      </c>
      <c r="B38" s="33" t="s">
        <v>3664</v>
      </c>
      <c r="C38" s="33" t="s">
        <v>4247</v>
      </c>
      <c r="D38" s="896" t="s">
        <v>4249</v>
      </c>
      <c r="E38" s="33" t="s">
        <v>4248</v>
      </c>
      <c r="F38" s="33"/>
      <c r="G38" s="100" t="s">
        <v>4222</v>
      </c>
      <c r="H38" s="900"/>
      <c r="I38" s="100"/>
      <c r="J38" s="899"/>
      <c r="K38" s="898"/>
      <c r="L38" s="895" t="b">
        <f t="shared" si="3"/>
        <v>1</v>
      </c>
      <c r="M38" s="897"/>
    </row>
    <row r="39" spans="1:13" ht="30" customHeight="1">
      <c r="A39" s="33">
        <f t="shared" si="0"/>
        <v>37</v>
      </c>
      <c r="B39" s="33" t="s">
        <v>3664</v>
      </c>
      <c r="C39" s="33" t="s">
        <v>4247</v>
      </c>
      <c r="D39" s="896" t="s">
        <v>4249</v>
      </c>
      <c r="E39" s="33" t="s">
        <v>4248</v>
      </c>
      <c r="F39" s="33"/>
      <c r="G39" s="896" t="s">
        <v>4218</v>
      </c>
      <c r="H39" s="900"/>
      <c r="I39" s="896"/>
      <c r="J39" s="899"/>
      <c r="K39" s="898"/>
      <c r="L39" s="895" t="b">
        <f t="shared" si="3"/>
        <v>1</v>
      </c>
      <c r="M39" s="897"/>
    </row>
    <row r="40" spans="1:13" ht="30" customHeight="1">
      <c r="A40" s="33">
        <f t="shared" si="0"/>
        <v>38</v>
      </c>
      <c r="B40" s="33" t="s">
        <v>3664</v>
      </c>
      <c r="C40" s="33" t="s">
        <v>4247</v>
      </c>
      <c r="D40" s="896" t="s">
        <v>4246</v>
      </c>
      <c r="E40" s="33" t="s">
        <v>4245</v>
      </c>
      <c r="F40" s="33"/>
      <c r="G40" s="100" t="s">
        <v>4222</v>
      </c>
      <c r="H40" s="900"/>
      <c r="I40" s="100"/>
      <c r="J40" s="899"/>
      <c r="K40" s="898"/>
      <c r="L40" s="895" t="b">
        <f t="shared" si="3"/>
        <v>1</v>
      </c>
      <c r="M40" s="897"/>
    </row>
    <row r="41" spans="1:13" ht="30" customHeight="1">
      <c r="A41" s="33">
        <f t="shared" si="0"/>
        <v>39</v>
      </c>
      <c r="B41" s="33" t="s">
        <v>3664</v>
      </c>
      <c r="C41" s="33" t="s">
        <v>4247</v>
      </c>
      <c r="D41" s="896" t="s">
        <v>4246</v>
      </c>
      <c r="E41" s="33" t="s">
        <v>4245</v>
      </c>
      <c r="F41" s="33"/>
      <c r="G41" s="896" t="s">
        <v>4218</v>
      </c>
      <c r="H41" s="900"/>
      <c r="I41" s="896"/>
      <c r="J41" s="899"/>
      <c r="K41" s="898"/>
      <c r="L41" s="895" t="b">
        <f t="shared" si="3"/>
        <v>1</v>
      </c>
      <c r="M41" s="897"/>
    </row>
    <row r="42" spans="1:13" ht="30" customHeight="1">
      <c r="A42" s="33">
        <f t="shared" si="0"/>
        <v>40</v>
      </c>
      <c r="B42" s="33" t="s">
        <v>4241</v>
      </c>
      <c r="C42" s="33" t="s">
        <v>1031</v>
      </c>
      <c r="D42" s="896" t="s">
        <v>4228</v>
      </c>
      <c r="E42" s="33" t="s">
        <v>4238</v>
      </c>
      <c r="F42" s="33"/>
      <c r="G42" s="100" t="s">
        <v>4222</v>
      </c>
      <c r="H42" s="900">
        <v>45352</v>
      </c>
      <c r="I42" s="100">
        <v>1</v>
      </c>
      <c r="J42" s="899">
        <v>1</v>
      </c>
      <c r="K42" s="898">
        <v>1</v>
      </c>
      <c r="L42" s="895" t="b">
        <f t="shared" si="3"/>
        <v>1</v>
      </c>
      <c r="M42" s="897"/>
    </row>
    <row r="43" spans="1:13" ht="30" customHeight="1">
      <c r="A43" s="33">
        <f t="shared" si="0"/>
        <v>41</v>
      </c>
      <c r="B43" s="33" t="s">
        <v>4241</v>
      </c>
      <c r="C43" s="33" t="s">
        <v>1031</v>
      </c>
      <c r="D43" s="896" t="s">
        <v>4228</v>
      </c>
      <c r="E43" s="33" t="s">
        <v>4238</v>
      </c>
      <c r="F43" s="33"/>
      <c r="G43" s="100" t="s">
        <v>4222</v>
      </c>
      <c r="H43" s="900">
        <v>45413</v>
      </c>
      <c r="I43" s="100">
        <v>1</v>
      </c>
      <c r="J43" s="899">
        <v>1</v>
      </c>
      <c r="K43" s="898">
        <v>1</v>
      </c>
      <c r="L43" s="895" t="b">
        <f t="shared" si="3"/>
        <v>1</v>
      </c>
      <c r="M43" s="897"/>
    </row>
    <row r="44" spans="1:13" ht="30" customHeight="1">
      <c r="A44" s="33">
        <f t="shared" si="0"/>
        <v>42</v>
      </c>
      <c r="B44" s="33" t="s">
        <v>4241</v>
      </c>
      <c r="C44" s="33" t="s">
        <v>1031</v>
      </c>
      <c r="D44" s="896" t="s">
        <v>4228</v>
      </c>
      <c r="E44" s="33" t="s">
        <v>4238</v>
      </c>
      <c r="F44" s="33"/>
      <c r="G44" s="896" t="s">
        <v>4218</v>
      </c>
      <c r="H44" s="900">
        <v>45505</v>
      </c>
      <c r="I44" s="896">
        <v>1</v>
      </c>
      <c r="J44" s="899">
        <v>1</v>
      </c>
      <c r="K44" s="898">
        <v>1</v>
      </c>
      <c r="L44" s="895" t="b">
        <f t="shared" si="3"/>
        <v>1</v>
      </c>
      <c r="M44" s="897"/>
    </row>
    <row r="45" spans="1:13" ht="30" customHeight="1">
      <c r="A45" s="33">
        <f t="shared" si="0"/>
        <v>43</v>
      </c>
      <c r="B45" s="33" t="s">
        <v>4241</v>
      </c>
      <c r="C45" s="33" t="s">
        <v>1031</v>
      </c>
      <c r="D45" s="896" t="s">
        <v>4228</v>
      </c>
      <c r="E45" s="33" t="s">
        <v>4238</v>
      </c>
      <c r="F45" s="33"/>
      <c r="G45" s="896" t="s">
        <v>4218</v>
      </c>
      <c r="H45" s="900">
        <v>45717</v>
      </c>
      <c r="I45" s="896">
        <v>1</v>
      </c>
      <c r="J45" s="899">
        <v>1</v>
      </c>
      <c r="K45" s="898">
        <v>1</v>
      </c>
      <c r="L45" s="895" t="b">
        <f t="shared" si="3"/>
        <v>1</v>
      </c>
      <c r="M45" s="897"/>
    </row>
    <row r="46" spans="1:13" ht="30" customHeight="1">
      <c r="A46" s="33">
        <f t="shared" si="0"/>
        <v>44</v>
      </c>
      <c r="B46" s="33" t="s">
        <v>4241</v>
      </c>
      <c r="C46" s="33" t="s">
        <v>1031</v>
      </c>
      <c r="D46" s="896" t="s">
        <v>4264</v>
      </c>
      <c r="E46" s="33" t="s">
        <v>4265</v>
      </c>
      <c r="F46" s="33"/>
      <c r="G46" s="896" t="s">
        <v>4272</v>
      </c>
      <c r="H46" s="900"/>
      <c r="I46" s="896"/>
      <c r="J46" s="899"/>
      <c r="K46" s="898"/>
      <c r="L46" s="895" t="b">
        <f t="shared" si="3"/>
        <v>1</v>
      </c>
      <c r="M46" s="897"/>
    </row>
    <row r="47" spans="1:13" ht="30" customHeight="1">
      <c r="A47" s="33">
        <f t="shared" si="0"/>
        <v>45</v>
      </c>
      <c r="B47" s="33" t="s">
        <v>4241</v>
      </c>
      <c r="C47" s="33" t="s">
        <v>1031</v>
      </c>
      <c r="D47" s="896" t="s">
        <v>4264</v>
      </c>
      <c r="E47" s="33" t="s">
        <v>4269</v>
      </c>
      <c r="F47" s="33"/>
      <c r="G47" s="896" t="s">
        <v>4270</v>
      </c>
      <c r="H47" s="900"/>
      <c r="I47" s="896"/>
      <c r="J47" s="899"/>
      <c r="K47" s="898"/>
      <c r="L47" s="895" t="b">
        <f t="shared" si="3"/>
        <v>1</v>
      </c>
      <c r="M47" s="897"/>
    </row>
    <row r="48" spans="1:13" ht="30" customHeight="1">
      <c r="A48" s="33">
        <f t="shared" si="0"/>
        <v>46</v>
      </c>
      <c r="B48" s="33" t="s">
        <v>4241</v>
      </c>
      <c r="C48" s="33" t="s">
        <v>1031</v>
      </c>
      <c r="D48" s="896" t="s">
        <v>4264</v>
      </c>
      <c r="E48" s="33" t="s">
        <v>4265</v>
      </c>
      <c r="F48" s="33"/>
      <c r="G48" s="896" t="s">
        <v>4272</v>
      </c>
      <c r="H48" s="900"/>
      <c r="I48" s="896"/>
      <c r="J48" s="899"/>
      <c r="K48" s="898"/>
      <c r="L48" s="895" t="b">
        <f t="shared" si="3"/>
        <v>1</v>
      </c>
      <c r="M48" s="897"/>
    </row>
    <row r="49" spans="1:13" ht="30" customHeight="1">
      <c r="A49" s="33">
        <f t="shared" si="0"/>
        <v>47</v>
      </c>
      <c r="B49" s="33" t="s">
        <v>4241</v>
      </c>
      <c r="C49" s="33" t="s">
        <v>1031</v>
      </c>
      <c r="D49" s="896" t="s">
        <v>4264</v>
      </c>
      <c r="E49" s="33" t="s">
        <v>4269</v>
      </c>
      <c r="F49" s="33"/>
      <c r="G49" s="896" t="s">
        <v>4271</v>
      </c>
      <c r="H49" s="900"/>
      <c r="I49" s="896"/>
      <c r="J49" s="899"/>
      <c r="K49" s="898"/>
      <c r="L49" s="895" t="b">
        <f t="shared" si="3"/>
        <v>1</v>
      </c>
      <c r="M49" s="897"/>
    </row>
    <row r="50" spans="1:13" ht="30" customHeight="1">
      <c r="A50" s="33">
        <f t="shared" si="0"/>
        <v>48</v>
      </c>
      <c r="B50" s="33" t="s">
        <v>4241</v>
      </c>
      <c r="C50" s="33" t="s">
        <v>1031</v>
      </c>
      <c r="D50" s="896" t="s">
        <v>4210</v>
      </c>
      <c r="E50" s="896" t="s">
        <v>4244</v>
      </c>
      <c r="F50" s="896"/>
      <c r="G50" s="100" t="s">
        <v>4222</v>
      </c>
      <c r="H50" s="900"/>
      <c r="I50" s="100"/>
      <c r="J50" s="899"/>
      <c r="K50" s="898"/>
      <c r="L50" s="895" t="b">
        <f t="shared" si="3"/>
        <v>1</v>
      </c>
      <c r="M50" s="897"/>
    </row>
    <row r="51" spans="1:13" ht="30" customHeight="1">
      <c r="A51" s="33">
        <f t="shared" si="0"/>
        <v>49</v>
      </c>
      <c r="B51" s="33" t="s">
        <v>4241</v>
      </c>
      <c r="C51" s="33" t="s">
        <v>1031</v>
      </c>
      <c r="D51" s="896" t="s">
        <v>4210</v>
      </c>
      <c r="E51" s="896" t="s">
        <v>4244</v>
      </c>
      <c r="F51" s="896"/>
      <c r="G51" s="896" t="s">
        <v>4218</v>
      </c>
      <c r="H51" s="900"/>
      <c r="I51" s="896"/>
      <c r="J51" s="899"/>
      <c r="K51" s="898"/>
      <c r="L51" s="895" t="b">
        <f t="shared" si="3"/>
        <v>1</v>
      </c>
      <c r="M51" s="897"/>
    </row>
    <row r="52" spans="1:13" ht="30" customHeight="1">
      <c r="A52" s="33">
        <f t="shared" si="0"/>
        <v>50</v>
      </c>
      <c r="B52" s="33" t="s">
        <v>4241</v>
      </c>
      <c r="C52" s="33" t="s">
        <v>1031</v>
      </c>
      <c r="D52" s="896" t="s">
        <v>4210</v>
      </c>
      <c r="E52" s="896" t="s">
        <v>4209</v>
      </c>
      <c r="F52" s="896"/>
      <c r="G52" s="896" t="s">
        <v>4222</v>
      </c>
      <c r="H52" s="900"/>
      <c r="I52" s="896"/>
      <c r="J52" s="899"/>
      <c r="K52" s="898"/>
      <c r="L52" s="895" t="b">
        <f t="shared" si="3"/>
        <v>1</v>
      </c>
      <c r="M52" s="897"/>
    </row>
    <row r="53" spans="1:13" ht="30" customHeight="1">
      <c r="A53" s="33">
        <f t="shared" si="0"/>
        <v>51</v>
      </c>
      <c r="B53" s="33" t="s">
        <v>4241</v>
      </c>
      <c r="C53" s="33" t="s">
        <v>1031</v>
      </c>
      <c r="D53" s="896" t="s">
        <v>4210</v>
      </c>
      <c r="E53" s="896" t="s">
        <v>4209</v>
      </c>
      <c r="F53" s="896"/>
      <c r="G53" s="896" t="s">
        <v>4218</v>
      </c>
      <c r="H53" s="900"/>
      <c r="I53" s="896"/>
      <c r="J53" s="899"/>
      <c r="K53" s="898"/>
      <c r="L53" s="895" t="b">
        <f t="shared" si="3"/>
        <v>1</v>
      </c>
      <c r="M53" s="897"/>
    </row>
    <row r="54" spans="1:13" ht="30" customHeight="1">
      <c r="A54" s="33">
        <f t="shared" si="0"/>
        <v>52</v>
      </c>
      <c r="B54" s="33" t="s">
        <v>4241</v>
      </c>
      <c r="C54" s="33" t="s">
        <v>1031</v>
      </c>
      <c r="D54" s="896" t="s">
        <v>4240</v>
      </c>
      <c r="E54" s="33" t="s">
        <v>4239</v>
      </c>
      <c r="F54" s="33"/>
      <c r="G54" s="100" t="s">
        <v>4266</v>
      </c>
      <c r="H54" s="900"/>
      <c r="I54" s="100"/>
      <c r="J54" s="899"/>
      <c r="K54" s="898"/>
      <c r="L54" s="895" t="b">
        <f t="shared" si="3"/>
        <v>1</v>
      </c>
      <c r="M54" s="897"/>
    </row>
    <row r="55" spans="1:13" ht="30" customHeight="1">
      <c r="A55" s="33">
        <f t="shared" si="0"/>
        <v>53</v>
      </c>
      <c r="B55" s="33" t="s">
        <v>4241</v>
      </c>
      <c r="C55" s="33" t="s">
        <v>1031</v>
      </c>
      <c r="D55" s="896" t="s">
        <v>4240</v>
      </c>
      <c r="E55" s="33" t="s">
        <v>4239</v>
      </c>
      <c r="F55" s="33"/>
      <c r="G55" s="100" t="s">
        <v>4267</v>
      </c>
      <c r="H55" s="900"/>
      <c r="I55" s="100"/>
      <c r="J55" s="899"/>
      <c r="K55" s="898"/>
      <c r="L55" s="895" t="b">
        <f t="shared" si="3"/>
        <v>1</v>
      </c>
      <c r="M55" s="897"/>
    </row>
    <row r="56" spans="1:13" ht="30" customHeight="1">
      <c r="A56" s="33">
        <f t="shared" si="0"/>
        <v>54</v>
      </c>
      <c r="B56" s="33" t="s">
        <v>4241</v>
      </c>
      <c r="C56" s="33" t="s">
        <v>50</v>
      </c>
      <c r="D56" s="896" t="s">
        <v>4228</v>
      </c>
      <c r="E56" s="33" t="s">
        <v>4238</v>
      </c>
      <c r="F56" s="33"/>
      <c r="G56" s="100" t="s">
        <v>4222</v>
      </c>
      <c r="H56" s="900"/>
      <c r="I56" s="100"/>
      <c r="J56" s="899"/>
      <c r="K56" s="898"/>
      <c r="L56" s="895" t="b">
        <f t="shared" si="3"/>
        <v>1</v>
      </c>
      <c r="M56" s="897"/>
    </row>
    <row r="57" spans="1:13" ht="30" customHeight="1">
      <c r="A57" s="33">
        <f t="shared" si="0"/>
        <v>55</v>
      </c>
      <c r="B57" s="33" t="s">
        <v>4241</v>
      </c>
      <c r="C57" s="33" t="s">
        <v>50</v>
      </c>
      <c r="D57" s="896" t="s">
        <v>4228</v>
      </c>
      <c r="E57" s="33" t="s">
        <v>4238</v>
      </c>
      <c r="F57" s="33"/>
      <c r="G57" s="896" t="s">
        <v>4218</v>
      </c>
      <c r="H57" s="900"/>
      <c r="I57" s="896"/>
      <c r="J57" s="899"/>
      <c r="K57" s="898"/>
      <c r="L57" s="895" t="b">
        <f t="shared" si="3"/>
        <v>1</v>
      </c>
      <c r="M57" s="897"/>
    </row>
    <row r="58" spans="1:13" ht="30" customHeight="1">
      <c r="A58" s="33">
        <f t="shared" si="0"/>
        <v>56</v>
      </c>
      <c r="B58" s="33" t="s">
        <v>4241</v>
      </c>
      <c r="C58" s="33" t="s">
        <v>50</v>
      </c>
      <c r="D58" s="896" t="s">
        <v>4264</v>
      </c>
      <c r="E58" s="33" t="s">
        <v>4265</v>
      </c>
      <c r="F58" s="33"/>
      <c r="G58" s="896" t="s">
        <v>4272</v>
      </c>
      <c r="H58" s="900"/>
      <c r="I58" s="896"/>
      <c r="J58" s="899"/>
      <c r="K58" s="898"/>
      <c r="L58" s="895" t="b">
        <f t="shared" si="3"/>
        <v>1</v>
      </c>
      <c r="M58" s="897"/>
    </row>
    <row r="59" spans="1:13" ht="30" customHeight="1">
      <c r="A59" s="33">
        <f t="shared" si="0"/>
        <v>57</v>
      </c>
      <c r="B59" s="33" t="s">
        <v>4241</v>
      </c>
      <c r="C59" s="33" t="s">
        <v>50</v>
      </c>
      <c r="D59" s="896" t="s">
        <v>4264</v>
      </c>
      <c r="E59" s="33" t="s">
        <v>4269</v>
      </c>
      <c r="F59" s="33"/>
      <c r="G59" s="896" t="s">
        <v>4270</v>
      </c>
      <c r="H59" s="900"/>
      <c r="I59" s="896"/>
      <c r="J59" s="899"/>
      <c r="K59" s="898"/>
      <c r="L59" s="895" t="b">
        <f t="shared" si="3"/>
        <v>1</v>
      </c>
      <c r="M59" s="897"/>
    </row>
    <row r="60" spans="1:13" ht="30" customHeight="1">
      <c r="A60" s="33">
        <f t="shared" si="0"/>
        <v>58</v>
      </c>
      <c r="B60" s="33" t="s">
        <v>4241</v>
      </c>
      <c r="C60" s="33" t="s">
        <v>50</v>
      </c>
      <c r="D60" s="896" t="s">
        <v>4264</v>
      </c>
      <c r="E60" s="33" t="s">
        <v>4265</v>
      </c>
      <c r="F60" s="33"/>
      <c r="G60" s="896" t="s">
        <v>4272</v>
      </c>
      <c r="H60" s="900"/>
      <c r="I60" s="896"/>
      <c r="J60" s="899"/>
      <c r="K60" s="898"/>
      <c r="L60" s="895" t="b">
        <f t="shared" si="3"/>
        <v>1</v>
      </c>
      <c r="M60" s="897"/>
    </row>
    <row r="61" spans="1:13" ht="30" customHeight="1">
      <c r="A61" s="33">
        <f t="shared" si="0"/>
        <v>59</v>
      </c>
      <c r="B61" s="33" t="s">
        <v>4241</v>
      </c>
      <c r="C61" s="33" t="s">
        <v>50</v>
      </c>
      <c r="D61" s="896" t="s">
        <v>4264</v>
      </c>
      <c r="E61" s="33" t="s">
        <v>4269</v>
      </c>
      <c r="F61" s="33"/>
      <c r="G61" s="896" t="s">
        <v>4271</v>
      </c>
      <c r="H61" s="900"/>
      <c r="I61" s="896"/>
      <c r="J61" s="899"/>
      <c r="K61" s="898"/>
      <c r="L61" s="895" t="b">
        <f t="shared" si="3"/>
        <v>1</v>
      </c>
      <c r="M61" s="897"/>
    </row>
    <row r="62" spans="1:13" ht="30" customHeight="1">
      <c r="A62" s="33">
        <f t="shared" si="0"/>
        <v>60</v>
      </c>
      <c r="B62" s="33" t="s">
        <v>4241</v>
      </c>
      <c r="C62" s="33" t="s">
        <v>50</v>
      </c>
      <c r="D62" s="896" t="s">
        <v>4210</v>
      </c>
      <c r="E62" s="896" t="s">
        <v>4244</v>
      </c>
      <c r="F62" s="896"/>
      <c r="G62" s="100" t="s">
        <v>4222</v>
      </c>
      <c r="H62" s="900"/>
      <c r="I62" s="100"/>
      <c r="J62" s="899"/>
      <c r="K62" s="898"/>
      <c r="L62" s="895" t="b">
        <f t="shared" si="3"/>
        <v>1</v>
      </c>
      <c r="M62" s="897"/>
    </row>
    <row r="63" spans="1:13" ht="30" customHeight="1">
      <c r="A63" s="33">
        <f t="shared" si="0"/>
        <v>61</v>
      </c>
      <c r="B63" s="33" t="s">
        <v>4241</v>
      </c>
      <c r="C63" s="33" t="s">
        <v>50</v>
      </c>
      <c r="D63" s="896" t="s">
        <v>4210</v>
      </c>
      <c r="E63" s="896" t="s">
        <v>4244</v>
      </c>
      <c r="F63" s="896"/>
      <c r="G63" s="896" t="s">
        <v>4218</v>
      </c>
      <c r="H63" s="900"/>
      <c r="I63" s="896"/>
      <c r="J63" s="899"/>
      <c r="K63" s="898"/>
      <c r="L63" s="895" t="b">
        <f t="shared" si="3"/>
        <v>1</v>
      </c>
      <c r="M63" s="897"/>
    </row>
    <row r="64" spans="1:13" ht="30" customHeight="1">
      <c r="A64" s="33">
        <f t="shared" si="0"/>
        <v>62</v>
      </c>
      <c r="B64" s="33" t="s">
        <v>4241</v>
      </c>
      <c r="C64" s="33" t="s">
        <v>50</v>
      </c>
      <c r="D64" s="896" t="s">
        <v>4210</v>
      </c>
      <c r="E64" s="896" t="s">
        <v>4209</v>
      </c>
      <c r="F64" s="896"/>
      <c r="G64" s="100" t="s">
        <v>4222</v>
      </c>
      <c r="H64" s="900">
        <v>45717</v>
      </c>
      <c r="I64" s="100">
        <v>1</v>
      </c>
      <c r="J64" s="100">
        <v>1</v>
      </c>
      <c r="K64" s="898"/>
      <c r="L64" s="895" t="b">
        <f t="shared" si="3"/>
        <v>0</v>
      </c>
      <c r="M64" s="897"/>
    </row>
    <row r="65" spans="1:13" ht="30" customHeight="1">
      <c r="A65" s="33">
        <f t="shared" si="0"/>
        <v>63</v>
      </c>
      <c r="B65" s="33" t="s">
        <v>4241</v>
      </c>
      <c r="C65" s="33" t="s">
        <v>50</v>
      </c>
      <c r="D65" s="896" t="s">
        <v>4210</v>
      </c>
      <c r="E65" s="896" t="s">
        <v>4209</v>
      </c>
      <c r="F65" s="896"/>
      <c r="G65" s="100" t="s">
        <v>4222</v>
      </c>
      <c r="H65" s="900">
        <v>45748</v>
      </c>
      <c r="I65" s="100">
        <v>7</v>
      </c>
      <c r="J65" s="100">
        <v>7</v>
      </c>
      <c r="K65" s="898"/>
      <c r="L65" s="895" t="b">
        <f t="shared" si="3"/>
        <v>0</v>
      </c>
      <c r="M65" s="897"/>
    </row>
    <row r="66" spans="1:13" ht="30" customHeight="1">
      <c r="A66" s="33">
        <f t="shared" si="0"/>
        <v>64</v>
      </c>
      <c r="B66" s="33" t="s">
        <v>4241</v>
      </c>
      <c r="C66" s="33" t="s">
        <v>50</v>
      </c>
      <c r="D66" s="896" t="s">
        <v>4210</v>
      </c>
      <c r="E66" s="896" t="s">
        <v>4209</v>
      </c>
      <c r="F66" s="896"/>
      <c r="G66" s="100" t="s">
        <v>4222</v>
      </c>
      <c r="H66" s="900">
        <v>45778</v>
      </c>
      <c r="I66" s="100">
        <v>8</v>
      </c>
      <c r="J66" s="100">
        <v>8</v>
      </c>
      <c r="K66" s="898"/>
      <c r="L66" s="895" t="b">
        <f t="shared" si="3"/>
        <v>0</v>
      </c>
      <c r="M66" s="897"/>
    </row>
    <row r="67" spans="1:13" ht="30" customHeight="1">
      <c r="A67" s="33">
        <f t="shared" si="0"/>
        <v>65</v>
      </c>
      <c r="B67" s="33" t="s">
        <v>4241</v>
      </c>
      <c r="C67" s="33" t="s">
        <v>50</v>
      </c>
      <c r="D67" s="896" t="s">
        <v>4210</v>
      </c>
      <c r="E67" s="896" t="s">
        <v>4209</v>
      </c>
      <c r="F67" s="896"/>
      <c r="G67" s="100" t="s">
        <v>4222</v>
      </c>
      <c r="H67" s="900">
        <v>45809</v>
      </c>
      <c r="I67" s="100">
        <v>11</v>
      </c>
      <c r="J67" s="100">
        <v>11</v>
      </c>
      <c r="K67" s="898"/>
      <c r="L67" s="895" t="b">
        <f t="shared" si="3"/>
        <v>0</v>
      </c>
      <c r="M67" s="897"/>
    </row>
    <row r="68" spans="1:13" ht="30" customHeight="1">
      <c r="A68" s="33">
        <f t="shared" ref="A68:A131" si="4">ROW(A66)</f>
        <v>66</v>
      </c>
      <c r="B68" s="33" t="s">
        <v>4241</v>
      </c>
      <c r="C68" s="33" t="s">
        <v>50</v>
      </c>
      <c r="D68" s="896" t="s">
        <v>4210</v>
      </c>
      <c r="E68" s="896" t="s">
        <v>4209</v>
      </c>
      <c r="F68" s="896"/>
      <c r="G68" s="100" t="s">
        <v>4222</v>
      </c>
      <c r="H68" s="900">
        <v>45839</v>
      </c>
      <c r="I68" s="100">
        <v>9</v>
      </c>
      <c r="J68" s="100">
        <v>9</v>
      </c>
      <c r="K68" s="898"/>
      <c r="L68" s="895" t="b">
        <f t="shared" si="3"/>
        <v>0</v>
      </c>
      <c r="M68" s="897"/>
    </row>
    <row r="69" spans="1:13" ht="30" customHeight="1">
      <c r="A69" s="33">
        <f t="shared" si="4"/>
        <v>67</v>
      </c>
      <c r="B69" s="33" t="s">
        <v>4241</v>
      </c>
      <c r="C69" s="33" t="s">
        <v>50</v>
      </c>
      <c r="D69" s="896" t="s">
        <v>4210</v>
      </c>
      <c r="E69" s="896" t="s">
        <v>4209</v>
      </c>
      <c r="F69" s="896"/>
      <c r="G69" s="100" t="s">
        <v>4222</v>
      </c>
      <c r="H69" s="900">
        <v>45870</v>
      </c>
      <c r="I69" s="100">
        <v>1</v>
      </c>
      <c r="J69" s="100">
        <v>1</v>
      </c>
      <c r="K69" s="898"/>
      <c r="L69" s="895" t="b">
        <f t="shared" si="3"/>
        <v>0</v>
      </c>
      <c r="M69" s="897"/>
    </row>
    <row r="70" spans="1:13" ht="30" customHeight="1">
      <c r="A70" s="33">
        <f t="shared" si="4"/>
        <v>68</v>
      </c>
      <c r="B70" s="33" t="s">
        <v>4241</v>
      </c>
      <c r="C70" s="33" t="s">
        <v>50</v>
      </c>
      <c r="D70" s="896" t="s">
        <v>4210</v>
      </c>
      <c r="E70" s="896" t="s">
        <v>4209</v>
      </c>
      <c r="F70" s="896"/>
      <c r="G70" s="896" t="s">
        <v>4218</v>
      </c>
      <c r="H70" s="900">
        <v>45870</v>
      </c>
      <c r="I70" s="896">
        <v>9</v>
      </c>
      <c r="J70" s="896">
        <v>9</v>
      </c>
      <c r="K70" s="898"/>
      <c r="L70" s="895" t="b">
        <f t="shared" ref="L70:L140" si="5">IF(J70&lt;&gt;K70,FALSE,TRUE)</f>
        <v>0</v>
      </c>
      <c r="M70" s="897"/>
    </row>
    <row r="71" spans="1:13" ht="30" customHeight="1">
      <c r="A71" s="33">
        <f t="shared" si="4"/>
        <v>69</v>
      </c>
      <c r="B71" s="33" t="s">
        <v>4241</v>
      </c>
      <c r="C71" s="33" t="s">
        <v>50</v>
      </c>
      <c r="D71" s="896" t="s">
        <v>4210</v>
      </c>
      <c r="E71" s="896" t="s">
        <v>4209</v>
      </c>
      <c r="F71" s="896"/>
      <c r="G71" s="896" t="s">
        <v>4218</v>
      </c>
      <c r="H71" s="900">
        <v>45901</v>
      </c>
      <c r="I71" s="896">
        <v>9</v>
      </c>
      <c r="J71" s="896">
        <v>9</v>
      </c>
      <c r="K71" s="898"/>
      <c r="L71" s="895" t="b">
        <f t="shared" si="5"/>
        <v>0</v>
      </c>
      <c r="M71" s="897"/>
    </row>
    <row r="72" spans="1:13" ht="30" customHeight="1">
      <c r="A72" s="33">
        <f t="shared" si="4"/>
        <v>70</v>
      </c>
      <c r="B72" s="33" t="s">
        <v>4241</v>
      </c>
      <c r="C72" s="33" t="s">
        <v>50</v>
      </c>
      <c r="D72" s="896" t="s">
        <v>4210</v>
      </c>
      <c r="E72" s="896" t="s">
        <v>4209</v>
      </c>
      <c r="F72" s="896"/>
      <c r="G72" s="896" t="s">
        <v>4218</v>
      </c>
      <c r="H72" s="900">
        <v>45931</v>
      </c>
      <c r="I72" s="896">
        <v>10</v>
      </c>
      <c r="J72" s="896">
        <v>10</v>
      </c>
      <c r="K72" s="898"/>
      <c r="L72" s="895" t="b">
        <f t="shared" si="5"/>
        <v>0</v>
      </c>
      <c r="M72" s="897"/>
    </row>
    <row r="73" spans="1:13" ht="30" customHeight="1">
      <c r="A73" s="33">
        <f t="shared" si="4"/>
        <v>71</v>
      </c>
      <c r="B73" s="33" t="s">
        <v>4241</v>
      </c>
      <c r="C73" s="33" t="s">
        <v>50</v>
      </c>
      <c r="D73" s="896" t="s">
        <v>4210</v>
      </c>
      <c r="E73" s="896" t="s">
        <v>4209</v>
      </c>
      <c r="F73" s="896"/>
      <c r="G73" s="896" t="s">
        <v>4218</v>
      </c>
      <c r="H73" s="900">
        <v>46082</v>
      </c>
      <c r="I73" s="896">
        <v>6</v>
      </c>
      <c r="J73" s="899">
        <v>0</v>
      </c>
      <c r="K73" s="898"/>
      <c r="L73" s="895" t="b">
        <f t="shared" si="5"/>
        <v>1</v>
      </c>
      <c r="M73" s="897"/>
    </row>
    <row r="74" spans="1:13" ht="30" customHeight="1">
      <c r="A74" s="33">
        <f t="shared" si="4"/>
        <v>72</v>
      </c>
      <c r="B74" s="33" t="s">
        <v>4241</v>
      </c>
      <c r="C74" s="33" t="s">
        <v>50</v>
      </c>
      <c r="D74" s="896" t="s">
        <v>4210</v>
      </c>
      <c r="E74" s="896" t="s">
        <v>4209</v>
      </c>
      <c r="F74" s="896"/>
      <c r="G74" s="896" t="s">
        <v>4218</v>
      </c>
      <c r="H74" s="900">
        <v>46113</v>
      </c>
      <c r="I74" s="896">
        <v>2</v>
      </c>
      <c r="J74" s="899">
        <v>0</v>
      </c>
      <c r="K74" s="898"/>
      <c r="L74" s="895" t="b">
        <f t="shared" si="5"/>
        <v>1</v>
      </c>
      <c r="M74" s="897"/>
    </row>
    <row r="75" spans="1:13" ht="30" customHeight="1">
      <c r="A75" s="33">
        <f t="shared" si="4"/>
        <v>73</v>
      </c>
      <c r="B75" s="33" t="s">
        <v>4241</v>
      </c>
      <c r="C75" s="33" t="s">
        <v>50</v>
      </c>
      <c r="D75" s="896" t="s">
        <v>4243</v>
      </c>
      <c r="E75" s="33" t="s">
        <v>4242</v>
      </c>
      <c r="F75" s="33"/>
      <c r="G75" s="100" t="s">
        <v>4222</v>
      </c>
      <c r="H75" s="900">
        <v>45809</v>
      </c>
      <c r="I75" s="100">
        <v>5</v>
      </c>
      <c r="J75" s="899">
        <v>5</v>
      </c>
      <c r="K75" s="898"/>
      <c r="L75" s="895" t="b">
        <f t="shared" si="5"/>
        <v>0</v>
      </c>
      <c r="M75" s="897"/>
    </row>
    <row r="76" spans="1:13" ht="30" customHeight="1">
      <c r="A76" s="33">
        <f t="shared" si="4"/>
        <v>74</v>
      </c>
      <c r="B76" s="33" t="s">
        <v>4241</v>
      </c>
      <c r="C76" s="33" t="s">
        <v>50</v>
      </c>
      <c r="D76" s="896" t="s">
        <v>4243</v>
      </c>
      <c r="E76" s="33" t="s">
        <v>4242</v>
      </c>
      <c r="F76" s="33"/>
      <c r="G76" s="100" t="s">
        <v>4222</v>
      </c>
      <c r="H76" s="900">
        <v>45839</v>
      </c>
      <c r="I76" s="100">
        <v>5</v>
      </c>
      <c r="J76" s="899">
        <v>5</v>
      </c>
      <c r="K76" s="898"/>
      <c r="L76" s="895" t="b">
        <f t="shared" si="5"/>
        <v>0</v>
      </c>
      <c r="M76" s="897"/>
    </row>
    <row r="77" spans="1:13" ht="30" customHeight="1">
      <c r="A77" s="33">
        <f t="shared" si="4"/>
        <v>75</v>
      </c>
      <c r="B77" s="33" t="s">
        <v>4241</v>
      </c>
      <c r="C77" s="33" t="s">
        <v>50</v>
      </c>
      <c r="D77" s="896" t="s">
        <v>4243</v>
      </c>
      <c r="E77" s="33" t="s">
        <v>4242</v>
      </c>
      <c r="F77" s="33"/>
      <c r="G77" s="100" t="s">
        <v>4222</v>
      </c>
      <c r="H77" s="900">
        <v>45901</v>
      </c>
      <c r="I77" s="100">
        <v>8</v>
      </c>
      <c r="J77" s="899">
        <v>8</v>
      </c>
      <c r="K77" s="898"/>
      <c r="L77" s="895" t="b">
        <f t="shared" si="5"/>
        <v>0</v>
      </c>
      <c r="M77" s="897"/>
    </row>
    <row r="78" spans="1:13" ht="30" customHeight="1">
      <c r="A78" s="33">
        <f t="shared" si="4"/>
        <v>76</v>
      </c>
      <c r="B78" s="33" t="s">
        <v>4241</v>
      </c>
      <c r="C78" s="33" t="s">
        <v>50</v>
      </c>
      <c r="D78" s="896" t="s">
        <v>4243</v>
      </c>
      <c r="E78" s="33" t="s">
        <v>4242</v>
      </c>
      <c r="F78" s="33"/>
      <c r="G78" s="100" t="s">
        <v>4222</v>
      </c>
      <c r="H78" s="900">
        <v>45931</v>
      </c>
      <c r="I78" s="100">
        <v>3</v>
      </c>
      <c r="J78" s="899">
        <v>3</v>
      </c>
      <c r="K78" s="898"/>
      <c r="L78" s="895" t="b">
        <f t="shared" si="5"/>
        <v>0</v>
      </c>
      <c r="M78" s="897"/>
    </row>
    <row r="79" spans="1:13" ht="30" customHeight="1">
      <c r="A79" s="33">
        <f t="shared" si="4"/>
        <v>77</v>
      </c>
      <c r="B79" s="33" t="s">
        <v>4241</v>
      </c>
      <c r="C79" s="33" t="s">
        <v>50</v>
      </c>
      <c r="D79" s="896" t="s">
        <v>4243</v>
      </c>
      <c r="E79" s="33" t="s">
        <v>4242</v>
      </c>
      <c r="F79" s="33"/>
      <c r="G79" s="896" t="s">
        <v>4218</v>
      </c>
      <c r="H79" s="900">
        <v>45992</v>
      </c>
      <c r="I79" s="100">
        <v>11</v>
      </c>
      <c r="J79" s="899">
        <v>0</v>
      </c>
      <c r="K79" s="898"/>
      <c r="L79" s="895" t="b">
        <f t="shared" si="5"/>
        <v>1</v>
      </c>
      <c r="M79" s="897"/>
    </row>
    <row r="80" spans="1:13" ht="30" customHeight="1">
      <c r="A80" s="33">
        <f t="shared" si="4"/>
        <v>78</v>
      </c>
      <c r="B80" s="33" t="s">
        <v>4241</v>
      </c>
      <c r="C80" s="33" t="s">
        <v>50</v>
      </c>
      <c r="D80" s="896" t="s">
        <v>4243</v>
      </c>
      <c r="E80" s="33" t="s">
        <v>4242</v>
      </c>
      <c r="F80" s="33"/>
      <c r="G80" s="896" t="s">
        <v>4218</v>
      </c>
      <c r="H80" s="900">
        <v>46054</v>
      </c>
      <c r="I80" s="100">
        <v>3</v>
      </c>
      <c r="J80" s="899">
        <v>0</v>
      </c>
      <c r="K80" s="898"/>
      <c r="L80" s="895" t="b">
        <f t="shared" si="5"/>
        <v>1</v>
      </c>
      <c r="M80" s="897"/>
    </row>
    <row r="81" spans="1:13" ht="30" customHeight="1">
      <c r="A81" s="33">
        <f t="shared" si="4"/>
        <v>79</v>
      </c>
      <c r="B81" s="33" t="s">
        <v>4241</v>
      </c>
      <c r="C81" s="33" t="s">
        <v>50</v>
      </c>
      <c r="D81" s="896" t="s">
        <v>4243</v>
      </c>
      <c r="E81" s="33" t="s">
        <v>4242</v>
      </c>
      <c r="F81" s="33"/>
      <c r="G81" s="896" t="s">
        <v>4218</v>
      </c>
      <c r="H81" s="900">
        <v>46082</v>
      </c>
      <c r="I81" s="100">
        <v>5</v>
      </c>
      <c r="J81" s="899">
        <v>0</v>
      </c>
      <c r="K81" s="898"/>
      <c r="L81" s="895" t="b">
        <f t="shared" si="5"/>
        <v>1</v>
      </c>
      <c r="M81" s="897"/>
    </row>
    <row r="82" spans="1:13" ht="30" customHeight="1">
      <c r="A82" s="33">
        <f t="shared" si="4"/>
        <v>80</v>
      </c>
      <c r="B82" s="33" t="s">
        <v>4241</v>
      </c>
      <c r="C82" s="33" t="s">
        <v>50</v>
      </c>
      <c r="D82" s="896" t="s">
        <v>4243</v>
      </c>
      <c r="E82" s="33" t="s">
        <v>4242</v>
      </c>
      <c r="F82" s="33"/>
      <c r="G82" s="896" t="s">
        <v>4218</v>
      </c>
      <c r="H82" s="900">
        <v>46113</v>
      </c>
      <c r="I82" s="100">
        <v>8</v>
      </c>
      <c r="J82" s="899">
        <v>0</v>
      </c>
      <c r="K82" s="898"/>
      <c r="L82" s="895" t="b">
        <f t="shared" si="5"/>
        <v>1</v>
      </c>
      <c r="M82" s="897"/>
    </row>
    <row r="83" spans="1:13" ht="30" customHeight="1">
      <c r="A83" s="33">
        <f t="shared" si="4"/>
        <v>81</v>
      </c>
      <c r="B83" s="33" t="s">
        <v>4241</v>
      </c>
      <c r="C83" s="33" t="s">
        <v>50</v>
      </c>
      <c r="D83" s="896" t="s">
        <v>4243</v>
      </c>
      <c r="E83" s="33" t="s">
        <v>4242</v>
      </c>
      <c r="F83" s="33"/>
      <c r="G83" s="896" t="s">
        <v>4218</v>
      </c>
      <c r="H83" s="900">
        <v>46174</v>
      </c>
      <c r="I83" s="100">
        <v>5</v>
      </c>
      <c r="J83" s="899">
        <v>0</v>
      </c>
      <c r="K83" s="898"/>
      <c r="L83" s="895" t="b">
        <f t="shared" si="5"/>
        <v>1</v>
      </c>
      <c r="M83" s="897"/>
    </row>
    <row r="84" spans="1:13" ht="30" customHeight="1">
      <c r="A84" s="33">
        <f t="shared" si="4"/>
        <v>82</v>
      </c>
      <c r="B84" s="33" t="s">
        <v>4241</v>
      </c>
      <c r="C84" s="33" t="s">
        <v>50</v>
      </c>
      <c r="D84" s="896" t="s">
        <v>4240</v>
      </c>
      <c r="E84" s="33" t="s">
        <v>4239</v>
      </c>
      <c r="F84" s="33"/>
      <c r="G84" s="100" t="s">
        <v>4266</v>
      </c>
      <c r="H84" s="900"/>
      <c r="I84" s="100"/>
      <c r="J84" s="899"/>
      <c r="K84" s="898"/>
      <c r="L84" s="895" t="b">
        <f t="shared" si="5"/>
        <v>1</v>
      </c>
      <c r="M84" s="897"/>
    </row>
    <row r="85" spans="1:13" ht="30" customHeight="1">
      <c r="A85" s="33">
        <f t="shared" si="4"/>
        <v>83</v>
      </c>
      <c r="B85" s="33" t="s">
        <v>4241</v>
      </c>
      <c r="C85" s="33" t="s">
        <v>50</v>
      </c>
      <c r="D85" s="896" t="s">
        <v>4240</v>
      </c>
      <c r="E85" s="33" t="s">
        <v>4239</v>
      </c>
      <c r="F85" s="33"/>
      <c r="G85" s="100" t="s">
        <v>4267</v>
      </c>
      <c r="H85" s="900"/>
      <c r="I85" s="100"/>
      <c r="J85" s="899"/>
      <c r="K85" s="898"/>
      <c r="L85" s="895" t="b">
        <f t="shared" si="5"/>
        <v>1</v>
      </c>
      <c r="M85" s="897"/>
    </row>
    <row r="86" spans="1:13" ht="30" customHeight="1">
      <c r="A86" s="33">
        <f t="shared" si="4"/>
        <v>84</v>
      </c>
      <c r="B86" s="33" t="s">
        <v>642</v>
      </c>
      <c r="C86" s="33" t="s">
        <v>4260</v>
      </c>
      <c r="D86" s="896" t="s">
        <v>3992</v>
      </c>
      <c r="E86" s="33" t="s">
        <v>4238</v>
      </c>
      <c r="F86" s="33"/>
      <c r="G86" s="33" t="s">
        <v>4222</v>
      </c>
      <c r="H86" s="900"/>
      <c r="I86" s="33"/>
      <c r="J86" s="899"/>
      <c r="K86" s="898"/>
      <c r="L86" s="895" t="b">
        <f t="shared" si="5"/>
        <v>1</v>
      </c>
      <c r="M86" s="897"/>
    </row>
    <row r="87" spans="1:13" ht="30" customHeight="1">
      <c r="A87" s="33">
        <f t="shared" si="4"/>
        <v>85</v>
      </c>
      <c r="B87" s="33" t="s">
        <v>642</v>
      </c>
      <c r="C87" s="33" t="s">
        <v>4259</v>
      </c>
      <c r="D87" s="896" t="s">
        <v>3992</v>
      </c>
      <c r="E87" s="33" t="s">
        <v>4238</v>
      </c>
      <c r="F87" s="33"/>
      <c r="G87" s="33" t="s">
        <v>4222</v>
      </c>
      <c r="H87" s="900"/>
      <c r="I87" s="33"/>
      <c r="J87" s="899"/>
      <c r="K87" s="898"/>
      <c r="L87" s="895" t="b">
        <f t="shared" si="5"/>
        <v>1</v>
      </c>
      <c r="M87" s="897"/>
    </row>
    <row r="88" spans="1:13" ht="30" customHeight="1">
      <c r="A88" s="33">
        <f t="shared" si="4"/>
        <v>86</v>
      </c>
      <c r="B88" s="33" t="s">
        <v>642</v>
      </c>
      <c r="C88" s="33" t="s">
        <v>4261</v>
      </c>
      <c r="D88" s="896" t="s">
        <v>3992</v>
      </c>
      <c r="E88" s="33" t="s">
        <v>4238</v>
      </c>
      <c r="F88" s="33"/>
      <c r="G88" s="33" t="s">
        <v>4222</v>
      </c>
      <c r="H88" s="900"/>
      <c r="I88" s="33"/>
      <c r="J88" s="899"/>
      <c r="K88" s="898"/>
      <c r="L88" s="895" t="b">
        <f t="shared" si="5"/>
        <v>1</v>
      </c>
      <c r="M88" s="897"/>
    </row>
    <row r="89" spans="1:13" ht="30" customHeight="1">
      <c r="A89" s="33">
        <f t="shared" si="4"/>
        <v>87</v>
      </c>
      <c r="B89" s="33" t="s">
        <v>642</v>
      </c>
      <c r="C89" s="33" t="s">
        <v>4262</v>
      </c>
      <c r="D89" s="896" t="s">
        <v>3992</v>
      </c>
      <c r="E89" s="33" t="s">
        <v>4238</v>
      </c>
      <c r="F89" s="33"/>
      <c r="G89" s="33" t="s">
        <v>4222</v>
      </c>
      <c r="H89" s="900"/>
      <c r="I89" s="33"/>
      <c r="J89" s="899"/>
      <c r="K89" s="898"/>
      <c r="L89" s="895" t="b">
        <f t="shared" si="5"/>
        <v>1</v>
      </c>
      <c r="M89" s="897"/>
    </row>
    <row r="90" spans="1:13" ht="30" customHeight="1">
      <c r="A90" s="33">
        <f t="shared" si="4"/>
        <v>88</v>
      </c>
      <c r="B90" s="33" t="s">
        <v>642</v>
      </c>
      <c r="C90" s="33" t="s">
        <v>4260</v>
      </c>
      <c r="D90" s="896" t="s">
        <v>3992</v>
      </c>
      <c r="E90" s="33" t="s">
        <v>4238</v>
      </c>
      <c r="F90" s="33"/>
      <c r="G90" s="896" t="s">
        <v>4218</v>
      </c>
      <c r="H90" s="900"/>
      <c r="I90" s="896"/>
      <c r="J90" s="899"/>
      <c r="K90" s="898"/>
      <c r="L90" s="895" t="b">
        <f t="shared" si="5"/>
        <v>1</v>
      </c>
      <c r="M90" s="897"/>
    </row>
    <row r="91" spans="1:13" ht="30" customHeight="1">
      <c r="A91" s="33">
        <f t="shared" si="4"/>
        <v>89</v>
      </c>
      <c r="B91" s="33" t="s">
        <v>642</v>
      </c>
      <c r="C91" s="33" t="s">
        <v>4259</v>
      </c>
      <c r="D91" s="896" t="s">
        <v>3992</v>
      </c>
      <c r="E91" s="33" t="s">
        <v>4238</v>
      </c>
      <c r="F91" s="33"/>
      <c r="G91" s="896" t="s">
        <v>4218</v>
      </c>
      <c r="H91" s="900"/>
      <c r="I91" s="896"/>
      <c r="J91" s="899"/>
      <c r="K91" s="898"/>
      <c r="L91" s="895" t="b">
        <f t="shared" si="5"/>
        <v>1</v>
      </c>
      <c r="M91" s="897"/>
    </row>
    <row r="92" spans="1:13" ht="30" customHeight="1">
      <c r="A92" s="33">
        <f t="shared" si="4"/>
        <v>90</v>
      </c>
      <c r="B92" s="33" t="s">
        <v>642</v>
      </c>
      <c r="C92" s="33" t="s">
        <v>4261</v>
      </c>
      <c r="D92" s="896" t="s">
        <v>3992</v>
      </c>
      <c r="E92" s="33" t="s">
        <v>4238</v>
      </c>
      <c r="F92" s="33"/>
      <c r="G92" s="896" t="s">
        <v>4218</v>
      </c>
      <c r="H92" s="900"/>
      <c r="I92" s="896"/>
      <c r="J92" s="899"/>
      <c r="K92" s="898"/>
      <c r="L92" s="895" t="b">
        <f t="shared" si="5"/>
        <v>1</v>
      </c>
      <c r="M92" s="897"/>
    </row>
    <row r="93" spans="1:13" ht="30" customHeight="1">
      <c r="A93" s="33">
        <f t="shared" si="4"/>
        <v>91</v>
      </c>
      <c r="B93" s="33" t="s">
        <v>642</v>
      </c>
      <c r="C93" s="33" t="s">
        <v>4262</v>
      </c>
      <c r="D93" s="896" t="s">
        <v>3992</v>
      </c>
      <c r="E93" s="33" t="s">
        <v>4238</v>
      </c>
      <c r="F93" s="33"/>
      <c r="G93" s="896" t="s">
        <v>4218</v>
      </c>
      <c r="H93" s="900"/>
      <c r="I93" s="896"/>
      <c r="J93" s="899"/>
      <c r="K93" s="898"/>
      <c r="L93" s="895" t="b">
        <f t="shared" si="5"/>
        <v>1</v>
      </c>
      <c r="M93" s="897"/>
    </row>
    <row r="94" spans="1:13" ht="30" customHeight="1">
      <c r="A94" s="33">
        <f t="shared" si="4"/>
        <v>92</v>
      </c>
      <c r="B94" s="33" t="s">
        <v>642</v>
      </c>
      <c r="C94" s="33" t="s">
        <v>4260</v>
      </c>
      <c r="D94" s="896" t="s">
        <v>4224</v>
      </c>
      <c r="E94" s="33" t="s">
        <v>4237</v>
      </c>
      <c r="F94" s="33"/>
      <c r="G94" s="33" t="s">
        <v>4222</v>
      </c>
      <c r="H94" s="900"/>
      <c r="I94" s="33"/>
      <c r="J94" s="899"/>
      <c r="K94" s="898"/>
      <c r="L94" s="895" t="b">
        <f t="shared" si="5"/>
        <v>1</v>
      </c>
      <c r="M94" s="897"/>
    </row>
    <row r="95" spans="1:13" ht="30" customHeight="1">
      <c r="A95" s="33">
        <f t="shared" si="4"/>
        <v>93</v>
      </c>
      <c r="B95" s="33" t="s">
        <v>642</v>
      </c>
      <c r="C95" s="33" t="s">
        <v>4259</v>
      </c>
      <c r="D95" s="896" t="s">
        <v>4224</v>
      </c>
      <c r="E95" s="33" t="s">
        <v>4237</v>
      </c>
      <c r="F95" s="33"/>
      <c r="G95" s="33" t="s">
        <v>4222</v>
      </c>
      <c r="H95" s="900"/>
      <c r="I95" s="33"/>
      <c r="J95" s="899"/>
      <c r="K95" s="898"/>
      <c r="L95" s="895" t="b">
        <f t="shared" si="5"/>
        <v>1</v>
      </c>
      <c r="M95" s="897"/>
    </row>
    <row r="96" spans="1:13" ht="30" customHeight="1">
      <c r="A96" s="33">
        <f t="shared" si="4"/>
        <v>94</v>
      </c>
      <c r="B96" s="33" t="s">
        <v>642</v>
      </c>
      <c r="C96" s="33" t="s">
        <v>4261</v>
      </c>
      <c r="D96" s="896" t="s">
        <v>4224</v>
      </c>
      <c r="E96" s="33" t="s">
        <v>4237</v>
      </c>
      <c r="F96" s="33"/>
      <c r="G96" s="33" t="s">
        <v>4222</v>
      </c>
      <c r="H96" s="900"/>
      <c r="I96" s="33"/>
      <c r="J96" s="899"/>
      <c r="K96" s="898"/>
      <c r="L96" s="895" t="b">
        <f t="shared" si="5"/>
        <v>1</v>
      </c>
      <c r="M96" s="897"/>
    </row>
    <row r="97" spans="1:13" ht="30" customHeight="1">
      <c r="A97" s="33">
        <f t="shared" si="4"/>
        <v>95</v>
      </c>
      <c r="B97" s="33" t="s">
        <v>642</v>
      </c>
      <c r="C97" s="33" t="s">
        <v>4262</v>
      </c>
      <c r="D97" s="896" t="s">
        <v>4224</v>
      </c>
      <c r="E97" s="33" t="s">
        <v>4237</v>
      </c>
      <c r="F97" s="33"/>
      <c r="G97" s="33" t="s">
        <v>4222</v>
      </c>
      <c r="H97" s="900"/>
      <c r="I97" s="33"/>
      <c r="J97" s="899"/>
      <c r="K97" s="898"/>
      <c r="L97" s="895" t="b">
        <f t="shared" si="5"/>
        <v>1</v>
      </c>
      <c r="M97" s="897"/>
    </row>
    <row r="98" spans="1:13" ht="30" customHeight="1">
      <c r="A98" s="33">
        <f t="shared" si="4"/>
        <v>96</v>
      </c>
      <c r="B98" s="33" t="s">
        <v>642</v>
      </c>
      <c r="C98" s="33" t="s">
        <v>4263</v>
      </c>
      <c r="D98" s="896" t="s">
        <v>4224</v>
      </c>
      <c r="E98" s="33" t="s">
        <v>4237</v>
      </c>
      <c r="F98" s="33"/>
      <c r="G98" s="33" t="s">
        <v>4222</v>
      </c>
      <c r="H98" s="900"/>
      <c r="I98" s="33"/>
      <c r="J98" s="899"/>
      <c r="K98" s="898"/>
      <c r="L98" s="895" t="b">
        <f t="shared" si="5"/>
        <v>1</v>
      </c>
      <c r="M98" s="897"/>
    </row>
    <row r="99" spans="1:13" ht="30" customHeight="1">
      <c r="A99" s="33">
        <f t="shared" si="4"/>
        <v>97</v>
      </c>
      <c r="B99" s="33" t="s">
        <v>642</v>
      </c>
      <c r="C99" s="33" t="s">
        <v>642</v>
      </c>
      <c r="D99" s="896" t="s">
        <v>4224</v>
      </c>
      <c r="E99" s="33" t="s">
        <v>4237</v>
      </c>
      <c r="F99" s="33"/>
      <c r="G99" s="896" t="s">
        <v>4218</v>
      </c>
      <c r="H99" s="900"/>
      <c r="I99" s="896"/>
      <c r="J99" s="899"/>
      <c r="K99" s="898"/>
      <c r="L99" s="895" t="b">
        <f t="shared" si="5"/>
        <v>1</v>
      </c>
      <c r="M99" s="897"/>
    </row>
    <row r="100" spans="1:13" ht="30" customHeight="1">
      <c r="A100" s="33">
        <f t="shared" si="4"/>
        <v>98</v>
      </c>
      <c r="B100" s="33" t="s">
        <v>642</v>
      </c>
      <c r="C100" s="33" t="s">
        <v>642</v>
      </c>
      <c r="D100" s="33" t="s">
        <v>4236</v>
      </c>
      <c r="E100" s="33" t="s">
        <v>4235</v>
      </c>
      <c r="F100" s="33"/>
      <c r="G100" s="33" t="s">
        <v>4222</v>
      </c>
      <c r="H100" s="900"/>
      <c r="I100" s="33"/>
      <c r="J100" s="899"/>
      <c r="K100" s="898"/>
      <c r="L100" s="895" t="b">
        <f t="shared" si="5"/>
        <v>1</v>
      </c>
      <c r="M100" s="897"/>
    </row>
    <row r="101" spans="1:13" ht="30" customHeight="1">
      <c r="A101" s="33">
        <f t="shared" si="4"/>
        <v>99</v>
      </c>
      <c r="B101" s="33" t="s">
        <v>642</v>
      </c>
      <c r="C101" s="33" t="s">
        <v>642</v>
      </c>
      <c r="D101" s="33" t="s">
        <v>4236</v>
      </c>
      <c r="E101" s="33" t="s">
        <v>4235</v>
      </c>
      <c r="F101" s="33"/>
      <c r="G101" s="896" t="s">
        <v>4218</v>
      </c>
      <c r="H101" s="900"/>
      <c r="I101" s="896"/>
      <c r="J101" s="899"/>
      <c r="K101" s="898"/>
      <c r="L101" s="895" t="b">
        <f t="shared" si="5"/>
        <v>1</v>
      </c>
      <c r="M101" s="897"/>
    </row>
    <row r="102" spans="1:13" ht="30" customHeight="1">
      <c r="A102" s="33">
        <f t="shared" si="4"/>
        <v>100</v>
      </c>
      <c r="B102" s="33" t="s">
        <v>4227</v>
      </c>
      <c r="C102" s="33" t="s">
        <v>4234</v>
      </c>
      <c r="D102" s="33" t="s">
        <v>4228</v>
      </c>
      <c r="E102" s="896" t="s">
        <v>4223</v>
      </c>
      <c r="F102" s="896"/>
      <c r="G102" s="896" t="s">
        <v>4222</v>
      </c>
      <c r="H102" s="900"/>
      <c r="I102" s="896"/>
      <c r="J102" s="899"/>
      <c r="K102" s="898"/>
      <c r="L102" s="895" t="b">
        <f t="shared" si="5"/>
        <v>1</v>
      </c>
      <c r="M102" s="897"/>
    </row>
    <row r="103" spans="1:13" ht="30" customHeight="1">
      <c r="A103" s="33">
        <f t="shared" si="4"/>
        <v>101</v>
      </c>
      <c r="B103" s="33" t="s">
        <v>4227</v>
      </c>
      <c r="C103" s="33" t="s">
        <v>4234</v>
      </c>
      <c r="D103" s="33" t="s">
        <v>4228</v>
      </c>
      <c r="E103" s="896" t="s">
        <v>4223</v>
      </c>
      <c r="F103" s="896"/>
      <c r="G103" s="896" t="s">
        <v>4218</v>
      </c>
      <c r="H103" s="900"/>
      <c r="I103" s="896"/>
      <c r="J103" s="899"/>
      <c r="K103" s="898"/>
      <c r="L103" s="895" t="b">
        <f t="shared" si="5"/>
        <v>1</v>
      </c>
      <c r="M103" s="897"/>
    </row>
    <row r="104" spans="1:13" ht="30" customHeight="1">
      <c r="A104" s="33">
        <f t="shared" si="4"/>
        <v>102</v>
      </c>
      <c r="B104" s="33" t="s">
        <v>4227</v>
      </c>
      <c r="C104" s="33" t="s">
        <v>4233</v>
      </c>
      <c r="D104" s="33" t="s">
        <v>4228</v>
      </c>
      <c r="E104" s="896" t="s">
        <v>4223</v>
      </c>
      <c r="F104" s="896"/>
      <c r="G104" s="896" t="s">
        <v>4222</v>
      </c>
      <c r="H104" s="900"/>
      <c r="I104" s="896"/>
      <c r="J104" s="899"/>
      <c r="K104" s="898"/>
      <c r="L104" s="895" t="b">
        <f t="shared" si="5"/>
        <v>1</v>
      </c>
      <c r="M104" s="901"/>
    </row>
    <row r="105" spans="1:13" ht="30" customHeight="1">
      <c r="A105" s="33">
        <f t="shared" si="4"/>
        <v>103</v>
      </c>
      <c r="B105" s="33" t="s">
        <v>4227</v>
      </c>
      <c r="C105" s="33" t="s">
        <v>4233</v>
      </c>
      <c r="D105" s="33" t="s">
        <v>4228</v>
      </c>
      <c r="E105" s="896" t="s">
        <v>4223</v>
      </c>
      <c r="F105" s="896"/>
      <c r="G105" s="896" t="s">
        <v>4218</v>
      </c>
      <c r="H105" s="900"/>
      <c r="I105" s="896"/>
      <c r="J105" s="899"/>
      <c r="K105" s="898"/>
      <c r="L105" s="895" t="b">
        <f t="shared" si="5"/>
        <v>1</v>
      </c>
      <c r="M105" s="901"/>
    </row>
    <row r="106" spans="1:13" ht="30" customHeight="1">
      <c r="A106" s="33">
        <f t="shared" si="4"/>
        <v>104</v>
      </c>
      <c r="B106" s="33" t="s">
        <v>4227</v>
      </c>
      <c r="C106" s="33" t="s">
        <v>4232</v>
      </c>
      <c r="D106" s="33" t="s">
        <v>4228</v>
      </c>
      <c r="E106" s="896" t="s">
        <v>4223</v>
      </c>
      <c r="F106" s="896"/>
      <c r="G106" s="896" t="s">
        <v>4222</v>
      </c>
      <c r="H106" s="900"/>
      <c r="I106" s="896"/>
      <c r="J106" s="899"/>
      <c r="K106" s="898"/>
      <c r="L106" s="895" t="b">
        <f t="shared" si="5"/>
        <v>1</v>
      </c>
      <c r="M106" s="901"/>
    </row>
    <row r="107" spans="1:13" ht="30" customHeight="1">
      <c r="A107" s="33">
        <f t="shared" si="4"/>
        <v>105</v>
      </c>
      <c r="B107" s="33" t="s">
        <v>4227</v>
      </c>
      <c r="C107" s="33" t="s">
        <v>4232</v>
      </c>
      <c r="D107" s="33" t="s">
        <v>4228</v>
      </c>
      <c r="E107" s="896" t="s">
        <v>4223</v>
      </c>
      <c r="F107" s="896"/>
      <c r="G107" s="896" t="s">
        <v>4218</v>
      </c>
      <c r="H107" s="900"/>
      <c r="I107" s="896"/>
      <c r="J107" s="899"/>
      <c r="K107" s="898"/>
      <c r="L107" s="895" t="b">
        <f t="shared" si="5"/>
        <v>1</v>
      </c>
      <c r="M107" s="901"/>
    </row>
    <row r="108" spans="1:13" ht="30" customHeight="1">
      <c r="A108" s="33">
        <f t="shared" si="4"/>
        <v>106</v>
      </c>
      <c r="B108" s="33" t="s">
        <v>4227</v>
      </c>
      <c r="C108" s="33" t="s">
        <v>4231</v>
      </c>
      <c r="D108" s="33" t="s">
        <v>4228</v>
      </c>
      <c r="E108" s="896" t="s">
        <v>4223</v>
      </c>
      <c r="F108" s="896"/>
      <c r="G108" s="896" t="s">
        <v>4222</v>
      </c>
      <c r="H108" s="900"/>
      <c r="I108" s="896"/>
      <c r="J108" s="899"/>
      <c r="K108" s="898"/>
      <c r="L108" s="895" t="b">
        <f t="shared" si="5"/>
        <v>1</v>
      </c>
      <c r="M108" s="901"/>
    </row>
    <row r="109" spans="1:13" ht="30" customHeight="1">
      <c r="A109" s="33">
        <f t="shared" si="4"/>
        <v>107</v>
      </c>
      <c r="B109" s="33" t="s">
        <v>4227</v>
      </c>
      <c r="C109" s="33" t="s">
        <v>4231</v>
      </c>
      <c r="D109" s="33" t="s">
        <v>4228</v>
      </c>
      <c r="E109" s="896" t="s">
        <v>4223</v>
      </c>
      <c r="F109" s="896"/>
      <c r="G109" s="896" t="s">
        <v>4218</v>
      </c>
      <c r="H109" s="900"/>
      <c r="I109" s="896"/>
      <c r="J109" s="899"/>
      <c r="K109" s="898"/>
      <c r="L109" s="895" t="b">
        <f t="shared" si="5"/>
        <v>1</v>
      </c>
      <c r="M109" s="901"/>
    </row>
    <row r="110" spans="1:13" ht="30" customHeight="1">
      <c r="A110" s="33">
        <f t="shared" si="4"/>
        <v>108</v>
      </c>
      <c r="B110" s="33" t="s">
        <v>4227</v>
      </c>
      <c r="C110" s="33" t="s">
        <v>4230</v>
      </c>
      <c r="D110" s="33" t="s">
        <v>4228</v>
      </c>
      <c r="E110" s="896" t="s">
        <v>4223</v>
      </c>
      <c r="F110" s="896"/>
      <c r="G110" s="896" t="s">
        <v>4222</v>
      </c>
      <c r="H110" s="900"/>
      <c r="I110" s="896"/>
      <c r="J110" s="899"/>
      <c r="K110" s="898"/>
      <c r="L110" s="895" t="b">
        <f t="shared" si="5"/>
        <v>1</v>
      </c>
      <c r="M110" s="901"/>
    </row>
    <row r="111" spans="1:13" ht="30" customHeight="1">
      <c r="A111" s="33">
        <f t="shared" si="4"/>
        <v>109</v>
      </c>
      <c r="B111" s="33" t="s">
        <v>4227</v>
      </c>
      <c r="C111" s="33" t="s">
        <v>4230</v>
      </c>
      <c r="D111" s="33" t="s">
        <v>4228</v>
      </c>
      <c r="E111" s="896" t="s">
        <v>4223</v>
      </c>
      <c r="F111" s="896"/>
      <c r="G111" s="896" t="s">
        <v>4218</v>
      </c>
      <c r="H111" s="900"/>
      <c r="I111" s="896"/>
      <c r="J111" s="899"/>
      <c r="K111" s="898"/>
      <c r="L111" s="895" t="b">
        <f t="shared" si="5"/>
        <v>1</v>
      </c>
      <c r="M111" s="901"/>
    </row>
    <row r="112" spans="1:13" ht="30" customHeight="1">
      <c r="A112" s="33">
        <f t="shared" si="4"/>
        <v>110</v>
      </c>
      <c r="B112" s="33" t="s">
        <v>4227</v>
      </c>
      <c r="C112" s="33" t="s">
        <v>4229</v>
      </c>
      <c r="D112" s="33" t="s">
        <v>4228</v>
      </c>
      <c r="E112" s="896" t="s">
        <v>4223</v>
      </c>
      <c r="F112" s="896"/>
      <c r="G112" s="896" t="s">
        <v>4222</v>
      </c>
      <c r="H112" s="900"/>
      <c r="I112" s="896"/>
      <c r="J112" s="899"/>
      <c r="K112" s="898"/>
      <c r="L112" s="895" t="b">
        <f t="shared" si="5"/>
        <v>1</v>
      </c>
      <c r="M112" s="901"/>
    </row>
    <row r="113" spans="1:13" ht="30" customHeight="1">
      <c r="A113" s="33">
        <f t="shared" si="4"/>
        <v>111</v>
      </c>
      <c r="B113" s="33" t="s">
        <v>4227</v>
      </c>
      <c r="C113" s="33" t="s">
        <v>4229</v>
      </c>
      <c r="D113" s="33" t="s">
        <v>4228</v>
      </c>
      <c r="E113" s="896" t="s">
        <v>4223</v>
      </c>
      <c r="F113" s="896"/>
      <c r="G113" s="896" t="s">
        <v>4218</v>
      </c>
      <c r="H113" s="900"/>
      <c r="I113" s="896"/>
      <c r="J113" s="899"/>
      <c r="K113" s="898"/>
      <c r="L113" s="895" t="b">
        <f t="shared" si="5"/>
        <v>1</v>
      </c>
      <c r="M113" s="901"/>
    </row>
    <row r="114" spans="1:13" ht="30" customHeight="1">
      <c r="A114" s="33">
        <f t="shared" si="4"/>
        <v>112</v>
      </c>
      <c r="B114" s="33" t="s">
        <v>4227</v>
      </c>
      <c r="C114" s="33" t="s">
        <v>4226</v>
      </c>
      <c r="D114" s="33" t="s">
        <v>4210</v>
      </c>
      <c r="E114" s="896" t="s">
        <v>4223</v>
      </c>
      <c r="F114" s="896"/>
      <c r="G114" s="896" t="s">
        <v>4222</v>
      </c>
      <c r="H114" s="900">
        <v>45748</v>
      </c>
      <c r="I114" s="896">
        <v>4</v>
      </c>
      <c r="J114" s="896">
        <v>4</v>
      </c>
      <c r="K114" s="898"/>
      <c r="L114" s="895" t="b">
        <f t="shared" si="5"/>
        <v>0</v>
      </c>
      <c r="M114" s="901"/>
    </row>
    <row r="115" spans="1:13" ht="30" customHeight="1">
      <c r="A115" s="33">
        <f t="shared" si="4"/>
        <v>113</v>
      </c>
      <c r="B115" s="33" t="s">
        <v>4227</v>
      </c>
      <c r="C115" s="33" t="s">
        <v>4226</v>
      </c>
      <c r="D115" s="33" t="s">
        <v>4210</v>
      </c>
      <c r="E115" s="896" t="s">
        <v>4223</v>
      </c>
      <c r="F115" s="896"/>
      <c r="G115" s="896" t="s">
        <v>4222</v>
      </c>
      <c r="H115" s="900">
        <v>45778</v>
      </c>
      <c r="I115" s="896">
        <v>9</v>
      </c>
      <c r="J115" s="896">
        <v>9</v>
      </c>
      <c r="K115" s="898"/>
      <c r="L115" s="895" t="b">
        <f t="shared" si="5"/>
        <v>0</v>
      </c>
      <c r="M115" s="901"/>
    </row>
    <row r="116" spans="1:13" ht="30" customHeight="1">
      <c r="A116" s="33">
        <f t="shared" si="4"/>
        <v>114</v>
      </c>
      <c r="B116" s="33" t="s">
        <v>4227</v>
      </c>
      <c r="C116" s="33" t="s">
        <v>4226</v>
      </c>
      <c r="D116" s="33" t="s">
        <v>4210</v>
      </c>
      <c r="E116" s="896" t="s">
        <v>4223</v>
      </c>
      <c r="F116" s="896"/>
      <c r="G116" s="896" t="s">
        <v>4222</v>
      </c>
      <c r="H116" s="900">
        <v>45809</v>
      </c>
      <c r="I116" s="896">
        <v>6</v>
      </c>
      <c r="J116" s="896">
        <v>6</v>
      </c>
      <c r="K116" s="898"/>
      <c r="L116" s="895" t="b">
        <f t="shared" si="5"/>
        <v>0</v>
      </c>
      <c r="M116" s="901"/>
    </row>
    <row r="117" spans="1:13" ht="30" customHeight="1">
      <c r="A117" s="33">
        <f t="shared" si="4"/>
        <v>115</v>
      </c>
      <c r="B117" s="33" t="s">
        <v>4227</v>
      </c>
      <c r="C117" s="33" t="s">
        <v>4226</v>
      </c>
      <c r="D117" s="33" t="s">
        <v>4210</v>
      </c>
      <c r="E117" s="896" t="s">
        <v>4223</v>
      </c>
      <c r="F117" s="896"/>
      <c r="G117" s="896" t="s">
        <v>4222</v>
      </c>
      <c r="H117" s="900">
        <v>45839</v>
      </c>
      <c r="I117" s="896">
        <v>8</v>
      </c>
      <c r="J117" s="896">
        <v>8</v>
      </c>
      <c r="K117" s="898"/>
      <c r="L117" s="895" t="b">
        <f t="shared" si="5"/>
        <v>0</v>
      </c>
      <c r="M117" s="901"/>
    </row>
    <row r="118" spans="1:13" ht="30" customHeight="1">
      <c r="A118" s="33">
        <f t="shared" si="4"/>
        <v>116</v>
      </c>
      <c r="B118" s="33" t="s">
        <v>4227</v>
      </c>
      <c r="C118" s="33" t="s">
        <v>4226</v>
      </c>
      <c r="D118" s="33" t="s">
        <v>4210</v>
      </c>
      <c r="E118" s="896" t="s">
        <v>4223</v>
      </c>
      <c r="F118" s="896"/>
      <c r="G118" s="896" t="s">
        <v>4222</v>
      </c>
      <c r="H118" s="900">
        <v>45870</v>
      </c>
      <c r="I118" s="896">
        <v>6</v>
      </c>
      <c r="J118" s="896">
        <v>6</v>
      </c>
      <c r="K118" s="898"/>
      <c r="L118" s="895" t="b">
        <f t="shared" si="5"/>
        <v>0</v>
      </c>
      <c r="M118" s="901"/>
    </row>
    <row r="119" spans="1:13" ht="30" customHeight="1">
      <c r="A119" s="33">
        <f t="shared" si="4"/>
        <v>117</v>
      </c>
      <c r="B119" s="33" t="s">
        <v>4227</v>
      </c>
      <c r="C119" s="33" t="s">
        <v>4226</v>
      </c>
      <c r="D119" s="33" t="s">
        <v>4210</v>
      </c>
      <c r="E119" s="896" t="s">
        <v>4223</v>
      </c>
      <c r="F119" s="896"/>
      <c r="G119" s="896" t="s">
        <v>4222</v>
      </c>
      <c r="H119" s="900">
        <v>45901</v>
      </c>
      <c r="I119" s="896">
        <v>2</v>
      </c>
      <c r="J119" s="896">
        <v>2</v>
      </c>
      <c r="K119" s="898"/>
      <c r="L119" s="895" t="b">
        <f t="shared" si="5"/>
        <v>0</v>
      </c>
      <c r="M119" s="901"/>
    </row>
    <row r="120" spans="1:13" ht="30" customHeight="1">
      <c r="A120" s="33">
        <f t="shared" si="4"/>
        <v>118</v>
      </c>
      <c r="B120" s="33" t="s">
        <v>4227</v>
      </c>
      <c r="C120" s="33" t="s">
        <v>4226</v>
      </c>
      <c r="D120" s="33" t="s">
        <v>4210</v>
      </c>
      <c r="E120" s="896" t="s">
        <v>4223</v>
      </c>
      <c r="F120" s="896"/>
      <c r="G120" s="896" t="s">
        <v>4222</v>
      </c>
      <c r="H120" s="900">
        <v>45931</v>
      </c>
      <c r="I120" s="896">
        <v>2</v>
      </c>
      <c r="J120" s="896">
        <v>2</v>
      </c>
      <c r="K120" s="898"/>
      <c r="L120" s="895" t="b">
        <f t="shared" si="5"/>
        <v>0</v>
      </c>
      <c r="M120" s="901"/>
    </row>
    <row r="121" spans="1:13" ht="30" customHeight="1">
      <c r="A121" s="33">
        <f t="shared" si="4"/>
        <v>119</v>
      </c>
      <c r="B121" s="33" t="s">
        <v>4227</v>
      </c>
      <c r="C121" s="33" t="s">
        <v>4226</v>
      </c>
      <c r="D121" s="33" t="s">
        <v>4210</v>
      </c>
      <c r="E121" s="896" t="s">
        <v>4223</v>
      </c>
      <c r="F121" s="896"/>
      <c r="G121" s="896" t="s">
        <v>4218</v>
      </c>
      <c r="H121" s="900">
        <v>46082</v>
      </c>
      <c r="I121" s="896">
        <v>7</v>
      </c>
      <c r="J121" s="896"/>
      <c r="K121" s="898"/>
      <c r="L121" s="895" t="b">
        <f t="shared" si="5"/>
        <v>1</v>
      </c>
      <c r="M121" s="901"/>
    </row>
    <row r="122" spans="1:13" ht="30" customHeight="1">
      <c r="A122" s="33">
        <f t="shared" si="4"/>
        <v>120</v>
      </c>
      <c r="B122" s="33" t="s">
        <v>4227</v>
      </c>
      <c r="C122" s="33" t="s">
        <v>4226</v>
      </c>
      <c r="D122" s="33" t="s">
        <v>4210</v>
      </c>
      <c r="E122" s="896" t="s">
        <v>4223</v>
      </c>
      <c r="F122" s="896"/>
      <c r="G122" s="896" t="s">
        <v>4218</v>
      </c>
      <c r="H122" s="900">
        <v>46113</v>
      </c>
      <c r="I122" s="896">
        <v>8</v>
      </c>
      <c r="J122" s="896"/>
      <c r="K122" s="898"/>
      <c r="L122" s="895" t="b">
        <f t="shared" si="5"/>
        <v>1</v>
      </c>
      <c r="M122" s="901"/>
    </row>
    <row r="123" spans="1:13" ht="30" customHeight="1">
      <c r="A123" s="33">
        <f t="shared" si="4"/>
        <v>121</v>
      </c>
      <c r="B123" s="33" t="s">
        <v>4227</v>
      </c>
      <c r="C123" s="33" t="s">
        <v>4226</v>
      </c>
      <c r="D123" s="33" t="s">
        <v>4210</v>
      </c>
      <c r="E123" s="896" t="s">
        <v>4223</v>
      </c>
      <c r="F123" s="896"/>
      <c r="G123" s="896" t="s">
        <v>4218</v>
      </c>
      <c r="H123" s="900">
        <v>46143</v>
      </c>
      <c r="I123" s="896">
        <v>9</v>
      </c>
      <c r="J123" s="896"/>
      <c r="K123" s="898"/>
      <c r="L123" s="895" t="b">
        <f t="shared" si="5"/>
        <v>1</v>
      </c>
      <c r="M123" s="901"/>
    </row>
    <row r="124" spans="1:13" ht="30" customHeight="1">
      <c r="A124" s="33">
        <f t="shared" si="4"/>
        <v>122</v>
      </c>
      <c r="B124" s="33" t="s">
        <v>4227</v>
      </c>
      <c r="C124" s="33" t="s">
        <v>4226</v>
      </c>
      <c r="D124" s="33" t="s">
        <v>4210</v>
      </c>
      <c r="E124" s="896" t="s">
        <v>4223</v>
      </c>
      <c r="F124" s="896"/>
      <c r="G124" s="896" t="s">
        <v>4218</v>
      </c>
      <c r="H124" s="900">
        <v>46174</v>
      </c>
      <c r="I124" s="896">
        <v>9</v>
      </c>
      <c r="J124" s="896"/>
      <c r="K124" s="898"/>
      <c r="L124" s="895" t="b">
        <f t="shared" si="5"/>
        <v>1</v>
      </c>
      <c r="M124" s="901"/>
    </row>
    <row r="125" spans="1:13" ht="30" customHeight="1">
      <c r="A125" s="33">
        <f t="shared" si="4"/>
        <v>123</v>
      </c>
      <c r="B125" s="33" t="s">
        <v>4227</v>
      </c>
      <c r="C125" s="33" t="s">
        <v>4226</v>
      </c>
      <c r="D125" s="33" t="s">
        <v>4210</v>
      </c>
      <c r="E125" s="896" t="s">
        <v>4223</v>
      </c>
      <c r="F125" s="896"/>
      <c r="G125" s="896" t="s">
        <v>4218</v>
      </c>
      <c r="H125" s="900">
        <v>46204</v>
      </c>
      <c r="I125" s="896">
        <v>3</v>
      </c>
      <c r="J125" s="896"/>
      <c r="K125" s="898"/>
      <c r="L125" s="895" t="b">
        <f t="shared" si="5"/>
        <v>1</v>
      </c>
      <c r="M125" s="901"/>
    </row>
    <row r="126" spans="1:13" ht="30" customHeight="1">
      <c r="A126" s="33">
        <f t="shared" si="4"/>
        <v>124</v>
      </c>
      <c r="B126" s="33" t="s">
        <v>51</v>
      </c>
      <c r="C126" s="33" t="s">
        <v>4225</v>
      </c>
      <c r="D126" s="33" t="s">
        <v>4224</v>
      </c>
      <c r="E126" s="896" t="s">
        <v>4223</v>
      </c>
      <c r="F126" s="896"/>
      <c r="G126" s="896" t="s">
        <v>4222</v>
      </c>
      <c r="H126" s="900">
        <v>45839</v>
      </c>
      <c r="I126" s="896">
        <v>3</v>
      </c>
      <c r="J126" s="896">
        <v>3</v>
      </c>
      <c r="K126" s="898"/>
      <c r="L126" s="895" t="b">
        <f t="shared" si="5"/>
        <v>0</v>
      </c>
      <c r="M126" s="901"/>
    </row>
    <row r="127" spans="1:13" ht="30" customHeight="1">
      <c r="A127" s="33">
        <f t="shared" si="4"/>
        <v>125</v>
      </c>
      <c r="B127" s="33" t="s">
        <v>51</v>
      </c>
      <c r="C127" s="33" t="s">
        <v>4225</v>
      </c>
      <c r="D127" s="33" t="s">
        <v>4224</v>
      </c>
      <c r="E127" s="896" t="s">
        <v>4223</v>
      </c>
      <c r="F127" s="896"/>
      <c r="G127" s="896" t="s">
        <v>4222</v>
      </c>
      <c r="H127" s="900">
        <v>45870</v>
      </c>
      <c r="I127" s="896">
        <v>1</v>
      </c>
      <c r="J127" s="896">
        <v>1</v>
      </c>
      <c r="K127" s="898"/>
      <c r="L127" s="895" t="b">
        <f t="shared" ref="L127:L137" si="6">IF(J127&lt;&gt;K127,FALSE,TRUE)</f>
        <v>0</v>
      </c>
      <c r="M127" s="901"/>
    </row>
    <row r="128" spans="1:13" ht="30" customHeight="1">
      <c r="A128" s="33">
        <f t="shared" si="4"/>
        <v>126</v>
      </c>
      <c r="B128" s="33" t="s">
        <v>51</v>
      </c>
      <c r="C128" s="33" t="s">
        <v>4225</v>
      </c>
      <c r="D128" s="33" t="s">
        <v>4224</v>
      </c>
      <c r="E128" s="896" t="s">
        <v>4223</v>
      </c>
      <c r="F128" s="896"/>
      <c r="G128" s="896" t="s">
        <v>4222</v>
      </c>
      <c r="H128" s="900">
        <v>45901</v>
      </c>
      <c r="I128" s="896">
        <v>4</v>
      </c>
      <c r="J128" s="896">
        <v>4</v>
      </c>
      <c r="K128" s="898"/>
      <c r="L128" s="895" t="b">
        <f t="shared" si="6"/>
        <v>0</v>
      </c>
      <c r="M128" s="901"/>
    </row>
    <row r="129" spans="1:13" ht="30" customHeight="1">
      <c r="A129" s="33">
        <f t="shared" si="4"/>
        <v>127</v>
      </c>
      <c r="B129" s="33" t="s">
        <v>51</v>
      </c>
      <c r="C129" s="33" t="s">
        <v>4225</v>
      </c>
      <c r="D129" s="33" t="s">
        <v>4224</v>
      </c>
      <c r="E129" s="896" t="s">
        <v>4223</v>
      </c>
      <c r="F129" s="896"/>
      <c r="G129" s="896" t="s">
        <v>4222</v>
      </c>
      <c r="H129" s="900">
        <v>45992</v>
      </c>
      <c r="I129" s="896">
        <v>4</v>
      </c>
      <c r="J129" s="899"/>
      <c r="K129" s="898"/>
      <c r="L129" s="895" t="b">
        <f t="shared" si="6"/>
        <v>1</v>
      </c>
      <c r="M129" s="901"/>
    </row>
    <row r="130" spans="1:13" ht="30" customHeight="1">
      <c r="A130" s="33">
        <f t="shared" si="4"/>
        <v>128</v>
      </c>
      <c r="B130" s="33" t="s">
        <v>51</v>
      </c>
      <c r="C130" s="33" t="s">
        <v>4225</v>
      </c>
      <c r="D130" s="33" t="s">
        <v>4224</v>
      </c>
      <c r="E130" s="896" t="s">
        <v>4223</v>
      </c>
      <c r="F130" s="896"/>
      <c r="G130" s="896" t="s">
        <v>4222</v>
      </c>
      <c r="H130" s="900">
        <v>46023</v>
      </c>
      <c r="I130" s="896">
        <v>7</v>
      </c>
      <c r="J130" s="899"/>
      <c r="K130" s="898"/>
      <c r="L130" s="895" t="b">
        <f t="shared" si="6"/>
        <v>1</v>
      </c>
      <c r="M130" s="901"/>
    </row>
    <row r="131" spans="1:13" ht="30" customHeight="1">
      <c r="A131" s="33">
        <f t="shared" si="4"/>
        <v>129</v>
      </c>
      <c r="B131" s="33" t="s">
        <v>51</v>
      </c>
      <c r="C131" s="33" t="s">
        <v>4225</v>
      </c>
      <c r="D131" s="33" t="s">
        <v>4224</v>
      </c>
      <c r="E131" s="896" t="s">
        <v>4223</v>
      </c>
      <c r="F131" s="896"/>
      <c r="G131" s="896" t="s">
        <v>4222</v>
      </c>
      <c r="H131" s="900">
        <v>46054</v>
      </c>
      <c r="I131" s="896">
        <v>7</v>
      </c>
      <c r="J131" s="899"/>
      <c r="K131" s="898"/>
      <c r="L131" s="895" t="b">
        <f t="shared" si="6"/>
        <v>1</v>
      </c>
      <c r="M131" s="901"/>
    </row>
    <row r="132" spans="1:13" ht="30" customHeight="1">
      <c r="A132" s="33">
        <f t="shared" ref="A132:A174" si="7">ROW(A130)</f>
        <v>130</v>
      </c>
      <c r="B132" s="33" t="s">
        <v>51</v>
      </c>
      <c r="C132" s="33" t="s">
        <v>4225</v>
      </c>
      <c r="D132" s="33" t="s">
        <v>4224</v>
      </c>
      <c r="E132" s="896" t="s">
        <v>4223</v>
      </c>
      <c r="F132" s="896"/>
      <c r="G132" s="896" t="s">
        <v>4222</v>
      </c>
      <c r="H132" s="900">
        <v>46082</v>
      </c>
      <c r="I132" s="896">
        <v>6</v>
      </c>
      <c r="J132" s="899"/>
      <c r="K132" s="898"/>
      <c r="L132" s="895" t="b">
        <f t="shared" si="6"/>
        <v>1</v>
      </c>
      <c r="M132" s="901"/>
    </row>
    <row r="133" spans="1:13" ht="30" customHeight="1">
      <c r="A133" s="33">
        <f t="shared" si="7"/>
        <v>131</v>
      </c>
      <c r="B133" s="33" t="s">
        <v>51</v>
      </c>
      <c r="C133" s="33" t="s">
        <v>4225</v>
      </c>
      <c r="D133" s="33" t="s">
        <v>4224</v>
      </c>
      <c r="E133" s="896" t="s">
        <v>4223</v>
      </c>
      <c r="F133" s="896"/>
      <c r="G133" s="896" t="s">
        <v>4222</v>
      </c>
      <c r="H133" s="900">
        <v>46113</v>
      </c>
      <c r="I133" s="896">
        <v>5</v>
      </c>
      <c r="J133" s="899"/>
      <c r="K133" s="898"/>
      <c r="L133" s="895" t="b">
        <f t="shared" si="6"/>
        <v>1</v>
      </c>
      <c r="M133" s="901"/>
    </row>
    <row r="134" spans="1:13" ht="30" customHeight="1">
      <c r="A134" s="33">
        <f t="shared" si="7"/>
        <v>132</v>
      </c>
      <c r="B134" s="33" t="s">
        <v>51</v>
      </c>
      <c r="C134" s="33" t="s">
        <v>4225</v>
      </c>
      <c r="D134" s="33" t="s">
        <v>4224</v>
      </c>
      <c r="E134" s="896" t="s">
        <v>4223</v>
      </c>
      <c r="F134" s="896"/>
      <c r="G134" s="896" t="s">
        <v>4218</v>
      </c>
      <c r="H134" s="900">
        <v>46082</v>
      </c>
      <c r="I134" s="896">
        <v>1</v>
      </c>
      <c r="J134" s="899"/>
      <c r="K134" s="898"/>
      <c r="L134" s="895" t="b">
        <f t="shared" ref="L134:L135" si="8">IF(J134&lt;&gt;K134,FALSE,TRUE)</f>
        <v>1</v>
      </c>
      <c r="M134" s="901"/>
    </row>
    <row r="135" spans="1:13" ht="30" customHeight="1">
      <c r="A135" s="33">
        <f t="shared" si="7"/>
        <v>133</v>
      </c>
      <c r="B135" s="33" t="s">
        <v>51</v>
      </c>
      <c r="C135" s="33" t="s">
        <v>4225</v>
      </c>
      <c r="D135" s="33" t="s">
        <v>4224</v>
      </c>
      <c r="E135" s="896" t="s">
        <v>4223</v>
      </c>
      <c r="F135" s="896"/>
      <c r="G135" s="896" t="s">
        <v>4218</v>
      </c>
      <c r="H135" s="900">
        <v>46113</v>
      </c>
      <c r="I135" s="896">
        <v>8</v>
      </c>
      <c r="J135" s="899"/>
      <c r="K135" s="898"/>
      <c r="L135" s="895" t="b">
        <f t="shared" si="8"/>
        <v>1</v>
      </c>
      <c r="M135" s="901"/>
    </row>
    <row r="136" spans="1:13" ht="30" customHeight="1">
      <c r="A136" s="33">
        <f t="shared" si="7"/>
        <v>134</v>
      </c>
      <c r="B136" s="33" t="s">
        <v>51</v>
      </c>
      <c r="C136" s="33" t="s">
        <v>4225</v>
      </c>
      <c r="D136" s="33" t="s">
        <v>4224</v>
      </c>
      <c r="E136" s="896" t="s">
        <v>4223</v>
      </c>
      <c r="F136" s="896"/>
      <c r="G136" s="896" t="s">
        <v>4218</v>
      </c>
      <c r="H136" s="900">
        <v>46143</v>
      </c>
      <c r="I136" s="896">
        <v>9</v>
      </c>
      <c r="J136" s="899"/>
      <c r="K136" s="898"/>
      <c r="L136" s="895" t="b">
        <f t="shared" si="6"/>
        <v>1</v>
      </c>
      <c r="M136" s="901"/>
    </row>
    <row r="137" spans="1:13" ht="30" customHeight="1">
      <c r="A137" s="33">
        <f t="shared" si="7"/>
        <v>135</v>
      </c>
      <c r="B137" s="33" t="s">
        <v>51</v>
      </c>
      <c r="C137" s="33" t="s">
        <v>4225</v>
      </c>
      <c r="D137" s="33" t="s">
        <v>4224</v>
      </c>
      <c r="E137" s="896" t="s">
        <v>4223</v>
      </c>
      <c r="F137" s="896"/>
      <c r="G137" s="896" t="s">
        <v>4218</v>
      </c>
      <c r="H137" s="900">
        <v>46174</v>
      </c>
      <c r="I137" s="896">
        <v>9</v>
      </c>
      <c r="J137" s="899"/>
      <c r="K137" s="898"/>
      <c r="L137" s="895" t="b">
        <f t="shared" si="6"/>
        <v>1</v>
      </c>
      <c r="M137" s="901"/>
    </row>
    <row r="138" spans="1:13" ht="30" customHeight="1">
      <c r="A138" s="33">
        <f t="shared" si="7"/>
        <v>136</v>
      </c>
      <c r="B138" s="33" t="s">
        <v>51</v>
      </c>
      <c r="C138" s="33" t="s">
        <v>4225</v>
      </c>
      <c r="D138" s="33" t="s">
        <v>4224</v>
      </c>
      <c r="E138" s="896" t="s">
        <v>4223</v>
      </c>
      <c r="F138" s="896"/>
      <c r="G138" s="896" t="s">
        <v>4218</v>
      </c>
      <c r="H138" s="900">
        <v>46204</v>
      </c>
      <c r="I138" s="896">
        <v>9</v>
      </c>
      <c r="J138" s="899"/>
      <c r="K138" s="898"/>
      <c r="L138" s="895" t="b">
        <f t="shared" si="5"/>
        <v>1</v>
      </c>
      <c r="M138" s="901"/>
    </row>
    <row r="139" spans="1:13" ht="30" customHeight="1">
      <c r="A139" s="33">
        <f t="shared" si="7"/>
        <v>137</v>
      </c>
      <c r="B139" s="33" t="s">
        <v>51</v>
      </c>
      <c r="C139" s="33" t="s">
        <v>4221</v>
      </c>
      <c r="D139" s="33" t="s">
        <v>4220</v>
      </c>
      <c r="E139" s="33" t="s">
        <v>4219</v>
      </c>
      <c r="F139" s="33"/>
      <c r="G139" s="896" t="s">
        <v>4222</v>
      </c>
      <c r="H139" s="900">
        <v>45962</v>
      </c>
      <c r="I139" s="953"/>
      <c r="J139" s="899"/>
      <c r="K139" s="898"/>
      <c r="L139" s="895" t="b">
        <f t="shared" si="5"/>
        <v>1</v>
      </c>
      <c r="M139" s="901"/>
    </row>
    <row r="140" spans="1:13" ht="30" customHeight="1">
      <c r="A140" s="33">
        <f t="shared" si="7"/>
        <v>138</v>
      </c>
      <c r="B140" s="33" t="s">
        <v>51</v>
      </c>
      <c r="C140" s="33" t="s">
        <v>4221</v>
      </c>
      <c r="D140" s="33" t="s">
        <v>4220</v>
      </c>
      <c r="E140" s="33" t="s">
        <v>4219</v>
      </c>
      <c r="F140" s="33"/>
      <c r="G140" s="896" t="s">
        <v>4222</v>
      </c>
      <c r="H140" s="900"/>
      <c r="I140" s="953"/>
      <c r="J140" s="899"/>
      <c r="K140" s="898"/>
      <c r="L140" s="895" t="b">
        <f t="shared" si="5"/>
        <v>1</v>
      </c>
      <c r="M140" s="901"/>
    </row>
    <row r="141" spans="1:13" ht="30" customHeight="1">
      <c r="A141" s="33">
        <f t="shared" si="7"/>
        <v>139</v>
      </c>
      <c r="B141" s="33" t="s">
        <v>51</v>
      </c>
      <c r="C141" s="33" t="s">
        <v>4221</v>
      </c>
      <c r="D141" s="33" t="s">
        <v>4220</v>
      </c>
      <c r="E141" s="33" t="s">
        <v>4219</v>
      </c>
      <c r="F141" s="33"/>
      <c r="G141" s="896" t="s">
        <v>4222</v>
      </c>
      <c r="H141" s="900"/>
      <c r="I141" s="953"/>
      <c r="J141" s="899"/>
      <c r="K141" s="898"/>
      <c r="L141" s="895" t="b">
        <f t="shared" ref="L141:L174" si="9">IF(J141&lt;&gt;K141,FALSE,TRUE)</f>
        <v>1</v>
      </c>
      <c r="M141" s="901"/>
    </row>
    <row r="142" spans="1:13" ht="30" customHeight="1">
      <c r="A142" s="33">
        <f t="shared" si="7"/>
        <v>140</v>
      </c>
      <c r="B142" s="33" t="s">
        <v>51</v>
      </c>
      <c r="C142" s="33" t="s">
        <v>4221</v>
      </c>
      <c r="D142" s="33" t="s">
        <v>4220</v>
      </c>
      <c r="E142" s="33" t="s">
        <v>4219</v>
      </c>
      <c r="F142" s="33"/>
      <c r="G142" s="896" t="s">
        <v>4218</v>
      </c>
      <c r="H142" s="900"/>
      <c r="I142" s="953"/>
      <c r="J142" s="899"/>
      <c r="K142" s="898"/>
      <c r="L142" s="895" t="b">
        <f t="shared" si="9"/>
        <v>1</v>
      </c>
      <c r="M142" s="901"/>
    </row>
    <row r="143" spans="1:13" ht="30" customHeight="1">
      <c r="A143" s="33">
        <f t="shared" si="7"/>
        <v>141</v>
      </c>
      <c r="B143" s="33" t="s">
        <v>3011</v>
      </c>
      <c r="C143" s="33" t="s">
        <v>4217</v>
      </c>
      <c r="D143" s="33" t="s">
        <v>4210</v>
      </c>
      <c r="E143" s="33" t="s">
        <v>4209</v>
      </c>
      <c r="F143" s="33"/>
      <c r="G143" s="896" t="s">
        <v>4212</v>
      </c>
      <c r="H143" s="896"/>
      <c r="I143" s="896"/>
      <c r="J143" s="899"/>
      <c r="K143" s="898"/>
      <c r="L143" s="895" t="b">
        <f t="shared" si="9"/>
        <v>1</v>
      </c>
      <c r="M143" s="901"/>
    </row>
    <row r="144" spans="1:13" ht="30" customHeight="1">
      <c r="A144" s="33">
        <f t="shared" si="7"/>
        <v>142</v>
      </c>
      <c r="B144" s="33" t="s">
        <v>3011</v>
      </c>
      <c r="C144" s="33" t="s">
        <v>4217</v>
      </c>
      <c r="D144" s="33" t="s">
        <v>4210</v>
      </c>
      <c r="E144" s="33" t="s">
        <v>4209</v>
      </c>
      <c r="F144" s="33"/>
      <c r="G144" s="896" t="s">
        <v>4208</v>
      </c>
      <c r="H144" s="896"/>
      <c r="J144" s="899"/>
      <c r="K144" s="898"/>
      <c r="L144" s="895" t="b">
        <f t="shared" si="9"/>
        <v>1</v>
      </c>
      <c r="M144" s="901"/>
    </row>
    <row r="145" spans="1:13" ht="30" customHeight="1">
      <c r="A145" s="33">
        <f t="shared" si="7"/>
        <v>143</v>
      </c>
      <c r="B145" s="33" t="s">
        <v>3011</v>
      </c>
      <c r="C145" s="33" t="s">
        <v>4217</v>
      </c>
      <c r="D145" s="33" t="s">
        <v>4210</v>
      </c>
      <c r="E145" s="33" t="s">
        <v>4209</v>
      </c>
      <c r="F145" s="33"/>
      <c r="G145" s="896" t="s">
        <v>4216</v>
      </c>
      <c r="H145" s="896"/>
      <c r="I145" s="896"/>
      <c r="J145" s="899"/>
      <c r="K145" s="898"/>
      <c r="L145" s="895" t="b">
        <f t="shared" si="9"/>
        <v>1</v>
      </c>
      <c r="M145" s="901"/>
    </row>
    <row r="146" spans="1:13" ht="30" customHeight="1">
      <c r="A146" s="33">
        <f t="shared" si="7"/>
        <v>144</v>
      </c>
      <c r="B146" s="33" t="s">
        <v>3011</v>
      </c>
      <c r="C146" s="33" t="s">
        <v>4217</v>
      </c>
      <c r="D146" s="33" t="s">
        <v>4210</v>
      </c>
      <c r="E146" s="33" t="s">
        <v>4209</v>
      </c>
      <c r="F146" s="33"/>
      <c r="G146" s="896" t="s">
        <v>4215</v>
      </c>
      <c r="H146" s="896"/>
      <c r="I146" s="896"/>
      <c r="J146" s="899"/>
      <c r="K146" s="898"/>
      <c r="L146" s="895" t="b">
        <f t="shared" si="9"/>
        <v>1</v>
      </c>
      <c r="M146" s="897"/>
    </row>
    <row r="147" spans="1:13" ht="30" customHeight="1">
      <c r="A147" s="33">
        <f t="shared" si="7"/>
        <v>145</v>
      </c>
      <c r="B147" s="33" t="s">
        <v>3011</v>
      </c>
      <c r="C147" s="33" t="s">
        <v>4217</v>
      </c>
      <c r="D147" s="33" t="s">
        <v>4210</v>
      </c>
      <c r="E147" s="33" t="s">
        <v>4209</v>
      </c>
      <c r="F147" s="33"/>
      <c r="G147" s="100" t="s">
        <v>4609</v>
      </c>
      <c r="H147" s="976">
        <v>45748</v>
      </c>
      <c r="I147" s="896">
        <v>4</v>
      </c>
      <c r="J147" s="896">
        <v>4</v>
      </c>
      <c r="K147" s="898"/>
      <c r="L147" s="895" t="b">
        <f t="shared" si="9"/>
        <v>0</v>
      </c>
      <c r="M147" s="897"/>
    </row>
    <row r="148" spans="1:13" ht="30" customHeight="1">
      <c r="A148" s="33">
        <f t="shared" si="7"/>
        <v>146</v>
      </c>
      <c r="B148" s="33" t="s">
        <v>3011</v>
      </c>
      <c r="C148" s="33" t="s">
        <v>4217</v>
      </c>
      <c r="D148" s="33" t="s">
        <v>4210</v>
      </c>
      <c r="E148" s="33" t="s">
        <v>4209</v>
      </c>
      <c r="F148" s="33"/>
      <c r="G148" s="100" t="s">
        <v>4609</v>
      </c>
      <c r="H148" s="976">
        <v>45778</v>
      </c>
      <c r="I148" s="896">
        <v>2</v>
      </c>
      <c r="J148" s="896">
        <v>2</v>
      </c>
      <c r="K148" s="898"/>
      <c r="L148" s="895" t="b">
        <f t="shared" si="9"/>
        <v>0</v>
      </c>
      <c r="M148" s="897"/>
    </row>
    <row r="149" spans="1:13" ht="30" customHeight="1">
      <c r="A149" s="33">
        <f t="shared" si="7"/>
        <v>147</v>
      </c>
      <c r="B149" s="33" t="s">
        <v>3011</v>
      </c>
      <c r="C149" s="33" t="s">
        <v>4217</v>
      </c>
      <c r="D149" s="33" t="s">
        <v>4210</v>
      </c>
      <c r="E149" s="33" t="s">
        <v>4209</v>
      </c>
      <c r="F149" s="33"/>
      <c r="G149" s="100" t="s">
        <v>4609</v>
      </c>
      <c r="H149" s="976">
        <v>45809</v>
      </c>
      <c r="I149" s="896">
        <v>4</v>
      </c>
      <c r="J149" s="896">
        <v>4</v>
      </c>
      <c r="K149" s="898"/>
      <c r="L149" s="895" t="b">
        <f t="shared" si="9"/>
        <v>0</v>
      </c>
      <c r="M149" s="897"/>
    </row>
    <row r="150" spans="1:13" ht="30" customHeight="1">
      <c r="A150" s="33">
        <f t="shared" si="7"/>
        <v>148</v>
      </c>
      <c r="B150" s="33" t="s">
        <v>3011</v>
      </c>
      <c r="C150" s="33" t="s">
        <v>4217</v>
      </c>
      <c r="D150" s="33" t="s">
        <v>4210</v>
      </c>
      <c r="E150" s="33" t="s">
        <v>4209</v>
      </c>
      <c r="F150" s="33"/>
      <c r="G150" s="100" t="s">
        <v>4609</v>
      </c>
      <c r="H150" s="976">
        <v>45839</v>
      </c>
      <c r="I150" s="896">
        <v>2</v>
      </c>
      <c r="J150" s="896">
        <v>2</v>
      </c>
      <c r="K150" s="898"/>
      <c r="L150" s="895" t="b">
        <f t="shared" si="9"/>
        <v>0</v>
      </c>
      <c r="M150" s="897"/>
    </row>
    <row r="151" spans="1:13" ht="30" customHeight="1">
      <c r="A151" s="33">
        <f t="shared" si="7"/>
        <v>149</v>
      </c>
      <c r="B151" s="33" t="s">
        <v>3011</v>
      </c>
      <c r="C151" s="33" t="s">
        <v>4217</v>
      </c>
      <c r="D151" s="33" t="s">
        <v>4210</v>
      </c>
      <c r="E151" s="33" t="s">
        <v>4209</v>
      </c>
      <c r="F151" s="33"/>
      <c r="G151" s="100" t="s">
        <v>4609</v>
      </c>
      <c r="H151" s="976">
        <v>45870</v>
      </c>
      <c r="I151" s="896">
        <v>2</v>
      </c>
      <c r="J151" s="896">
        <v>2</v>
      </c>
      <c r="K151" s="898"/>
      <c r="L151" s="895" t="b">
        <f t="shared" si="9"/>
        <v>0</v>
      </c>
      <c r="M151" s="897"/>
    </row>
    <row r="152" spans="1:13" ht="30" customHeight="1">
      <c r="A152" s="33">
        <f t="shared" si="7"/>
        <v>150</v>
      </c>
      <c r="B152" s="33" t="s">
        <v>3011</v>
      </c>
      <c r="C152" s="33" t="s">
        <v>4217</v>
      </c>
      <c r="D152" s="33" t="s">
        <v>4210</v>
      </c>
      <c r="E152" s="33" t="s">
        <v>4209</v>
      </c>
      <c r="F152" s="33"/>
      <c r="G152" s="100" t="s">
        <v>4609</v>
      </c>
      <c r="H152" s="976">
        <v>45992</v>
      </c>
      <c r="I152" s="896">
        <v>3</v>
      </c>
      <c r="J152" s="899"/>
      <c r="K152" s="898"/>
      <c r="L152" s="895" t="b">
        <f t="shared" si="9"/>
        <v>1</v>
      </c>
      <c r="M152" s="897"/>
    </row>
    <row r="153" spans="1:13" ht="30" customHeight="1">
      <c r="A153" s="33">
        <f t="shared" si="7"/>
        <v>151</v>
      </c>
      <c r="B153" s="33" t="s">
        <v>3011</v>
      </c>
      <c r="C153" s="33" t="s">
        <v>4217</v>
      </c>
      <c r="D153" s="33" t="s">
        <v>4210</v>
      </c>
      <c r="E153" s="33" t="s">
        <v>4209</v>
      </c>
      <c r="F153" s="33"/>
      <c r="G153" s="896" t="s">
        <v>4216</v>
      </c>
      <c r="H153" s="900"/>
      <c r="I153" s="896"/>
      <c r="J153" s="899"/>
      <c r="K153" s="898"/>
      <c r="L153" s="895" t="b">
        <f t="shared" si="9"/>
        <v>1</v>
      </c>
      <c r="M153" s="897"/>
    </row>
    <row r="154" spans="1:13" ht="30" customHeight="1">
      <c r="A154" s="33">
        <f t="shared" si="7"/>
        <v>152</v>
      </c>
      <c r="B154" s="33" t="s">
        <v>3011</v>
      </c>
      <c r="C154" s="33" t="s">
        <v>4217</v>
      </c>
      <c r="D154" s="33" t="s">
        <v>4210</v>
      </c>
      <c r="E154" s="33" t="s">
        <v>4209</v>
      </c>
      <c r="F154" s="33"/>
      <c r="G154" s="896" t="s">
        <v>4215</v>
      </c>
      <c r="H154" s="900"/>
      <c r="I154" s="896"/>
      <c r="J154" s="899"/>
      <c r="K154" s="898"/>
      <c r="L154" s="895" t="b">
        <f t="shared" si="9"/>
        <v>1</v>
      </c>
      <c r="M154" s="897"/>
    </row>
    <row r="155" spans="1:13" ht="30" customHeight="1">
      <c r="A155" s="33">
        <f t="shared" si="7"/>
        <v>153</v>
      </c>
      <c r="B155" s="33" t="s">
        <v>3011</v>
      </c>
      <c r="C155" s="33" t="s">
        <v>4217</v>
      </c>
      <c r="D155" s="33" t="s">
        <v>4210</v>
      </c>
      <c r="E155" s="33" t="s">
        <v>4209</v>
      </c>
      <c r="F155" s="33"/>
      <c r="G155" s="100" t="s">
        <v>4214</v>
      </c>
      <c r="H155" s="900">
        <v>45748</v>
      </c>
      <c r="I155" s="896">
        <v>1</v>
      </c>
      <c r="J155" s="896">
        <v>1</v>
      </c>
      <c r="K155" s="898"/>
      <c r="L155" s="895" t="b">
        <f t="shared" si="9"/>
        <v>0</v>
      </c>
      <c r="M155" s="897"/>
    </row>
    <row r="156" spans="1:13" ht="30" customHeight="1">
      <c r="A156" s="33">
        <f t="shared" si="7"/>
        <v>154</v>
      </c>
      <c r="B156" s="33" t="s">
        <v>3011</v>
      </c>
      <c r="C156" s="33" t="s">
        <v>4217</v>
      </c>
      <c r="D156" s="33" t="s">
        <v>4210</v>
      </c>
      <c r="E156" s="33" t="s">
        <v>4209</v>
      </c>
      <c r="F156" s="33"/>
      <c r="G156" s="100" t="s">
        <v>4214</v>
      </c>
      <c r="H156" s="900">
        <v>45778</v>
      </c>
      <c r="I156" s="896">
        <v>9</v>
      </c>
      <c r="J156" s="896">
        <v>9</v>
      </c>
      <c r="K156" s="898"/>
      <c r="L156" s="895" t="b">
        <f t="shared" ref="L156:L164" si="10">IF(J156&lt;&gt;K156,FALSE,TRUE)</f>
        <v>0</v>
      </c>
      <c r="M156" s="897"/>
    </row>
    <row r="157" spans="1:13" ht="30" customHeight="1">
      <c r="A157" s="33">
        <f t="shared" si="7"/>
        <v>155</v>
      </c>
      <c r="B157" s="33" t="s">
        <v>3011</v>
      </c>
      <c r="C157" s="33" t="s">
        <v>4217</v>
      </c>
      <c r="D157" s="33" t="s">
        <v>4210</v>
      </c>
      <c r="E157" s="33" t="s">
        <v>4209</v>
      </c>
      <c r="F157" s="33"/>
      <c r="G157" s="100" t="s">
        <v>4214</v>
      </c>
      <c r="H157" s="900">
        <v>45809</v>
      </c>
      <c r="I157" s="896">
        <v>14</v>
      </c>
      <c r="J157" s="896">
        <v>14</v>
      </c>
      <c r="K157" s="898"/>
      <c r="L157" s="895" t="b">
        <f t="shared" si="10"/>
        <v>0</v>
      </c>
      <c r="M157" s="897"/>
    </row>
    <row r="158" spans="1:13" ht="30" customHeight="1">
      <c r="A158" s="33">
        <f t="shared" si="7"/>
        <v>156</v>
      </c>
      <c r="B158" s="33" t="s">
        <v>3011</v>
      </c>
      <c r="C158" s="33" t="s">
        <v>4217</v>
      </c>
      <c r="D158" s="33" t="s">
        <v>4210</v>
      </c>
      <c r="E158" s="33" t="s">
        <v>4209</v>
      </c>
      <c r="F158" s="33"/>
      <c r="G158" s="100" t="s">
        <v>4214</v>
      </c>
      <c r="H158" s="900">
        <v>45839</v>
      </c>
      <c r="I158" s="896">
        <v>9</v>
      </c>
      <c r="J158" s="896">
        <v>9</v>
      </c>
      <c r="K158" s="898"/>
      <c r="L158" s="895" t="b">
        <f t="shared" ref="L158:L160" si="11">IF(J158&lt;&gt;K158,FALSE,TRUE)</f>
        <v>0</v>
      </c>
      <c r="M158" s="897"/>
    </row>
    <row r="159" spans="1:13" ht="30" customHeight="1">
      <c r="A159" s="33">
        <f t="shared" si="7"/>
        <v>157</v>
      </c>
      <c r="B159" s="33" t="s">
        <v>3011</v>
      </c>
      <c r="C159" s="33" t="s">
        <v>4217</v>
      </c>
      <c r="D159" s="33" t="s">
        <v>4210</v>
      </c>
      <c r="E159" s="33" t="s">
        <v>4209</v>
      </c>
      <c r="F159" s="33"/>
      <c r="G159" s="100" t="s">
        <v>4214</v>
      </c>
      <c r="H159" s="900">
        <v>45870</v>
      </c>
      <c r="I159" s="896">
        <v>4</v>
      </c>
      <c r="J159" s="896">
        <v>4</v>
      </c>
      <c r="K159" s="898"/>
      <c r="L159" s="895" t="b">
        <f t="shared" si="11"/>
        <v>0</v>
      </c>
      <c r="M159" s="897"/>
    </row>
    <row r="160" spans="1:13" ht="30" customHeight="1">
      <c r="A160" s="33">
        <f t="shared" si="7"/>
        <v>158</v>
      </c>
      <c r="B160" s="33" t="s">
        <v>3011</v>
      </c>
      <c r="C160" s="33" t="s">
        <v>4217</v>
      </c>
      <c r="D160" s="33" t="s">
        <v>4210</v>
      </c>
      <c r="E160" s="33" t="s">
        <v>4209</v>
      </c>
      <c r="F160" s="33"/>
      <c r="G160" s="100" t="s">
        <v>4213</v>
      </c>
      <c r="H160" s="900">
        <v>45870</v>
      </c>
      <c r="I160" s="896">
        <v>7</v>
      </c>
      <c r="J160" s="896">
        <v>7</v>
      </c>
      <c r="K160" s="898"/>
      <c r="L160" s="895" t="b">
        <f t="shared" si="11"/>
        <v>0</v>
      </c>
      <c r="M160" s="897"/>
    </row>
    <row r="161" spans="1:13" ht="30" customHeight="1">
      <c r="A161" s="33">
        <f t="shared" si="7"/>
        <v>159</v>
      </c>
      <c r="B161" s="33" t="s">
        <v>3011</v>
      </c>
      <c r="C161" s="33" t="s">
        <v>4217</v>
      </c>
      <c r="D161" s="33" t="s">
        <v>4210</v>
      </c>
      <c r="E161" s="33" t="s">
        <v>4209</v>
      </c>
      <c r="F161" s="33"/>
      <c r="G161" s="100" t="s">
        <v>4213</v>
      </c>
      <c r="H161" s="900">
        <v>45901</v>
      </c>
      <c r="I161" s="896">
        <v>10</v>
      </c>
      <c r="J161" s="896">
        <v>10</v>
      </c>
      <c r="K161" s="898"/>
      <c r="L161" s="895" t="b">
        <f t="shared" si="10"/>
        <v>0</v>
      </c>
      <c r="M161" s="897"/>
    </row>
    <row r="162" spans="1:13" ht="30" customHeight="1">
      <c r="A162" s="33">
        <f t="shared" si="7"/>
        <v>160</v>
      </c>
      <c r="B162" s="33" t="s">
        <v>3011</v>
      </c>
      <c r="C162" s="33" t="s">
        <v>4217</v>
      </c>
      <c r="D162" s="33" t="s">
        <v>4210</v>
      </c>
      <c r="E162" s="33" t="s">
        <v>4209</v>
      </c>
      <c r="F162" s="33"/>
      <c r="G162" s="100" t="s">
        <v>4213</v>
      </c>
      <c r="H162" s="900">
        <v>45931</v>
      </c>
      <c r="I162" s="896">
        <v>6</v>
      </c>
      <c r="J162" s="896">
        <v>6</v>
      </c>
      <c r="K162" s="898"/>
      <c r="L162" s="895" t="b">
        <f t="shared" si="10"/>
        <v>0</v>
      </c>
      <c r="M162" s="897"/>
    </row>
    <row r="163" spans="1:13" ht="30" customHeight="1">
      <c r="A163" s="33">
        <f t="shared" si="7"/>
        <v>161</v>
      </c>
      <c r="B163" s="33" t="s">
        <v>3011</v>
      </c>
      <c r="C163" s="33" t="s">
        <v>4217</v>
      </c>
      <c r="D163" s="33" t="s">
        <v>4210</v>
      </c>
      <c r="E163" s="33" t="s">
        <v>4209</v>
      </c>
      <c r="F163" s="33"/>
      <c r="G163" s="100" t="s">
        <v>4213</v>
      </c>
      <c r="H163" s="900">
        <v>45962</v>
      </c>
      <c r="I163" s="896">
        <v>2</v>
      </c>
      <c r="J163" s="899"/>
      <c r="K163" s="898"/>
      <c r="L163" s="895" t="b">
        <f t="shared" si="10"/>
        <v>1</v>
      </c>
      <c r="M163" s="897"/>
    </row>
    <row r="164" spans="1:13" ht="30" customHeight="1">
      <c r="A164" s="33">
        <f t="shared" si="7"/>
        <v>162</v>
      </c>
      <c r="B164" s="33" t="s">
        <v>3011</v>
      </c>
      <c r="C164" s="33" t="s">
        <v>4217</v>
      </c>
      <c r="D164" s="33" t="s">
        <v>4210</v>
      </c>
      <c r="E164" s="33" t="s">
        <v>4209</v>
      </c>
      <c r="F164" s="33"/>
      <c r="G164" s="100" t="s">
        <v>4213</v>
      </c>
      <c r="H164" s="900">
        <v>45992</v>
      </c>
      <c r="I164" s="896">
        <v>3</v>
      </c>
      <c r="J164" s="899"/>
      <c r="K164" s="898"/>
      <c r="L164" s="895" t="b">
        <f t="shared" si="10"/>
        <v>1</v>
      </c>
      <c r="M164" s="897"/>
    </row>
    <row r="165" spans="1:13" ht="30" customHeight="1">
      <c r="A165" s="33">
        <f t="shared" si="7"/>
        <v>163</v>
      </c>
      <c r="B165" s="33" t="s">
        <v>3011</v>
      </c>
      <c r="C165" s="33" t="s">
        <v>4217</v>
      </c>
      <c r="D165" s="33" t="s">
        <v>4210</v>
      </c>
      <c r="E165" s="33" t="s">
        <v>4209</v>
      </c>
      <c r="F165" s="33"/>
      <c r="G165" s="100" t="s">
        <v>4213</v>
      </c>
      <c r="H165" s="900">
        <v>46082</v>
      </c>
      <c r="I165" s="896">
        <v>3</v>
      </c>
      <c r="J165" s="899"/>
      <c r="K165" s="898"/>
      <c r="L165" s="895" t="b">
        <f t="shared" ref="L165:L167" si="12">IF(J165&lt;&gt;K165,FALSE,TRUE)</f>
        <v>1</v>
      </c>
      <c r="M165" s="897"/>
    </row>
    <row r="166" spans="1:13" ht="30" customHeight="1">
      <c r="A166" s="33">
        <f t="shared" si="7"/>
        <v>164</v>
      </c>
      <c r="B166" s="33" t="s">
        <v>3011</v>
      </c>
      <c r="C166" s="33" t="s">
        <v>4217</v>
      </c>
      <c r="D166" s="33" t="s">
        <v>4210</v>
      </c>
      <c r="E166" s="33" t="s">
        <v>4209</v>
      </c>
      <c r="F166" s="33"/>
      <c r="G166" s="100" t="s">
        <v>4213</v>
      </c>
      <c r="H166" s="900">
        <v>46113</v>
      </c>
      <c r="I166" s="896">
        <v>4</v>
      </c>
      <c r="J166" s="899"/>
      <c r="K166" s="898"/>
      <c r="L166" s="895" t="b">
        <f t="shared" si="12"/>
        <v>1</v>
      </c>
      <c r="M166" s="897"/>
    </row>
    <row r="167" spans="1:13" ht="30" customHeight="1">
      <c r="A167" s="33">
        <f t="shared" si="7"/>
        <v>165</v>
      </c>
      <c r="B167" s="33" t="s">
        <v>3011</v>
      </c>
      <c r="C167" s="33" t="s">
        <v>4217</v>
      </c>
      <c r="D167" s="33" t="s">
        <v>4210</v>
      </c>
      <c r="E167" s="33" t="s">
        <v>4209</v>
      </c>
      <c r="F167" s="33"/>
      <c r="G167" s="100" t="s">
        <v>4213</v>
      </c>
      <c r="H167" s="900">
        <v>46143</v>
      </c>
      <c r="I167" s="896">
        <v>1</v>
      </c>
      <c r="J167" s="899"/>
      <c r="K167" s="898"/>
      <c r="L167" s="895" t="b">
        <f t="shared" si="12"/>
        <v>1</v>
      </c>
      <c r="M167" s="897"/>
    </row>
    <row r="168" spans="1:13" ht="29.25" customHeight="1">
      <c r="A168" s="33">
        <f>ROW(A176)</f>
        <v>176</v>
      </c>
      <c r="B168" s="33" t="s">
        <v>3011</v>
      </c>
      <c r="C168" s="33" t="s">
        <v>4217</v>
      </c>
      <c r="D168" s="33" t="s">
        <v>4210</v>
      </c>
      <c r="E168" s="33" t="s">
        <v>4209</v>
      </c>
      <c r="F168" s="33"/>
      <c r="G168" s="100" t="s">
        <v>4609</v>
      </c>
      <c r="H168" s="976">
        <v>46054</v>
      </c>
      <c r="I168" s="896">
        <v>3</v>
      </c>
      <c r="L168" s="895" t="b">
        <f t="shared" si="9"/>
        <v>1</v>
      </c>
    </row>
    <row r="169" spans="1:13" ht="29.25" customHeight="1">
      <c r="A169" s="33">
        <f>ROW(A177)</f>
        <v>177</v>
      </c>
      <c r="B169" s="33" t="s">
        <v>3011</v>
      </c>
      <c r="C169" s="33" t="s">
        <v>4217</v>
      </c>
      <c r="D169" s="33" t="s">
        <v>4210</v>
      </c>
      <c r="E169" s="33" t="s">
        <v>4209</v>
      </c>
      <c r="F169" s="33"/>
      <c r="G169" s="100" t="s">
        <v>4609</v>
      </c>
      <c r="H169" s="976">
        <v>46082</v>
      </c>
      <c r="I169" s="896">
        <v>4</v>
      </c>
      <c r="L169" s="895" t="b">
        <f t="shared" si="9"/>
        <v>1</v>
      </c>
    </row>
    <row r="170" spans="1:13" ht="29.25" customHeight="1">
      <c r="A170" s="33">
        <f t="shared" si="7"/>
        <v>168</v>
      </c>
      <c r="B170" s="33" t="s">
        <v>3011</v>
      </c>
      <c r="C170" s="33" t="s">
        <v>4217</v>
      </c>
      <c r="D170" s="33" t="s">
        <v>4210</v>
      </c>
      <c r="E170" s="33" t="s">
        <v>4209</v>
      </c>
      <c r="F170" s="33"/>
      <c r="G170" s="100" t="s">
        <v>4609</v>
      </c>
      <c r="H170" s="976">
        <v>46204</v>
      </c>
      <c r="I170" s="896">
        <v>7</v>
      </c>
      <c r="L170" s="895" t="b">
        <f t="shared" si="9"/>
        <v>1</v>
      </c>
    </row>
    <row r="171" spans="1:13" ht="29.25" customHeight="1">
      <c r="A171" s="33">
        <f t="shared" si="7"/>
        <v>169</v>
      </c>
      <c r="B171" s="33" t="s">
        <v>3011</v>
      </c>
      <c r="C171" s="33" t="s">
        <v>4217</v>
      </c>
      <c r="D171" s="33" t="s">
        <v>4210</v>
      </c>
      <c r="E171" s="33" t="s">
        <v>4209</v>
      </c>
      <c r="F171" s="33"/>
      <c r="G171" s="100" t="s">
        <v>4609</v>
      </c>
      <c r="H171" s="976">
        <v>46235</v>
      </c>
      <c r="I171" s="896">
        <v>2</v>
      </c>
      <c r="L171" s="895" t="b">
        <f t="shared" si="9"/>
        <v>1</v>
      </c>
    </row>
    <row r="172" spans="1:13" ht="29.25" customHeight="1">
      <c r="A172" s="33">
        <f t="shared" si="7"/>
        <v>170</v>
      </c>
      <c r="B172" s="33" t="s">
        <v>3011</v>
      </c>
      <c r="C172" s="33" t="s">
        <v>4217</v>
      </c>
      <c r="D172" s="33" t="s">
        <v>4210</v>
      </c>
      <c r="E172" s="33" t="s">
        <v>4209</v>
      </c>
      <c r="F172" s="33"/>
      <c r="G172" s="100" t="s">
        <v>4611</v>
      </c>
      <c r="H172" s="976">
        <v>46113</v>
      </c>
      <c r="I172" s="896">
        <v>3</v>
      </c>
      <c r="L172" s="895" t="b">
        <f t="shared" si="9"/>
        <v>1</v>
      </c>
    </row>
    <row r="173" spans="1:13" ht="29.25" customHeight="1">
      <c r="A173" s="33">
        <f t="shared" si="7"/>
        <v>171</v>
      </c>
      <c r="B173" s="33" t="s">
        <v>3011</v>
      </c>
      <c r="C173" s="33" t="s">
        <v>4217</v>
      </c>
      <c r="D173" s="33" t="s">
        <v>4210</v>
      </c>
      <c r="E173" s="33" t="s">
        <v>4209</v>
      </c>
      <c r="F173" s="33"/>
      <c r="G173" s="100" t="s">
        <v>4610</v>
      </c>
      <c r="H173" s="976">
        <v>46143</v>
      </c>
      <c r="I173" s="896">
        <v>7</v>
      </c>
      <c r="L173" s="895" t="b">
        <f t="shared" si="9"/>
        <v>1</v>
      </c>
    </row>
    <row r="174" spans="1:13" ht="29.25" customHeight="1">
      <c r="A174" s="33">
        <f t="shared" si="7"/>
        <v>172</v>
      </c>
      <c r="B174" s="33" t="s">
        <v>3011</v>
      </c>
      <c r="C174" s="33" t="s">
        <v>4217</v>
      </c>
      <c r="D174" s="33" t="s">
        <v>4210</v>
      </c>
      <c r="E174" s="33" t="s">
        <v>4209</v>
      </c>
      <c r="F174" s="33"/>
      <c r="G174" s="100" t="s">
        <v>4610</v>
      </c>
      <c r="H174" s="976">
        <v>46174</v>
      </c>
      <c r="I174" s="896">
        <v>6</v>
      </c>
      <c r="L174" s="895" t="b">
        <f t="shared" si="9"/>
        <v>1</v>
      </c>
    </row>
    <row r="175" spans="1:13" ht="30" customHeight="1">
      <c r="A175" s="33">
        <f>ROW(A166)</f>
        <v>166</v>
      </c>
      <c r="B175" s="33" t="s">
        <v>3011</v>
      </c>
      <c r="C175" s="33" t="s">
        <v>4211</v>
      </c>
      <c r="D175" s="33" t="s">
        <v>4210</v>
      </c>
      <c r="E175" s="33" t="s">
        <v>4209</v>
      </c>
      <c r="F175" s="33"/>
      <c r="G175" s="896" t="s">
        <v>4213</v>
      </c>
      <c r="H175" s="900"/>
      <c r="I175" s="896"/>
      <c r="J175" s="899"/>
      <c r="K175" s="898"/>
      <c r="L175" s="895" t="b">
        <f>IF(J175&lt;&gt;K175,FALSE,TRUE)</f>
        <v>1</v>
      </c>
      <c r="M175" s="897"/>
    </row>
    <row r="176" spans="1:13" ht="29.25" customHeight="1">
      <c r="A176" s="33">
        <f>ROW(A167)</f>
        <v>167</v>
      </c>
      <c r="B176" s="33" t="s">
        <v>3011</v>
      </c>
      <c r="C176" s="33" t="s">
        <v>4211</v>
      </c>
      <c r="D176" s="33" t="s">
        <v>4210</v>
      </c>
      <c r="E176" s="33" t="s">
        <v>4209</v>
      </c>
      <c r="F176" s="33"/>
      <c r="G176" s="896" t="s">
        <v>4212</v>
      </c>
      <c r="I176" s="896"/>
      <c r="L176" s="895" t="b">
        <f>IF(J176&lt;&gt;K176,FALSE,TRUE)</f>
        <v>1</v>
      </c>
    </row>
    <row r="177" spans="1:12" ht="29.25" customHeight="1">
      <c r="A177" s="33">
        <f>ROW(A175)</f>
        <v>175</v>
      </c>
      <c r="B177" s="33" t="s">
        <v>3011</v>
      </c>
      <c r="C177" s="33" t="s">
        <v>4211</v>
      </c>
      <c r="D177" s="33" t="s">
        <v>4210</v>
      </c>
      <c r="E177" s="33" t="s">
        <v>4209</v>
      </c>
      <c r="F177" s="33"/>
      <c r="G177" s="896" t="s">
        <v>4208</v>
      </c>
      <c r="I177" s="896"/>
      <c r="L177" s="895" t="b">
        <f>IF(J177&lt;&gt;K177,FALSE,TRUE)</f>
        <v>1</v>
      </c>
    </row>
  </sheetData>
  <autoFilter ref="A2:M177" xr:uid="{EAC887A7-7642-42A8-8839-A3AEA84579E8}"/>
  <dataConsolidate/>
  <phoneticPr fontId="43" type="noConversion"/>
  <conditionalFormatting sqref="K168:K174 K176:K1048576">
    <cfRule type="expression" dxfId="973" priority="2">
      <formula>AND(#REF!&lt;&gt;0, K168=0)</formula>
    </cfRule>
  </conditionalFormatting>
  <conditionalFormatting sqref="J129:J146 J152:J154 J1:J113 J163:J1048576">
    <cfRule type="cellIs" dxfId="972" priority="1" operator="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C927D-CFF1-4B51-B498-FD0B76238C20}">
  <sheetPr codeName="Sheet12"/>
  <dimension ref="A1:J2"/>
  <sheetViews>
    <sheetView topLeftCell="C1" zoomScaleNormal="100" workbookViewId="0">
      <selection activeCell="C1" sqref="C1:C1048576"/>
    </sheetView>
  </sheetViews>
  <sheetFormatPr defaultColWidth="8.7109375" defaultRowHeight="15.75"/>
  <cols>
    <col min="1" max="1" width="14.28515625" style="1" bestFit="1" customWidth="1"/>
    <col min="2" max="2" width="12.140625" style="1" bestFit="1" customWidth="1"/>
    <col min="3" max="3" width="15.140625" style="821" customWidth="1"/>
    <col min="4" max="4" width="58.5703125" style="1" bestFit="1" customWidth="1"/>
    <col min="5" max="5" width="23" style="1" customWidth="1"/>
    <col min="6" max="6" width="21.5703125" style="1" customWidth="1"/>
    <col min="7" max="7" width="16.42578125" style="821" bestFit="1" customWidth="1"/>
    <col min="8" max="8" width="14.5703125" style="821" bestFit="1" customWidth="1"/>
    <col min="9" max="9" width="11.5703125" style="1" bestFit="1" customWidth="1"/>
    <col min="10" max="10" width="39.85546875" style="107" bestFit="1" customWidth="1"/>
    <col min="11" max="16384" width="8.7109375" style="1"/>
  </cols>
  <sheetData>
    <row r="1" spans="1:10" s="33" customFormat="1" ht="31.5">
      <c r="A1" s="873" t="s">
        <v>4138</v>
      </c>
      <c r="B1" s="873" t="s">
        <v>3159</v>
      </c>
      <c r="C1" s="978" t="s">
        <v>1979</v>
      </c>
      <c r="D1" s="978" t="s">
        <v>4111</v>
      </c>
      <c r="E1" s="978" t="s">
        <v>4110</v>
      </c>
      <c r="F1" s="978" t="s">
        <v>2590</v>
      </c>
      <c r="G1" s="978" t="s">
        <v>4109</v>
      </c>
      <c r="H1" s="978" t="s">
        <v>1081</v>
      </c>
      <c r="I1" s="978" t="s">
        <v>27</v>
      </c>
      <c r="J1" s="978" t="s">
        <v>1</v>
      </c>
    </row>
    <row r="2" spans="1:10">
      <c r="A2" s="268" t="str">
        <f>IF(B2&lt;&gt;"", COUNTA($B2:B$3), "")</f>
        <v/>
      </c>
      <c r="H2" s="871"/>
      <c r="I2" s="872"/>
    </row>
  </sheetData>
  <autoFilter ref="A1:J1" xr:uid="{F85CF6AB-3CBC-4FDE-B87E-7EBC086D8BA8}"/>
  <phoneticPr fontId="164"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9B038-9EBF-494E-BB2F-B99349F2DE34}">
  <sheetPr codeName="Sheet35">
    <tabColor theme="0" tint="-0.34998626667073579"/>
  </sheetPr>
  <dimension ref="A1:IY46"/>
  <sheetViews>
    <sheetView zoomScale="85" zoomScaleNormal="85" zoomScaleSheetLayoutView="70" workbookViewId="0">
      <pane xSplit="10" ySplit="2" topLeftCell="K3" activePane="bottomRight" state="frozen"/>
      <selection activeCell="F16" sqref="F16"/>
      <selection pane="topRight" activeCell="F16" sqref="F16"/>
      <selection pane="bottomLeft" activeCell="F16" sqref="F16"/>
      <selection pane="bottomRight" activeCell="N1" sqref="A1:XFD2"/>
    </sheetView>
  </sheetViews>
  <sheetFormatPr defaultColWidth="9.42578125" defaultRowHeight="15" outlineLevelRow="1" outlineLevelCol="2"/>
  <cols>
    <col min="1" max="1" width="18.85546875" style="655" customWidth="1" outlineLevel="2"/>
    <col min="2" max="2" width="29.5703125" style="655" customWidth="1" outlineLevel="2" collapsed="1"/>
    <col min="3" max="4" width="29.5703125" style="655" customWidth="1" outlineLevel="1"/>
    <col min="5" max="5" width="25.42578125" style="656" customWidth="1"/>
    <col min="6" max="6" width="25.140625" style="656" bestFit="1" customWidth="1"/>
    <col min="7" max="7" width="18" style="655" customWidth="1"/>
    <col min="8" max="8" width="38" style="656" hidden="1" customWidth="1" outlineLevel="1" collapsed="1"/>
    <col min="9" max="9" width="52.42578125" style="655" hidden="1" customWidth="1" outlineLevel="1"/>
    <col min="10" max="10" width="53.5703125" style="655" customWidth="1" collapsed="1"/>
    <col min="11" max="11" width="52.7109375" style="655" customWidth="1" outlineLevel="1"/>
    <col min="12" max="12" width="144" style="657" customWidth="1" outlineLevel="1"/>
    <col min="13" max="13" width="43.140625" style="655" customWidth="1" outlineLevel="1"/>
    <col min="14" max="14" width="23.85546875" style="655" customWidth="1" outlineLevel="1"/>
    <col min="15" max="15" width="24.140625" style="655" customWidth="1" outlineLevel="1"/>
    <col min="16" max="16" width="27.140625" style="656" customWidth="1" outlineLevel="1" collapsed="1"/>
    <col min="17" max="17" width="50.42578125" style="655" customWidth="1" outlineLevel="1"/>
    <col min="18" max="19" width="37.7109375" style="655" customWidth="1" outlineLevel="1"/>
    <col min="20" max="20" width="35.140625" style="655" customWidth="1" outlineLevel="1"/>
    <col min="21" max="21" width="86.28515625" style="657" customWidth="1" outlineLevel="1"/>
    <col min="22" max="22" width="58.7109375" style="655" customWidth="1" outlineLevel="1"/>
    <col min="23" max="23" width="20" style="655" customWidth="1" outlineLevel="1"/>
    <col min="24" max="24" width="100.5703125" style="657" customWidth="1" outlineLevel="1"/>
    <col min="25" max="25" width="118.85546875" style="657" customWidth="1" outlineLevel="1"/>
    <col min="26" max="26" width="88.7109375" style="655" customWidth="1" outlineLevel="1"/>
    <col min="27" max="27" width="26.85546875" style="655" customWidth="1" outlineLevel="1"/>
    <col min="28" max="28" width="50.5703125" style="657" customWidth="1" outlineLevel="1"/>
    <col min="29" max="31" width="30.5703125" style="656" customWidth="1" outlineLevel="1"/>
    <col min="32" max="32" width="25.140625" style="656" customWidth="1" outlineLevel="1"/>
    <col min="33" max="33" width="29.5703125" style="455" customWidth="1" outlineLevel="1"/>
    <col min="34" max="34" width="16.85546875" style="643" customWidth="1" outlineLevel="1"/>
    <col min="35" max="35" width="20.85546875" style="455" customWidth="1" outlineLevel="1"/>
    <col min="36" max="36" width="54.42578125" style="643" customWidth="1"/>
    <col min="37" max="37" width="84.85546875" style="643" customWidth="1"/>
    <col min="38" max="259" width="54.42578125" style="643" customWidth="1"/>
    <col min="260" max="16384" width="9.42578125" style="643"/>
  </cols>
  <sheetData>
    <row r="1" spans="1:259" s="452" customFormat="1" ht="15.6" customHeight="1" outlineLevel="1">
      <c r="A1" s="1127" t="s">
        <v>2466</v>
      </c>
      <c r="B1" s="1127" t="s">
        <v>1062</v>
      </c>
      <c r="C1" s="1125" t="s">
        <v>2395</v>
      </c>
      <c r="D1" s="1125" t="s">
        <v>2464</v>
      </c>
      <c r="E1" s="1125" t="s">
        <v>2458</v>
      </c>
      <c r="F1" s="1125" t="s">
        <v>1063</v>
      </c>
      <c r="G1" s="1125" t="s">
        <v>1064</v>
      </c>
      <c r="H1" s="1125" t="s">
        <v>2442</v>
      </c>
      <c r="I1" s="1125" t="s">
        <v>1</v>
      </c>
      <c r="J1" s="1125" t="s">
        <v>1065</v>
      </c>
      <c r="K1" s="1130" t="s">
        <v>1066</v>
      </c>
      <c r="L1" s="1130" t="s">
        <v>1067</v>
      </c>
      <c r="M1" s="1130" t="s">
        <v>1068</v>
      </c>
      <c r="N1" s="1132" t="s">
        <v>1069</v>
      </c>
      <c r="O1" s="1133"/>
      <c r="P1" s="1130" t="s">
        <v>1070</v>
      </c>
      <c r="Q1" s="1130" t="s">
        <v>1071</v>
      </c>
      <c r="R1" s="1130" t="s">
        <v>1072</v>
      </c>
      <c r="S1" s="1130" t="s">
        <v>1073</v>
      </c>
      <c r="T1" s="1130" t="s">
        <v>1074</v>
      </c>
      <c r="U1" s="1130" t="s">
        <v>1075</v>
      </c>
      <c r="V1" s="1132" t="s">
        <v>1076</v>
      </c>
      <c r="W1" s="1133"/>
      <c r="X1" s="1130" t="s">
        <v>1077</v>
      </c>
      <c r="Y1" s="1130" t="s">
        <v>1078</v>
      </c>
      <c r="Z1" s="1132" t="s">
        <v>1079</v>
      </c>
      <c r="AA1" s="1133"/>
      <c r="AB1" s="1130" t="s">
        <v>1080</v>
      </c>
      <c r="AC1" s="1132" t="s">
        <v>1081</v>
      </c>
      <c r="AD1" s="1134"/>
      <c r="AE1" s="1133"/>
      <c r="AF1" s="1132" t="s">
        <v>1082</v>
      </c>
      <c r="AG1" s="1133"/>
      <c r="AH1" s="462"/>
      <c r="AI1" s="1135" t="s">
        <v>2433</v>
      </c>
      <c r="AJ1" s="462"/>
      <c r="AK1" s="462"/>
      <c r="AL1" s="462"/>
      <c r="AM1" s="462"/>
      <c r="AN1" s="462"/>
      <c r="AO1" s="462"/>
      <c r="AP1" s="462"/>
      <c r="AQ1" s="462"/>
      <c r="AR1" s="462"/>
      <c r="AS1" s="462"/>
      <c r="AT1" s="462"/>
      <c r="AU1" s="462"/>
      <c r="AV1" s="462"/>
      <c r="AW1" s="462"/>
      <c r="AX1" s="462"/>
      <c r="AY1" s="462"/>
      <c r="AZ1" s="462"/>
      <c r="BA1" s="462"/>
      <c r="BB1" s="462"/>
      <c r="BC1" s="462"/>
      <c r="BD1" s="462"/>
      <c r="BE1" s="462"/>
      <c r="BF1" s="462"/>
      <c r="BG1" s="462"/>
      <c r="BH1" s="462"/>
      <c r="BI1" s="462"/>
      <c r="BJ1" s="462"/>
      <c r="BK1" s="462"/>
      <c r="BL1" s="462"/>
      <c r="BM1" s="462"/>
      <c r="BN1" s="462"/>
      <c r="BO1" s="462"/>
      <c r="BP1" s="462"/>
      <c r="BQ1" s="462"/>
      <c r="BR1" s="462"/>
      <c r="BS1" s="462"/>
      <c r="BT1" s="462"/>
      <c r="BU1" s="462"/>
      <c r="BV1" s="462"/>
      <c r="BW1" s="462"/>
      <c r="BX1" s="462"/>
      <c r="BY1" s="462"/>
      <c r="BZ1" s="462"/>
      <c r="CA1" s="462"/>
      <c r="CB1" s="462"/>
      <c r="CC1" s="462"/>
      <c r="CD1" s="462"/>
      <c r="CE1" s="462"/>
      <c r="CF1" s="462"/>
      <c r="CG1" s="462"/>
      <c r="CH1" s="462"/>
      <c r="CI1" s="462"/>
      <c r="CJ1" s="462"/>
      <c r="CK1" s="462"/>
      <c r="CL1" s="462"/>
      <c r="CM1" s="462"/>
      <c r="CN1" s="462"/>
      <c r="CO1" s="462"/>
      <c r="CP1" s="462"/>
      <c r="CQ1" s="462"/>
      <c r="CR1" s="462"/>
      <c r="CS1" s="462"/>
      <c r="CT1" s="462"/>
      <c r="CU1" s="462"/>
      <c r="CV1" s="462"/>
      <c r="CW1" s="462"/>
      <c r="CX1" s="462"/>
      <c r="CY1" s="462"/>
      <c r="CZ1" s="462"/>
      <c r="DA1" s="462"/>
      <c r="DB1" s="462"/>
      <c r="DC1" s="462"/>
      <c r="DD1" s="462"/>
      <c r="DE1" s="462"/>
      <c r="DF1" s="462"/>
      <c r="DG1" s="462"/>
      <c r="DH1" s="462"/>
      <c r="DI1" s="462"/>
      <c r="DJ1" s="462"/>
      <c r="DK1" s="462"/>
      <c r="DL1" s="462"/>
      <c r="DM1" s="462"/>
      <c r="DN1" s="462"/>
      <c r="DO1" s="462"/>
      <c r="DP1" s="462"/>
      <c r="DQ1" s="462"/>
      <c r="DR1" s="462"/>
      <c r="DS1" s="462"/>
      <c r="DT1" s="462"/>
      <c r="DU1" s="462"/>
      <c r="DV1" s="462"/>
      <c r="DW1" s="462"/>
      <c r="DX1" s="462"/>
      <c r="DY1" s="462"/>
      <c r="DZ1" s="462"/>
      <c r="EA1" s="462"/>
      <c r="EB1" s="462"/>
      <c r="EC1" s="462"/>
      <c r="ED1" s="462"/>
      <c r="EE1" s="462"/>
      <c r="EF1" s="462"/>
      <c r="EG1" s="462"/>
      <c r="EH1" s="462"/>
      <c r="EI1" s="462"/>
      <c r="EJ1" s="462"/>
      <c r="EK1" s="462"/>
      <c r="EL1" s="462"/>
      <c r="EM1" s="462"/>
      <c r="EN1" s="462"/>
      <c r="EO1" s="462"/>
      <c r="EP1" s="462"/>
      <c r="EQ1" s="462"/>
      <c r="ER1" s="462"/>
      <c r="ES1" s="462"/>
      <c r="ET1" s="462"/>
      <c r="EU1" s="462"/>
      <c r="EV1" s="462"/>
      <c r="EW1" s="462"/>
      <c r="EX1" s="462"/>
      <c r="EY1" s="462"/>
      <c r="EZ1" s="462"/>
      <c r="FA1" s="462"/>
      <c r="FB1" s="462"/>
      <c r="FC1" s="462"/>
      <c r="FD1" s="462"/>
      <c r="FE1" s="462"/>
      <c r="FF1" s="462"/>
      <c r="FG1" s="462"/>
      <c r="FH1" s="462"/>
      <c r="FI1" s="462"/>
      <c r="FJ1" s="462"/>
      <c r="FK1" s="462"/>
      <c r="FL1" s="462"/>
      <c r="FM1" s="462"/>
      <c r="FN1" s="462"/>
      <c r="FO1" s="462"/>
      <c r="FP1" s="462"/>
      <c r="FQ1" s="462"/>
      <c r="FR1" s="462"/>
      <c r="FS1" s="462"/>
      <c r="FT1" s="462"/>
      <c r="FU1" s="462"/>
      <c r="FV1" s="462"/>
      <c r="FW1" s="462"/>
      <c r="FX1" s="462"/>
      <c r="FY1" s="462"/>
      <c r="FZ1" s="462"/>
      <c r="GA1" s="462"/>
      <c r="GB1" s="462"/>
      <c r="GC1" s="462"/>
      <c r="GD1" s="462"/>
      <c r="GE1" s="462"/>
      <c r="GF1" s="462"/>
      <c r="GG1" s="462"/>
      <c r="GH1" s="462"/>
      <c r="GI1" s="462"/>
      <c r="GJ1" s="462"/>
      <c r="GK1" s="462"/>
      <c r="GL1" s="462"/>
      <c r="GM1" s="462"/>
      <c r="GN1" s="462"/>
      <c r="GO1" s="462"/>
      <c r="GP1" s="462"/>
      <c r="GQ1" s="462"/>
      <c r="GR1" s="462"/>
      <c r="GS1" s="462"/>
      <c r="GT1" s="462"/>
      <c r="GU1" s="462"/>
      <c r="GV1" s="462"/>
      <c r="GW1" s="462"/>
      <c r="GX1" s="462"/>
      <c r="GY1" s="462"/>
      <c r="GZ1" s="462"/>
      <c r="HA1" s="462"/>
      <c r="HB1" s="462"/>
      <c r="HC1" s="462"/>
      <c r="HD1" s="462"/>
      <c r="HE1" s="462"/>
      <c r="HF1" s="462"/>
      <c r="HG1" s="462"/>
      <c r="HH1" s="462"/>
      <c r="HI1" s="462"/>
      <c r="HJ1" s="462"/>
      <c r="HK1" s="462"/>
      <c r="HL1" s="462"/>
      <c r="HM1" s="462"/>
      <c r="HN1" s="462"/>
      <c r="HO1" s="462"/>
      <c r="HP1" s="462"/>
      <c r="HQ1" s="462"/>
      <c r="HR1" s="462"/>
      <c r="HS1" s="462"/>
      <c r="HT1" s="462"/>
      <c r="HU1" s="462"/>
      <c r="HV1" s="462"/>
      <c r="HW1" s="462"/>
      <c r="HX1" s="462"/>
      <c r="HY1" s="462"/>
      <c r="HZ1" s="462"/>
      <c r="IA1" s="462"/>
      <c r="IB1" s="462"/>
      <c r="IC1" s="462"/>
      <c r="ID1" s="462"/>
      <c r="IE1" s="462"/>
      <c r="IF1" s="462"/>
      <c r="IG1" s="462"/>
      <c r="IH1" s="462"/>
      <c r="II1" s="462"/>
      <c r="IJ1" s="462"/>
      <c r="IK1" s="462"/>
      <c r="IL1" s="462"/>
      <c r="IM1" s="462"/>
      <c r="IN1" s="462"/>
      <c r="IO1" s="462"/>
      <c r="IP1" s="462"/>
      <c r="IQ1" s="462"/>
      <c r="IR1" s="462"/>
      <c r="IS1" s="462"/>
      <c r="IT1" s="462"/>
      <c r="IU1" s="462"/>
      <c r="IV1" s="462"/>
      <c r="IW1" s="462"/>
      <c r="IX1" s="462"/>
      <c r="IY1" s="462"/>
    </row>
    <row r="2" spans="1:259" s="452" customFormat="1" ht="31.5" outlineLevel="1">
      <c r="A2" s="1128"/>
      <c r="B2" s="1128"/>
      <c r="C2" s="1129"/>
      <c r="D2" s="1129"/>
      <c r="E2" s="1126"/>
      <c r="F2" s="1126"/>
      <c r="G2" s="1126"/>
      <c r="H2" s="1126"/>
      <c r="I2" s="1126"/>
      <c r="J2" s="1131"/>
      <c r="K2" s="1131"/>
      <c r="L2" s="1131"/>
      <c r="M2" s="1131"/>
      <c r="N2" s="818" t="s">
        <v>1084</v>
      </c>
      <c r="O2" s="818" t="s">
        <v>1085</v>
      </c>
      <c r="P2" s="1131"/>
      <c r="Q2" s="1131"/>
      <c r="R2" s="1131"/>
      <c r="S2" s="1131"/>
      <c r="T2" s="1131"/>
      <c r="U2" s="1131"/>
      <c r="V2" s="818" t="s">
        <v>1086</v>
      </c>
      <c r="W2" s="818" t="s">
        <v>1087</v>
      </c>
      <c r="X2" s="1131"/>
      <c r="Y2" s="1131"/>
      <c r="Z2" s="818" t="s">
        <v>1086</v>
      </c>
      <c r="AA2" s="818" t="s">
        <v>1087</v>
      </c>
      <c r="AB2" s="1131"/>
      <c r="AC2" s="818" t="s">
        <v>1088</v>
      </c>
      <c r="AD2" s="818" t="s">
        <v>1089</v>
      </c>
      <c r="AE2" s="818" t="s">
        <v>1090</v>
      </c>
      <c r="AF2" s="818" t="s">
        <v>1091</v>
      </c>
      <c r="AG2" s="819" t="s">
        <v>1092</v>
      </c>
      <c r="AI2" s="1135"/>
    </row>
    <row r="3" spans="1:259" s="279" customFormat="1" ht="165">
      <c r="A3" s="455">
        <f>IF(B3&lt;&gt;"", COUNTA($B$3:B3), "")</f>
        <v>1</v>
      </c>
      <c r="B3" s="455" t="str">
        <f>IF(AND(AF3="Yes",AG3="Yes"),"Closed","Opening")</f>
        <v>Closed</v>
      </c>
      <c r="C3" s="820">
        <v>45422</v>
      </c>
      <c r="D3" s="820">
        <v>45538</v>
      </c>
      <c r="E3" s="455" t="s">
        <v>1093</v>
      </c>
      <c r="F3" s="455" t="s">
        <v>3994</v>
      </c>
      <c r="G3" s="655" t="s">
        <v>1161</v>
      </c>
      <c r="H3" s="455" t="str" cm="1">
        <f t="array" ref="H3">_xlfn.IFS(
    G3="CDWE", "TNI - Transportation &amp; Installation",
    G3="Seaway7", "CTI - Cable T&amp;I",
    G3="LS Cable", "EXC - Export Cable",
    G3="Hellenic", "IAC - Inter Array Cable",
    TRUE, "")</f>
        <v>EXC - Export Cable</v>
      </c>
      <c r="I3" s="636" t="s">
        <v>1106</v>
      </c>
      <c r="J3" s="643" t="s">
        <v>1095</v>
      </c>
      <c r="K3" s="632" t="s">
        <v>1096</v>
      </c>
      <c r="L3" s="636" t="s">
        <v>1097</v>
      </c>
      <c r="M3" s="455" t="s">
        <v>1098</v>
      </c>
      <c r="N3" s="455" t="s">
        <v>1099</v>
      </c>
      <c r="O3" s="455" t="s">
        <v>1099</v>
      </c>
      <c r="P3" s="455" t="s">
        <v>1098</v>
      </c>
      <c r="Q3" s="643" t="s">
        <v>1100</v>
      </c>
      <c r="R3" s="643" t="s">
        <v>1101</v>
      </c>
      <c r="S3" s="455" t="s">
        <v>1102</v>
      </c>
      <c r="T3" s="455" t="s">
        <v>1103</v>
      </c>
      <c r="U3" s="636" t="s">
        <v>2514</v>
      </c>
      <c r="V3" s="455" t="s">
        <v>2515</v>
      </c>
      <c r="W3" s="455" t="s">
        <v>1099</v>
      </c>
      <c r="X3" s="636" t="s">
        <v>1112</v>
      </c>
      <c r="Y3" s="636" t="s">
        <v>2516</v>
      </c>
      <c r="Z3" s="455" t="s">
        <v>2517</v>
      </c>
      <c r="AA3" s="455" t="s">
        <v>148</v>
      </c>
      <c r="AB3" s="455" t="s">
        <v>1104</v>
      </c>
      <c r="AC3" s="455" t="s">
        <v>110</v>
      </c>
      <c r="AD3" s="455" t="s">
        <v>110</v>
      </c>
      <c r="AE3" s="455" t="s">
        <v>110</v>
      </c>
      <c r="AF3" s="455" t="s">
        <v>1105</v>
      </c>
      <c r="AG3" s="455" t="s">
        <v>1105</v>
      </c>
      <c r="AI3" s="455" t="str">
        <f>IF(C3&lt;&gt;0,TEXT(C3,"mmm-yyyy"),"")</f>
        <v>May-2024</v>
      </c>
    </row>
    <row r="4" spans="1:259">
      <c r="A4" s="455" t="str">
        <f>IF(B4&lt;&gt;"", COUNTA($B$3:B4), "")</f>
        <v/>
      </c>
      <c r="AI4" s="455" t="str">
        <f t="shared" ref="AI4:AI27" si="0">IF(C4&lt;&gt;0,TEXT(C4,"mmm-yyyy"),"")</f>
        <v/>
      </c>
    </row>
    <row r="5" spans="1:259">
      <c r="A5" s="455" t="str">
        <f>IF(B5&lt;&gt;"", COUNTA($B$3:B5), "")</f>
        <v/>
      </c>
      <c r="AI5" s="455" t="str">
        <f t="shared" si="0"/>
        <v/>
      </c>
    </row>
    <row r="6" spans="1:259">
      <c r="A6" s="455" t="str">
        <f>IF(B6&lt;&gt;"", COUNTA($B$3:B6), "")</f>
        <v/>
      </c>
      <c r="AI6" s="455" t="str">
        <f t="shared" si="0"/>
        <v/>
      </c>
    </row>
    <row r="7" spans="1:259">
      <c r="A7" s="455" t="str">
        <f>IF(B7&lt;&gt;"", COUNTA($B$3:B7), "")</f>
        <v/>
      </c>
      <c r="AI7" s="455" t="str">
        <f t="shared" si="0"/>
        <v/>
      </c>
    </row>
    <row r="8" spans="1:259">
      <c r="A8" s="455" t="str">
        <f>IF(B8&lt;&gt;"", COUNTA($B$3:B8), "")</f>
        <v/>
      </c>
      <c r="AI8" s="455" t="str">
        <f t="shared" si="0"/>
        <v/>
      </c>
    </row>
    <row r="9" spans="1:259">
      <c r="A9" s="455" t="str">
        <f>IF(B9&lt;&gt;"", COUNTA($B$3:B9), "")</f>
        <v/>
      </c>
      <c r="AI9" s="455" t="str">
        <f t="shared" si="0"/>
        <v/>
      </c>
    </row>
    <row r="10" spans="1:259">
      <c r="A10" s="455" t="str">
        <f>IF(B10&lt;&gt;"", COUNTA($B$3:B10), "")</f>
        <v/>
      </c>
      <c r="AI10" s="455" t="str">
        <f t="shared" si="0"/>
        <v/>
      </c>
    </row>
    <row r="11" spans="1:259">
      <c r="A11" s="455" t="str">
        <f>IF(B11&lt;&gt;"", COUNTA($B$3:B11), "")</f>
        <v/>
      </c>
      <c r="AI11" s="455" t="str">
        <f t="shared" si="0"/>
        <v/>
      </c>
    </row>
    <row r="12" spans="1:259">
      <c r="A12" s="455" t="str">
        <f>IF(B12&lt;&gt;"", COUNTA($B$3:B12), "")</f>
        <v/>
      </c>
      <c r="AI12" s="455" t="str">
        <f t="shared" si="0"/>
        <v/>
      </c>
    </row>
    <row r="13" spans="1:259">
      <c r="A13" s="455" t="str">
        <f>IF(B13&lt;&gt;"", COUNTA($B$3:B13), "")</f>
        <v/>
      </c>
      <c r="AI13" s="455" t="str">
        <f t="shared" si="0"/>
        <v/>
      </c>
    </row>
    <row r="14" spans="1:259">
      <c r="A14" s="455" t="str">
        <f>IF(B14&lt;&gt;"", COUNTA($B$3:B14), "")</f>
        <v/>
      </c>
      <c r="AI14" s="455" t="str">
        <f t="shared" si="0"/>
        <v/>
      </c>
    </row>
    <row r="15" spans="1:259">
      <c r="A15" s="455" t="str">
        <f>IF(B15&lt;&gt;"", COUNTA($B$3:B15), "")</f>
        <v/>
      </c>
      <c r="AI15" s="455" t="str">
        <f t="shared" si="0"/>
        <v/>
      </c>
    </row>
    <row r="16" spans="1:259">
      <c r="A16" s="455" t="str">
        <f>IF(B16&lt;&gt;"", COUNTA($B$3:B16), "")</f>
        <v/>
      </c>
      <c r="AI16" s="455" t="str">
        <f t="shared" si="0"/>
        <v/>
      </c>
    </row>
    <row r="17" spans="1:35">
      <c r="A17" s="455" t="str">
        <f>IF(B17&lt;&gt;"", COUNTA($B$3:B17), "")</f>
        <v/>
      </c>
      <c r="AI17" s="455" t="str">
        <f t="shared" si="0"/>
        <v/>
      </c>
    </row>
    <row r="18" spans="1:35">
      <c r="A18" s="455" t="str">
        <f>IF(B18&lt;&gt;"", COUNTA($B$3:B18), "")</f>
        <v/>
      </c>
      <c r="AI18" s="455" t="str">
        <f t="shared" si="0"/>
        <v/>
      </c>
    </row>
    <row r="19" spans="1:35">
      <c r="A19" s="455" t="str">
        <f>IF(B19&lt;&gt;"", COUNTA($B$3:B19), "")</f>
        <v/>
      </c>
      <c r="AI19" s="455" t="str">
        <f t="shared" si="0"/>
        <v/>
      </c>
    </row>
    <row r="20" spans="1:35">
      <c r="A20" s="455" t="str">
        <f>IF(B20&lt;&gt;"", COUNTA($B$3:B20), "")</f>
        <v/>
      </c>
      <c r="AI20" s="455" t="str">
        <f t="shared" si="0"/>
        <v/>
      </c>
    </row>
    <row r="21" spans="1:35">
      <c r="A21" s="455" t="str">
        <f>IF(B21&lt;&gt;"", COUNTA($B$3:B21), "")</f>
        <v/>
      </c>
      <c r="AI21" s="455" t="str">
        <f t="shared" si="0"/>
        <v/>
      </c>
    </row>
    <row r="22" spans="1:35">
      <c r="A22" s="455" t="str">
        <f>IF(B22&lt;&gt;"", COUNTA($B$3:B22), "")</f>
        <v/>
      </c>
      <c r="AI22" s="455" t="str">
        <f t="shared" si="0"/>
        <v/>
      </c>
    </row>
    <row r="23" spans="1:35">
      <c r="AI23" s="455" t="str">
        <f t="shared" si="0"/>
        <v/>
      </c>
    </row>
    <row r="24" spans="1:35">
      <c r="AI24" s="455" t="str">
        <f t="shared" si="0"/>
        <v/>
      </c>
    </row>
    <row r="25" spans="1:35">
      <c r="AI25" s="455" t="str">
        <f t="shared" si="0"/>
        <v/>
      </c>
    </row>
    <row r="26" spans="1:35">
      <c r="AI26" s="455" t="str">
        <f t="shared" si="0"/>
        <v/>
      </c>
    </row>
    <row r="27" spans="1:35">
      <c r="AI27" s="455" t="str">
        <f t="shared" si="0"/>
        <v/>
      </c>
    </row>
    <row r="28" spans="1:35">
      <c r="AI28" s="455" t="str">
        <f t="shared" ref="AI28:AI46" si="1">IF(C28&lt;&gt;0,TEXT(C28,"mmm-yyyy"),"")</f>
        <v/>
      </c>
    </row>
    <row r="29" spans="1:35">
      <c r="AI29" s="455" t="str">
        <f t="shared" si="1"/>
        <v/>
      </c>
    </row>
    <row r="30" spans="1:35">
      <c r="AI30" s="455" t="str">
        <f t="shared" si="1"/>
        <v/>
      </c>
    </row>
    <row r="31" spans="1:35">
      <c r="AI31" s="455" t="str">
        <f t="shared" si="1"/>
        <v/>
      </c>
    </row>
    <row r="32" spans="1:35">
      <c r="AI32" s="455" t="str">
        <f t="shared" si="1"/>
        <v/>
      </c>
    </row>
    <row r="33" spans="35:35">
      <c r="AI33" s="455" t="str">
        <f t="shared" si="1"/>
        <v/>
      </c>
    </row>
    <row r="34" spans="35:35">
      <c r="AI34" s="455" t="str">
        <f t="shared" si="1"/>
        <v/>
      </c>
    </row>
    <row r="35" spans="35:35">
      <c r="AI35" s="455" t="str">
        <f t="shared" si="1"/>
        <v/>
      </c>
    </row>
    <row r="36" spans="35:35">
      <c r="AI36" s="455" t="str">
        <f t="shared" si="1"/>
        <v/>
      </c>
    </row>
    <row r="37" spans="35:35">
      <c r="AI37" s="455" t="str">
        <f t="shared" si="1"/>
        <v/>
      </c>
    </row>
    <row r="38" spans="35:35">
      <c r="AI38" s="455" t="str">
        <f t="shared" si="1"/>
        <v/>
      </c>
    </row>
    <row r="39" spans="35:35">
      <c r="AI39" s="455" t="str">
        <f t="shared" si="1"/>
        <v/>
      </c>
    </row>
    <row r="40" spans="35:35">
      <c r="AI40" s="455" t="str">
        <f t="shared" si="1"/>
        <v/>
      </c>
    </row>
    <row r="41" spans="35:35">
      <c r="AI41" s="455" t="str">
        <f t="shared" si="1"/>
        <v/>
      </c>
    </row>
    <row r="42" spans="35:35">
      <c r="AI42" s="455" t="str">
        <f t="shared" si="1"/>
        <v/>
      </c>
    </row>
    <row r="43" spans="35:35">
      <c r="AI43" s="455" t="str">
        <f t="shared" si="1"/>
        <v/>
      </c>
    </row>
    <row r="44" spans="35:35">
      <c r="AI44" s="455" t="str">
        <f t="shared" si="1"/>
        <v/>
      </c>
    </row>
    <row r="45" spans="35:35">
      <c r="AI45" s="455" t="str">
        <f t="shared" si="1"/>
        <v/>
      </c>
    </row>
    <row r="46" spans="35:35">
      <c r="AI46" s="455" t="str">
        <f t="shared" si="1"/>
        <v/>
      </c>
    </row>
  </sheetData>
  <autoFilter ref="A2:IY3" xr:uid="{FDA42ECD-1F40-48D3-8A21-4BF479267622}"/>
  <mergeCells count="28">
    <mergeCell ref="AB1:AB2"/>
    <mergeCell ref="AC1:AE1"/>
    <mergeCell ref="AF1:AG1"/>
    <mergeCell ref="AI1:AI2"/>
    <mergeCell ref="T1:T2"/>
    <mergeCell ref="U1:U2"/>
    <mergeCell ref="V1:W1"/>
    <mergeCell ref="X1:X2"/>
    <mergeCell ref="Y1:Y2"/>
    <mergeCell ref="Z1:AA1"/>
    <mergeCell ref="S1:S2"/>
    <mergeCell ref="G1:G2"/>
    <mergeCell ref="H1:H2"/>
    <mergeCell ref="I1:I2"/>
    <mergeCell ref="J1:J2"/>
    <mergeCell ref="K1:K2"/>
    <mergeCell ref="L1:L2"/>
    <mergeCell ref="M1:M2"/>
    <mergeCell ref="N1:O1"/>
    <mergeCell ref="P1:P2"/>
    <mergeCell ref="Q1:Q2"/>
    <mergeCell ref="R1:R2"/>
    <mergeCell ref="F1:F2"/>
    <mergeCell ref="A1:A2"/>
    <mergeCell ref="B1:B2"/>
    <mergeCell ref="C1:C2"/>
    <mergeCell ref="D1:D2"/>
    <mergeCell ref="E1:E2"/>
  </mergeCells>
  <phoneticPr fontId="164" type="noConversion"/>
  <conditionalFormatting sqref="AB3:AB680">
    <cfRule type="cellIs" dxfId="971" priority="80" operator="equal">
      <formula>"NA"</formula>
    </cfRule>
  </conditionalFormatting>
  <conditionalFormatting sqref="AC3:AE772">
    <cfRule type="cellIs" dxfId="970" priority="79" operator="equal">
      <formula>"Yes"</formula>
    </cfRule>
  </conditionalFormatting>
  <conditionalFormatting sqref="AC3:AE3">
    <cfRule type="cellIs" dxfId="969" priority="71" operator="equal">
      <formula>"Yes"</formula>
    </cfRule>
  </conditionalFormatting>
  <conditionalFormatting sqref="F3:F772">
    <cfRule type="cellIs" dxfId="968" priority="70" operator="equal">
      <formula>"Request for NCR"</formula>
    </cfRule>
  </conditionalFormatting>
  <conditionalFormatting sqref="A3:AG772">
    <cfRule type="expression" dxfId="967" priority="72">
      <formula>OR($AF3="No", $AG3="No")</formula>
    </cfRule>
    <cfRule type="expression" dxfId="966" priority="77">
      <formula>AND($AF3="Yes",$AG3="Yes")</formula>
    </cfRule>
  </conditionalFormatting>
  <conditionalFormatting sqref="A3:AG772">
    <cfRule type="expression" dxfId="965" priority="57">
      <formula>$A3&lt;&gt;""</formula>
    </cfRule>
  </conditionalFormatting>
  <pageMargins left="0.75" right="0.75" top="1" bottom="1" header="0.5" footer="0.5"/>
  <pageSetup orientation="portrait" horizontalDpi="300" verticalDpi="300" r:id="rId1"/>
  <headerFooter alignWithMargins="0"/>
  <extLst>
    <ext xmlns:x14="http://schemas.microsoft.com/office/spreadsheetml/2009/9/main" uri="{CCE6A557-97BC-4b89-ADB6-D9C93CAAB3DF}">
      <x14:dataValidations xmlns:xm="http://schemas.microsoft.com/office/excel/2006/main" count="6">
        <x14:dataValidation type="list" allowBlank="1" showInputMessage="1" showErrorMessage="1" xr:uid="{545772BB-3708-4EF2-85F6-0BAE09FBE8FC}">
          <x14:formula1>
            <xm:f>Filter!$H$3:$H$7</xm:f>
          </x14:formula1>
          <xm:sqref>F3</xm:sqref>
        </x14:dataValidation>
        <x14:dataValidation type="list" allowBlank="1" showInputMessage="1" showErrorMessage="1" xr:uid="{E0A16234-B384-4462-8515-734F9BFD0FFD}">
          <x14:formula1>
            <xm:f>Filter!$O$3:$O$9</xm:f>
          </x14:formula1>
          <xm:sqref>R3:R1048576</xm:sqref>
        </x14:dataValidation>
        <x14:dataValidation type="list" allowBlank="1" showInputMessage="1" showErrorMessage="1" xr:uid="{9C66E5BE-06A3-4B29-BBF1-60CF093BC89E}">
          <x14:formula1>
            <xm:f>Filter!$M$3:$M$9</xm:f>
          </x14:formula1>
          <xm:sqref>Q3:Q1048576</xm:sqref>
        </x14:dataValidation>
        <x14:dataValidation type="list" allowBlank="1" showInputMessage="1" showErrorMessage="1" xr:uid="{A383A932-B3AC-489B-BFF1-A6033AFCB3BC}">
          <x14:formula1>
            <xm:f>Filter!$H$3:$H$5</xm:f>
          </x14:formula1>
          <xm:sqref>F4:F1048576</xm:sqref>
        </x14:dataValidation>
        <x14:dataValidation type="list" allowBlank="1" showInputMessage="1" showErrorMessage="1" xr:uid="{A4F04AB6-14F0-48B8-B975-DAF0DB7BDDB2}">
          <x14:formula1>
            <xm:f>Filter!$F$3:$F$5</xm:f>
          </x14:formula1>
          <xm:sqref>AC3:AG1048576</xm:sqref>
        </x14:dataValidation>
        <x14:dataValidation type="list" allowBlank="1" showInputMessage="1" showErrorMessage="1" xr:uid="{61B0D5B8-B066-4427-971D-5EFBE59ACBE3}">
          <x14:formula1>
            <xm:f>Filter!$J$3:$J$8</xm:f>
          </x14:formula1>
          <xm:sqref>G3:G1048576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42ECD-1F40-48D3-8A21-4BF479267622}">
  <sheetPr codeName="Sheet31">
    <tabColor theme="0" tint="-0.34998626667073579"/>
  </sheetPr>
  <dimension ref="A1:IY270"/>
  <sheetViews>
    <sheetView zoomScale="70" zoomScaleNormal="70" zoomScaleSheetLayoutView="70" workbookViewId="0">
      <pane xSplit="10" ySplit="1" topLeftCell="P4" activePane="bottomRight" state="frozen"/>
      <selection activeCell="F16" sqref="F16"/>
      <selection pane="topRight" activeCell="F16" sqref="F16"/>
      <selection pane="bottomLeft" activeCell="F16" sqref="F16"/>
      <selection pane="bottomRight" activeCell="A97" sqref="A97"/>
    </sheetView>
  </sheetViews>
  <sheetFormatPr defaultColWidth="9.42578125" defaultRowHeight="15" outlineLevelRow="1" outlineLevelCol="2"/>
  <cols>
    <col min="1" max="1" width="18.85546875" style="655" hidden="1" customWidth="1" outlineLevel="2"/>
    <col min="2" max="2" width="30.42578125" style="655" hidden="1" customWidth="1" outlineLevel="2" collapsed="1"/>
    <col min="3" max="3" width="29.5703125" style="655" hidden="1" customWidth="1" outlineLevel="1" collapsed="1"/>
    <col min="4" max="4" width="29.5703125" style="655" hidden="1" customWidth="1" outlineLevel="1"/>
    <col min="5" max="5" width="25.42578125" style="656" customWidth="1" collapsed="1"/>
    <col min="6" max="6" width="25.140625" style="656" bestFit="1" customWidth="1"/>
    <col min="7" max="7" width="18" style="655" customWidth="1"/>
    <col min="8" max="8" width="38" style="656" hidden="1" customWidth="1" outlineLevel="1" collapsed="1"/>
    <col min="9" max="9" width="52.42578125" style="655" hidden="1" customWidth="1" outlineLevel="1"/>
    <col min="10" max="10" width="53.5703125" style="655" customWidth="1" collapsed="1"/>
    <col min="11" max="11" width="52.7109375" style="655" customWidth="1" outlineLevel="1"/>
    <col min="12" max="12" width="144" style="657" customWidth="1" outlineLevel="1"/>
    <col min="13" max="13" width="43.140625" style="655" customWidth="1" outlineLevel="1"/>
    <col min="14" max="14" width="23.85546875" style="655" customWidth="1" outlineLevel="1"/>
    <col min="15" max="15" width="24.140625" style="655" customWidth="1" outlineLevel="1"/>
    <col min="16" max="16" width="27.140625" style="656" customWidth="1" outlineLevel="1" collapsed="1"/>
    <col min="17" max="17" width="50.42578125" style="655" customWidth="1" outlineLevel="1"/>
    <col min="18" max="19" width="37.7109375" style="655" customWidth="1" outlineLevel="1"/>
    <col min="20" max="20" width="35.140625" style="655" customWidth="1" outlineLevel="1"/>
    <col min="21" max="21" width="86.28515625" style="657" customWidth="1" outlineLevel="1"/>
    <col min="22" max="22" width="58.7109375" style="655" customWidth="1" outlineLevel="1"/>
    <col min="23" max="23" width="20" style="655" customWidth="1" outlineLevel="1"/>
    <col min="24" max="24" width="100.5703125" style="657" customWidth="1" outlineLevel="1"/>
    <col min="25" max="25" width="118.85546875" style="657" customWidth="1" outlineLevel="1"/>
    <col min="26" max="26" width="88.7109375" style="655" customWidth="1" outlineLevel="1"/>
    <col min="27" max="27" width="26.85546875" style="655" customWidth="1" outlineLevel="1"/>
    <col min="28" max="28" width="50.5703125" style="657" customWidth="1" outlineLevel="1"/>
    <col min="29" max="31" width="30.5703125" style="656" customWidth="1" outlineLevel="1"/>
    <col min="32" max="32" width="25.140625" style="656" customWidth="1" outlineLevel="1"/>
    <col min="33" max="33" width="29.5703125" style="455" customWidth="1" outlineLevel="1"/>
    <col min="34" max="34" width="16.85546875" style="643" customWidth="1" outlineLevel="1"/>
    <col min="35" max="35" width="20.85546875" style="455" customWidth="1" outlineLevel="1"/>
    <col min="36" max="36" width="54.42578125" style="643" customWidth="1"/>
    <col min="37" max="37" width="84.85546875" style="643" customWidth="1"/>
    <col min="38" max="259" width="54.42578125" style="643" customWidth="1"/>
    <col min="260" max="16384" width="9.42578125" style="643"/>
  </cols>
  <sheetData>
    <row r="1" spans="1:259" s="452" customFormat="1" ht="69.599999999999994" customHeight="1" outlineLevel="1">
      <c r="A1" s="837" t="s">
        <v>2466</v>
      </c>
      <c r="B1" s="838" t="s">
        <v>1062</v>
      </c>
      <c r="C1" s="836" t="s">
        <v>2395</v>
      </c>
      <c r="D1" s="836" t="s">
        <v>2464</v>
      </c>
      <c r="E1" s="836" t="s">
        <v>2458</v>
      </c>
      <c r="F1" s="836" t="s">
        <v>1063</v>
      </c>
      <c r="G1" s="838" t="s">
        <v>1064</v>
      </c>
      <c r="H1" s="836" t="s">
        <v>2442</v>
      </c>
      <c r="I1" s="836" t="s">
        <v>1</v>
      </c>
      <c r="J1" s="834" t="s">
        <v>1065</v>
      </c>
      <c r="K1" s="834" t="s">
        <v>1066</v>
      </c>
      <c r="L1" s="834" t="s">
        <v>1067</v>
      </c>
      <c r="M1" s="834" t="s">
        <v>1068</v>
      </c>
      <c r="N1" s="874" t="s">
        <v>1084</v>
      </c>
      <c r="O1" s="875" t="s">
        <v>1085</v>
      </c>
      <c r="P1" s="834" t="s">
        <v>1070</v>
      </c>
      <c r="Q1" s="834" t="s">
        <v>1071</v>
      </c>
      <c r="R1" s="834" t="s">
        <v>1072</v>
      </c>
      <c r="S1" s="834" t="s">
        <v>1073</v>
      </c>
      <c r="T1" s="834" t="s">
        <v>1074</v>
      </c>
      <c r="U1" s="834" t="s">
        <v>1075</v>
      </c>
      <c r="V1" s="874" t="s">
        <v>4139</v>
      </c>
      <c r="W1" s="875" t="s">
        <v>4140</v>
      </c>
      <c r="X1" s="834" t="s">
        <v>1077</v>
      </c>
      <c r="Y1" s="834" t="s">
        <v>1078</v>
      </c>
      <c r="Z1" s="874" t="s">
        <v>4141</v>
      </c>
      <c r="AA1" s="875" t="s">
        <v>4142</v>
      </c>
      <c r="AB1" s="834" t="s">
        <v>1080</v>
      </c>
      <c r="AC1" s="874" t="s">
        <v>1088</v>
      </c>
      <c r="AD1" s="876" t="s">
        <v>1089</v>
      </c>
      <c r="AE1" s="875" t="s">
        <v>1090</v>
      </c>
      <c r="AF1" s="874" t="s">
        <v>1091</v>
      </c>
      <c r="AG1" s="876" t="s">
        <v>1092</v>
      </c>
      <c r="AH1" s="462"/>
      <c r="AI1" s="835" t="s">
        <v>2433</v>
      </c>
      <c r="AJ1" s="462"/>
      <c r="AK1" s="462"/>
      <c r="AL1" s="462"/>
      <c r="AM1" s="462"/>
      <c r="AN1" s="462"/>
      <c r="AO1" s="462"/>
      <c r="AP1" s="462"/>
      <c r="AQ1" s="462"/>
      <c r="AR1" s="462"/>
      <c r="AS1" s="462"/>
      <c r="AT1" s="462"/>
      <c r="AU1" s="462"/>
      <c r="AV1" s="462"/>
      <c r="AW1" s="462"/>
      <c r="AX1" s="462"/>
      <c r="AY1" s="462"/>
      <c r="AZ1" s="462"/>
      <c r="BA1" s="462"/>
      <c r="BB1" s="462"/>
      <c r="BC1" s="462"/>
      <c r="BD1" s="462"/>
      <c r="BE1" s="462"/>
      <c r="BF1" s="462"/>
      <c r="BG1" s="462"/>
      <c r="BH1" s="462"/>
      <c r="BI1" s="462"/>
      <c r="BJ1" s="462"/>
      <c r="BK1" s="462"/>
      <c r="BL1" s="462"/>
      <c r="BM1" s="462"/>
      <c r="BN1" s="462"/>
      <c r="BO1" s="462"/>
      <c r="BP1" s="462"/>
      <c r="BQ1" s="462"/>
      <c r="BR1" s="462"/>
      <c r="BS1" s="462"/>
      <c r="BT1" s="462"/>
      <c r="BU1" s="462"/>
      <c r="BV1" s="462"/>
      <c r="BW1" s="462"/>
      <c r="BX1" s="462"/>
      <c r="BY1" s="462"/>
      <c r="BZ1" s="462"/>
      <c r="CA1" s="462"/>
      <c r="CB1" s="462"/>
      <c r="CC1" s="462"/>
      <c r="CD1" s="462"/>
      <c r="CE1" s="462"/>
      <c r="CF1" s="462"/>
      <c r="CG1" s="462"/>
      <c r="CH1" s="462"/>
      <c r="CI1" s="462"/>
      <c r="CJ1" s="462"/>
      <c r="CK1" s="462"/>
      <c r="CL1" s="462"/>
      <c r="CM1" s="462"/>
      <c r="CN1" s="462"/>
      <c r="CO1" s="462"/>
      <c r="CP1" s="462"/>
      <c r="CQ1" s="462"/>
      <c r="CR1" s="462"/>
      <c r="CS1" s="462"/>
      <c r="CT1" s="462"/>
      <c r="CU1" s="462"/>
      <c r="CV1" s="462"/>
      <c r="CW1" s="462"/>
      <c r="CX1" s="462"/>
      <c r="CY1" s="462"/>
      <c r="CZ1" s="462"/>
      <c r="DA1" s="462"/>
      <c r="DB1" s="462"/>
      <c r="DC1" s="462"/>
      <c r="DD1" s="462"/>
      <c r="DE1" s="462"/>
      <c r="DF1" s="462"/>
      <c r="DG1" s="462"/>
      <c r="DH1" s="462"/>
      <c r="DI1" s="462"/>
      <c r="DJ1" s="462"/>
      <c r="DK1" s="462"/>
      <c r="DL1" s="462"/>
      <c r="DM1" s="462"/>
      <c r="DN1" s="462"/>
      <c r="DO1" s="462"/>
      <c r="DP1" s="462"/>
      <c r="DQ1" s="462"/>
      <c r="DR1" s="462"/>
      <c r="DS1" s="462"/>
      <c r="DT1" s="462"/>
      <c r="DU1" s="462"/>
      <c r="DV1" s="462"/>
      <c r="DW1" s="462"/>
      <c r="DX1" s="462"/>
      <c r="DY1" s="462"/>
      <c r="DZ1" s="462"/>
      <c r="EA1" s="462"/>
      <c r="EB1" s="462"/>
      <c r="EC1" s="462"/>
      <c r="ED1" s="462"/>
      <c r="EE1" s="462"/>
      <c r="EF1" s="462"/>
      <c r="EG1" s="462"/>
      <c r="EH1" s="462"/>
      <c r="EI1" s="462"/>
      <c r="EJ1" s="462"/>
      <c r="EK1" s="462"/>
      <c r="EL1" s="462"/>
      <c r="EM1" s="462"/>
      <c r="EN1" s="462"/>
      <c r="EO1" s="462"/>
      <c r="EP1" s="462"/>
      <c r="EQ1" s="462"/>
      <c r="ER1" s="462"/>
      <c r="ES1" s="462"/>
      <c r="ET1" s="462"/>
      <c r="EU1" s="462"/>
      <c r="EV1" s="462"/>
      <c r="EW1" s="462"/>
      <c r="EX1" s="462"/>
      <c r="EY1" s="462"/>
      <c r="EZ1" s="462"/>
      <c r="FA1" s="462"/>
      <c r="FB1" s="462"/>
      <c r="FC1" s="462"/>
      <c r="FD1" s="462"/>
      <c r="FE1" s="462"/>
      <c r="FF1" s="462"/>
      <c r="FG1" s="462"/>
      <c r="FH1" s="462"/>
      <c r="FI1" s="462"/>
      <c r="FJ1" s="462"/>
      <c r="FK1" s="462"/>
      <c r="FL1" s="462"/>
      <c r="FM1" s="462"/>
      <c r="FN1" s="462"/>
      <c r="FO1" s="462"/>
      <c r="FP1" s="462"/>
      <c r="FQ1" s="462"/>
      <c r="FR1" s="462"/>
      <c r="FS1" s="462"/>
      <c r="FT1" s="462"/>
      <c r="FU1" s="462"/>
      <c r="FV1" s="462"/>
      <c r="FW1" s="462"/>
      <c r="FX1" s="462"/>
      <c r="FY1" s="462"/>
      <c r="FZ1" s="462"/>
      <c r="GA1" s="462"/>
      <c r="GB1" s="462"/>
      <c r="GC1" s="462"/>
      <c r="GD1" s="462"/>
      <c r="GE1" s="462"/>
      <c r="GF1" s="462"/>
      <c r="GG1" s="462"/>
      <c r="GH1" s="462"/>
      <c r="GI1" s="462"/>
      <c r="GJ1" s="462"/>
      <c r="GK1" s="462"/>
      <c r="GL1" s="462"/>
      <c r="GM1" s="462"/>
      <c r="GN1" s="462"/>
      <c r="GO1" s="462"/>
      <c r="GP1" s="462"/>
      <c r="GQ1" s="462"/>
      <c r="GR1" s="462"/>
      <c r="GS1" s="462"/>
      <c r="GT1" s="462"/>
      <c r="GU1" s="462"/>
      <c r="GV1" s="462"/>
      <c r="GW1" s="462"/>
      <c r="GX1" s="462"/>
      <c r="GY1" s="462"/>
      <c r="GZ1" s="462"/>
      <c r="HA1" s="462"/>
      <c r="HB1" s="462"/>
      <c r="HC1" s="462"/>
      <c r="HD1" s="462"/>
      <c r="HE1" s="462"/>
      <c r="HF1" s="462"/>
      <c r="HG1" s="462"/>
      <c r="HH1" s="462"/>
      <c r="HI1" s="462"/>
      <c r="HJ1" s="462"/>
      <c r="HK1" s="462"/>
      <c r="HL1" s="462"/>
      <c r="HM1" s="462"/>
      <c r="HN1" s="462"/>
      <c r="HO1" s="462"/>
      <c r="HP1" s="462"/>
      <c r="HQ1" s="462"/>
      <c r="HR1" s="462"/>
      <c r="HS1" s="462"/>
      <c r="HT1" s="462"/>
      <c r="HU1" s="462"/>
      <c r="HV1" s="462"/>
      <c r="HW1" s="462"/>
      <c r="HX1" s="462"/>
      <c r="HY1" s="462"/>
      <c r="HZ1" s="462"/>
      <c r="IA1" s="462"/>
      <c r="IB1" s="462"/>
      <c r="IC1" s="462"/>
      <c r="ID1" s="462"/>
      <c r="IE1" s="462"/>
      <c r="IF1" s="462"/>
      <c r="IG1" s="462"/>
      <c r="IH1" s="462"/>
      <c r="II1" s="462"/>
      <c r="IJ1" s="462"/>
      <c r="IK1" s="462"/>
      <c r="IL1" s="462"/>
      <c r="IM1" s="462"/>
      <c r="IN1" s="462"/>
      <c r="IO1" s="462"/>
      <c r="IP1" s="462"/>
      <c r="IQ1" s="462"/>
      <c r="IR1" s="462"/>
      <c r="IS1" s="462"/>
      <c r="IT1" s="462"/>
      <c r="IU1" s="462"/>
      <c r="IV1" s="462"/>
      <c r="IW1" s="462"/>
      <c r="IX1" s="462"/>
      <c r="IY1" s="462"/>
    </row>
    <row r="2" spans="1:259" s="279" customFormat="1" ht="165">
      <c r="A2" s="621">
        <f>IF(B2&lt;&gt;"", COUNTA($B$2:B2), "")</f>
        <v>1</v>
      </c>
      <c r="B2" s="621" t="str">
        <f t="shared" ref="B2:B40" si="0">IF(AND(AF2="Yes",AG2="Yes"),"Closed","Opening")</f>
        <v>Closed</v>
      </c>
      <c r="C2" s="622">
        <v>45422</v>
      </c>
      <c r="D2" s="622">
        <v>45538</v>
      </c>
      <c r="E2" s="621" t="s">
        <v>1093</v>
      </c>
      <c r="F2" s="621" t="s">
        <v>1094</v>
      </c>
      <c r="G2" s="621" t="s">
        <v>1045</v>
      </c>
      <c r="H2" s="621" t="str" cm="1">
        <f t="array" ref="H2">_xlfn.IFS(
    G2="CDWE", "TNI - Transportation &amp; Installation",
    G2="Seaway7", "CTI - Cable T&amp;I",
    G2="LS Cable", "EXC - Export Cable",
    G2="Hellenic", "IAC - Inter Array Cable",
    TRUE, "")</f>
        <v>TNI - Transportation &amp; Installation</v>
      </c>
      <c r="I2" s="453" t="s">
        <v>1106</v>
      </c>
      <c r="J2" s="623" t="s">
        <v>1095</v>
      </c>
      <c r="K2" s="624" t="s">
        <v>1096</v>
      </c>
      <c r="L2" s="453" t="s">
        <v>1097</v>
      </c>
      <c r="M2" s="621" t="s">
        <v>1098</v>
      </c>
      <c r="N2" s="621" t="s">
        <v>1099</v>
      </c>
      <c r="O2" s="621" t="s">
        <v>1099</v>
      </c>
      <c r="P2" s="621" t="s">
        <v>1098</v>
      </c>
      <c r="Q2" s="623" t="s">
        <v>1100</v>
      </c>
      <c r="R2" s="623" t="s">
        <v>1101</v>
      </c>
      <c r="S2" s="621" t="s">
        <v>1102</v>
      </c>
      <c r="T2" s="621" t="s">
        <v>1103</v>
      </c>
      <c r="U2" s="453" t="s">
        <v>2514</v>
      </c>
      <c r="V2" s="621" t="s">
        <v>2515</v>
      </c>
      <c r="W2" s="621" t="s">
        <v>1099</v>
      </c>
      <c r="X2" s="453" t="s">
        <v>1112</v>
      </c>
      <c r="Y2" s="453" t="s">
        <v>2516</v>
      </c>
      <c r="Z2" s="621" t="s">
        <v>2517</v>
      </c>
      <c r="AA2" s="621" t="s">
        <v>148</v>
      </c>
      <c r="AB2" s="621" t="s">
        <v>1104</v>
      </c>
      <c r="AC2" s="621" t="s">
        <v>110</v>
      </c>
      <c r="AD2" s="621" t="s">
        <v>110</v>
      </c>
      <c r="AE2" s="621" t="s">
        <v>110</v>
      </c>
      <c r="AF2" s="621" t="s">
        <v>1105</v>
      </c>
      <c r="AG2" s="621" t="s">
        <v>1105</v>
      </c>
      <c r="AI2" s="455" t="str">
        <f t="shared" ref="AI2:AI34" si="1">IF(C2&lt;&gt;0,TEXT(C2,"mmm-yyyy"),"")</f>
        <v>May-2024</v>
      </c>
    </row>
    <row r="3" spans="1:259" s="279" customFormat="1" ht="409.5">
      <c r="A3" s="621">
        <f>IF(B3&lt;&gt;"", COUNTA($B$2:B3), "")</f>
        <v>2</v>
      </c>
      <c r="B3" s="621" t="str">
        <f t="shared" si="0"/>
        <v>Closed</v>
      </c>
      <c r="C3" s="622">
        <v>45414</v>
      </c>
      <c r="D3" s="625">
        <v>45635</v>
      </c>
      <c r="E3" s="621" t="s">
        <v>1107</v>
      </c>
      <c r="F3" s="626" t="str">
        <f>IF(ISNUMBER(SEARCH("RFNCR", E3)), "Request for NCR", IF(ISNUMBER(SEARCH("NCR", E3)), "Non-Conformance Report", ""))</f>
        <v>Non-Conformance Report</v>
      </c>
      <c r="G3" s="621" t="s">
        <v>1045</v>
      </c>
      <c r="H3" s="621" t="str" cm="1">
        <f t="array" ref="H3">_xlfn.IFS(
    G3="CDWE", "TNI - Transportation &amp; Installation",
    G3="Seaway7", "CTI - Cable T&amp;I",
    G3="LS Cable", "EXC - Export Cable",
    G3="Hellenic", "IAC - Inter Array Cable",
    TRUE, "")</f>
        <v>TNI - Transportation &amp; Installation</v>
      </c>
      <c r="I3" s="453" t="s">
        <v>2518</v>
      </c>
      <c r="J3" s="623" t="s">
        <v>1108</v>
      </c>
      <c r="K3" s="624" t="s">
        <v>1109</v>
      </c>
      <c r="L3" s="453" t="s">
        <v>1110</v>
      </c>
      <c r="M3" s="621" t="s">
        <v>1111</v>
      </c>
      <c r="N3" s="621" t="s">
        <v>1099</v>
      </c>
      <c r="O3" s="621" t="s">
        <v>1099</v>
      </c>
      <c r="P3" s="621" t="s">
        <v>2512</v>
      </c>
      <c r="Q3" s="623" t="s">
        <v>1100</v>
      </c>
      <c r="R3" s="623" t="s">
        <v>1101</v>
      </c>
      <c r="S3" s="621" t="s">
        <v>1102</v>
      </c>
      <c r="T3" s="621" t="s">
        <v>2513</v>
      </c>
      <c r="U3" s="453" t="s">
        <v>2514</v>
      </c>
      <c r="V3" s="453" t="s">
        <v>2515</v>
      </c>
      <c r="W3" s="621" t="s">
        <v>1099</v>
      </c>
      <c r="X3" s="453" t="s">
        <v>1112</v>
      </c>
      <c r="Y3" s="453" t="s">
        <v>2516</v>
      </c>
      <c r="Z3" s="623" t="s">
        <v>2517</v>
      </c>
      <c r="AA3" s="621" t="s">
        <v>1099</v>
      </c>
      <c r="AB3" s="453" t="s">
        <v>2520</v>
      </c>
      <c r="AC3" s="621" t="s">
        <v>1105</v>
      </c>
      <c r="AD3" s="621" t="s">
        <v>110</v>
      </c>
      <c r="AE3" s="621" t="s">
        <v>110</v>
      </c>
      <c r="AF3" s="621" t="s">
        <v>1105</v>
      </c>
      <c r="AG3" s="621" t="s">
        <v>1105</v>
      </c>
      <c r="AI3" s="455" t="str">
        <f t="shared" si="1"/>
        <v>May-2024</v>
      </c>
    </row>
    <row r="4" spans="1:259" s="279" customFormat="1" ht="150">
      <c r="A4" s="621">
        <f>IF(B4&lt;&gt;"", COUNTA($B$2:B4), "")</f>
        <v>3</v>
      </c>
      <c r="B4" s="621" t="str">
        <f t="shared" si="0"/>
        <v>Closed</v>
      </c>
      <c r="C4" s="627">
        <v>45405</v>
      </c>
      <c r="D4" s="622"/>
      <c r="E4" s="621" t="s">
        <v>1113</v>
      </c>
      <c r="F4" s="621" t="s">
        <v>1094</v>
      </c>
      <c r="G4" s="621" t="s">
        <v>1045</v>
      </c>
      <c r="H4" s="621" t="str" cm="1">
        <f t="array" ref="H4">_xlfn.IFS(
    G4="CDWE", "TNI - Transportation &amp; Installation",
    G4="Seaway7", "CTI - Cable T&amp;I",
    G4="LS Cable", "EXC - Export Cable",
    G4="Hellenic", "IAC - Inter Array Cable",
    TRUE, "")</f>
        <v>TNI - Transportation &amp; Installation</v>
      </c>
      <c r="I4" s="453" t="s">
        <v>1124</v>
      </c>
      <c r="J4" s="623" t="s">
        <v>1114</v>
      </c>
      <c r="K4" s="624" t="s">
        <v>1115</v>
      </c>
      <c r="L4" s="453" t="s">
        <v>1116</v>
      </c>
      <c r="M4" s="621" t="s">
        <v>1117</v>
      </c>
      <c r="N4" s="621" t="s">
        <v>1118</v>
      </c>
      <c r="O4" s="621" t="s">
        <v>1118</v>
      </c>
      <c r="P4" s="621" t="s">
        <v>1119</v>
      </c>
      <c r="Q4" s="623" t="s">
        <v>1100</v>
      </c>
      <c r="R4" s="623" t="s">
        <v>1120</v>
      </c>
      <c r="S4" s="621" t="s">
        <v>311</v>
      </c>
      <c r="T4" s="621" t="s">
        <v>1121</v>
      </c>
      <c r="U4" s="453" t="s">
        <v>1130</v>
      </c>
      <c r="V4" s="621" t="s">
        <v>1131</v>
      </c>
      <c r="W4" s="621" t="s">
        <v>1122</v>
      </c>
      <c r="X4" s="453" t="s">
        <v>1132</v>
      </c>
      <c r="Y4" s="453" t="s">
        <v>1133</v>
      </c>
      <c r="Z4" s="621" t="s">
        <v>1134</v>
      </c>
      <c r="AA4" s="621" t="s">
        <v>1122</v>
      </c>
      <c r="AB4" s="621" t="s">
        <v>1123</v>
      </c>
      <c r="AC4" s="621" t="s">
        <v>110</v>
      </c>
      <c r="AD4" s="621" t="s">
        <v>110</v>
      </c>
      <c r="AE4" s="621" t="s">
        <v>110</v>
      </c>
      <c r="AF4" s="621" t="s">
        <v>1105</v>
      </c>
      <c r="AG4" s="621" t="s">
        <v>1105</v>
      </c>
      <c r="AI4" s="455" t="str">
        <f t="shared" si="1"/>
        <v>Apr-2024</v>
      </c>
    </row>
    <row r="5" spans="1:259" s="279" customFormat="1" ht="135">
      <c r="A5" s="621">
        <f>IF(B5&lt;&gt;"", COUNTA($B$2:B5), "")</f>
        <v>4</v>
      </c>
      <c r="B5" s="621" t="str">
        <f t="shared" si="0"/>
        <v>Closed</v>
      </c>
      <c r="C5" s="622">
        <v>45405</v>
      </c>
      <c r="D5" s="622"/>
      <c r="E5" s="621" t="s">
        <v>1125</v>
      </c>
      <c r="F5" s="621" t="s">
        <v>1094</v>
      </c>
      <c r="G5" s="621" t="s">
        <v>1045</v>
      </c>
      <c r="H5" s="621" t="str" cm="1">
        <f t="array" ref="H5">_xlfn.IFS(
    G5="CDWE", "TNI - Transportation &amp; Installation",
    G5="Seaway7", "CTI - Cable T&amp;I",
    G5="LS Cable", "EXC - Export Cable",
    G5="Hellenic", "IAC - Inter Array Cable",
    TRUE, "")</f>
        <v>TNI - Transportation &amp; Installation</v>
      </c>
      <c r="I5" s="454" t="s">
        <v>1136</v>
      </c>
      <c r="J5" s="623" t="s">
        <v>1126</v>
      </c>
      <c r="K5" s="624" t="s">
        <v>3043</v>
      </c>
      <c r="L5" s="453" t="s">
        <v>1127</v>
      </c>
      <c r="M5" s="621" t="s">
        <v>1117</v>
      </c>
      <c r="N5" s="621" t="s">
        <v>1118</v>
      </c>
      <c r="O5" s="621" t="s">
        <v>1118</v>
      </c>
      <c r="P5" s="621" t="s">
        <v>1128</v>
      </c>
      <c r="Q5" s="623" t="s">
        <v>1100</v>
      </c>
      <c r="R5" s="623" t="s">
        <v>1120</v>
      </c>
      <c r="S5" s="621" t="s">
        <v>1102</v>
      </c>
      <c r="T5" s="621" t="s">
        <v>1129</v>
      </c>
      <c r="U5" s="453" t="s">
        <v>1130</v>
      </c>
      <c r="V5" s="623" t="s">
        <v>1131</v>
      </c>
      <c r="W5" s="621" t="s">
        <v>1122</v>
      </c>
      <c r="X5" s="453" t="s">
        <v>1132</v>
      </c>
      <c r="Y5" s="453" t="s">
        <v>1133</v>
      </c>
      <c r="Z5" s="453" t="s">
        <v>1134</v>
      </c>
      <c r="AA5" s="621" t="s">
        <v>1122</v>
      </c>
      <c r="AB5" s="623" t="s">
        <v>1135</v>
      </c>
      <c r="AC5" s="621" t="s">
        <v>110</v>
      </c>
      <c r="AD5" s="621" t="s">
        <v>110</v>
      </c>
      <c r="AE5" s="621" t="s">
        <v>110</v>
      </c>
      <c r="AF5" s="621" t="s">
        <v>1105</v>
      </c>
      <c r="AG5" s="621" t="s">
        <v>1105</v>
      </c>
      <c r="AI5" s="455" t="str">
        <f t="shared" si="1"/>
        <v>Apr-2024</v>
      </c>
    </row>
    <row r="6" spans="1:259" s="279" customFormat="1" ht="45">
      <c r="A6" s="621">
        <f>IF(B6&lt;&gt;"", COUNTA($B$2:B6), "")</f>
        <v>5</v>
      </c>
      <c r="B6" s="621" t="str">
        <f t="shared" si="0"/>
        <v>Closed</v>
      </c>
      <c r="C6" s="622">
        <v>45373</v>
      </c>
      <c r="D6" s="622"/>
      <c r="E6" s="621" t="s">
        <v>1137</v>
      </c>
      <c r="F6" s="621" t="s">
        <v>1094</v>
      </c>
      <c r="G6" s="621" t="s">
        <v>1045</v>
      </c>
      <c r="H6" s="621" t="str" cm="1">
        <f t="array" ref="H6">_xlfn.IFS(
    G6="CDWE", "TNI - Transportation &amp; Installation",
    G6="Seaway7", "CTI - Cable T&amp;I",
    G6="LS Cable", "EXC - Export Cable",
    G6="Hellenic", "IAC - Inter Array Cable",
    TRUE, "")</f>
        <v>TNI - Transportation &amp; Installation</v>
      </c>
      <c r="I6" s="453" t="s">
        <v>148</v>
      </c>
      <c r="J6" s="621" t="s">
        <v>1138</v>
      </c>
      <c r="K6" s="621" t="s">
        <v>1139</v>
      </c>
      <c r="L6" s="453" t="s">
        <v>1140</v>
      </c>
      <c r="M6" s="621" t="s">
        <v>1141</v>
      </c>
      <c r="N6" s="621" t="s">
        <v>1118</v>
      </c>
      <c r="O6" s="621" t="s">
        <v>1118</v>
      </c>
      <c r="P6" s="621" t="s">
        <v>1141</v>
      </c>
      <c r="Q6" s="621" t="s">
        <v>1100</v>
      </c>
      <c r="R6" s="623" t="s">
        <v>1142</v>
      </c>
      <c r="S6" s="621" t="s">
        <v>1143</v>
      </c>
      <c r="T6" s="621" t="s">
        <v>1144</v>
      </c>
      <c r="U6" s="453" t="s">
        <v>2579</v>
      </c>
      <c r="V6" s="621" t="s">
        <v>2580</v>
      </c>
      <c r="W6" s="621" t="s">
        <v>1045</v>
      </c>
      <c r="X6" s="453" t="s">
        <v>2581</v>
      </c>
      <c r="Y6" s="453" t="s">
        <v>2580</v>
      </c>
      <c r="Z6" s="621" t="s">
        <v>2582</v>
      </c>
      <c r="AA6" s="621" t="s">
        <v>1118</v>
      </c>
      <c r="AB6" s="623" t="s">
        <v>1135</v>
      </c>
      <c r="AC6" s="621" t="s">
        <v>110</v>
      </c>
      <c r="AD6" s="621" t="s">
        <v>110</v>
      </c>
      <c r="AE6" s="621" t="s">
        <v>110</v>
      </c>
      <c r="AF6" s="621" t="s">
        <v>1105</v>
      </c>
      <c r="AG6" s="621" t="s">
        <v>1105</v>
      </c>
      <c r="AI6" s="455" t="str">
        <f t="shared" si="1"/>
        <v>Mar-2024</v>
      </c>
    </row>
    <row r="7" spans="1:259" s="455" customFormat="1" ht="105">
      <c r="A7" s="621">
        <f>IF(B7&lt;&gt;"", COUNTA($B$2:B7), "")</f>
        <v>6</v>
      </c>
      <c r="B7" s="621" t="str">
        <f t="shared" si="0"/>
        <v>Closed</v>
      </c>
      <c r="C7" s="622">
        <v>45369</v>
      </c>
      <c r="D7" s="622">
        <v>45678</v>
      </c>
      <c r="E7" s="621" t="s">
        <v>1145</v>
      </c>
      <c r="F7" s="626" t="str">
        <f>IF(ISNUMBER(SEARCH("RFNCR", E7)), "Request for NCR", IF(ISNUMBER(SEARCH("NCR", E7)), "Non-Conformance Report", ""))</f>
        <v>Non-Conformance Report</v>
      </c>
      <c r="G7" s="621" t="s">
        <v>1045</v>
      </c>
      <c r="H7" s="621" t="str" cm="1">
        <f t="array" ref="H7">_xlfn.IFS(
    G7="CDWE", "TNI - Transportation &amp; Installation",
    G7="Seaway7", "CTI - Cable T&amp;I",
    G7="LS Cable", "EXC - Export Cable",
    G7="Hellenic", "IAC - Inter Array Cable",
    TRUE, "")</f>
        <v>TNI - Transportation &amp; Installation</v>
      </c>
      <c r="I7" s="453" t="s">
        <v>3044</v>
      </c>
      <c r="J7" s="623" t="s">
        <v>1147</v>
      </c>
      <c r="K7" s="624" t="s">
        <v>1148</v>
      </c>
      <c r="L7" s="453" t="s">
        <v>2576</v>
      </c>
      <c r="M7" s="621" t="s">
        <v>1149</v>
      </c>
      <c r="N7" s="621" t="s">
        <v>1150</v>
      </c>
      <c r="O7" s="621" t="s">
        <v>1150</v>
      </c>
      <c r="P7" s="621" t="s">
        <v>2577</v>
      </c>
      <c r="Q7" s="623" t="s">
        <v>1100</v>
      </c>
      <c r="R7" s="621" t="s">
        <v>1101</v>
      </c>
      <c r="S7" s="621" t="s">
        <v>1102</v>
      </c>
      <c r="T7" s="621" t="s">
        <v>2578</v>
      </c>
      <c r="U7" s="453" t="s">
        <v>2579</v>
      </c>
      <c r="V7" s="621" t="s">
        <v>2580</v>
      </c>
      <c r="W7" s="621" t="s">
        <v>1045</v>
      </c>
      <c r="X7" s="453" t="s">
        <v>2581</v>
      </c>
      <c r="Y7" s="453" t="s">
        <v>2580</v>
      </c>
      <c r="Z7" s="621" t="s">
        <v>2582</v>
      </c>
      <c r="AA7" s="621" t="s">
        <v>1045</v>
      </c>
      <c r="AB7" s="621" t="s">
        <v>2583</v>
      </c>
      <c r="AC7" s="621" t="s">
        <v>110</v>
      </c>
      <c r="AD7" s="621" t="s">
        <v>110</v>
      </c>
      <c r="AE7" s="621" t="s">
        <v>110</v>
      </c>
      <c r="AF7" s="621" t="s">
        <v>1105</v>
      </c>
      <c r="AG7" s="621" t="s">
        <v>1105</v>
      </c>
      <c r="AI7" s="455" t="str">
        <f t="shared" si="1"/>
        <v>Mar-2024</v>
      </c>
    </row>
    <row r="8" spans="1:259" s="455" customFormat="1" ht="135">
      <c r="A8" s="621">
        <f>IF(B8&lt;&gt;"", COUNTA($B$2:B8), "")</f>
        <v>7</v>
      </c>
      <c r="B8" s="621" t="str">
        <f t="shared" si="0"/>
        <v>Closed</v>
      </c>
      <c r="C8" s="622">
        <v>45362</v>
      </c>
      <c r="D8" s="622"/>
      <c r="E8" s="621" t="s">
        <v>2481</v>
      </c>
      <c r="F8" s="621" t="s">
        <v>1094</v>
      </c>
      <c r="G8" s="621" t="s">
        <v>1045</v>
      </c>
      <c r="H8" s="621" t="str" cm="1">
        <f t="array" ref="H8">_xlfn.IFS(
    G8="CDWE", "TNI - Transportation &amp; Installation",
    G8="Seaway7", "CTI - Cable T&amp;I",
    G8="LS Cable", "EXC - Export Cable",
    G8="Hellenic", "IAC - Inter Array Cable",
    TRUE, "")</f>
        <v>TNI - Transportation &amp; Installation</v>
      </c>
      <c r="I8" s="453" t="s">
        <v>2477</v>
      </c>
      <c r="J8" s="623" t="s">
        <v>1152</v>
      </c>
      <c r="K8" s="624" t="s">
        <v>1153</v>
      </c>
      <c r="L8" s="453" t="s">
        <v>1154</v>
      </c>
      <c r="M8" s="621" t="s">
        <v>1155</v>
      </c>
      <c r="N8" s="621" t="s">
        <v>1156</v>
      </c>
      <c r="O8" s="621" t="s">
        <v>1150</v>
      </c>
      <c r="P8" s="621" t="s">
        <v>148</v>
      </c>
      <c r="Q8" s="623" t="s">
        <v>1100</v>
      </c>
      <c r="R8" s="621" t="s">
        <v>1142</v>
      </c>
      <c r="S8" s="621" t="s">
        <v>1102</v>
      </c>
      <c r="T8" s="621" t="s">
        <v>1157</v>
      </c>
      <c r="U8" s="453" t="s">
        <v>1168</v>
      </c>
      <c r="V8" s="453" t="s">
        <v>1169</v>
      </c>
      <c r="W8" s="621" t="s">
        <v>1165</v>
      </c>
      <c r="X8" s="453" t="s">
        <v>1170</v>
      </c>
      <c r="Y8" s="453" t="s">
        <v>1171</v>
      </c>
      <c r="Z8" s="621" t="s">
        <v>1172</v>
      </c>
      <c r="AA8" s="621" t="s">
        <v>1158</v>
      </c>
      <c r="AB8" s="621" t="s">
        <v>1159</v>
      </c>
      <c r="AC8" s="621" t="s">
        <v>110</v>
      </c>
      <c r="AD8" s="621" t="s">
        <v>110</v>
      </c>
      <c r="AE8" s="621" t="s">
        <v>110</v>
      </c>
      <c r="AF8" s="621" t="s">
        <v>1105</v>
      </c>
      <c r="AG8" s="621" t="s">
        <v>1105</v>
      </c>
      <c r="AI8" s="455" t="str">
        <f t="shared" si="1"/>
        <v>Mar-2024</v>
      </c>
    </row>
    <row r="9" spans="1:259" s="279" customFormat="1" ht="135">
      <c r="A9" s="621">
        <f>IF(B9&lt;&gt;"", COUNTA($B$2:B9), "")</f>
        <v>8</v>
      </c>
      <c r="B9" s="621" t="str">
        <f t="shared" si="0"/>
        <v>Closed</v>
      </c>
      <c r="C9" s="627">
        <v>45346</v>
      </c>
      <c r="D9" s="622"/>
      <c r="E9" s="621" t="s">
        <v>1160</v>
      </c>
      <c r="F9" s="621" t="s">
        <v>1094</v>
      </c>
      <c r="G9" s="621" t="s">
        <v>1161</v>
      </c>
      <c r="H9" s="621" t="str" cm="1">
        <f t="array" ref="H9">_xlfn.IFS(
    G9="CDWE", "TNI - Transportation &amp; Installation",
    G9="Seaway7", "CTI - Cable T&amp;I",
    G9="LS Cable", "EXC - Export Cable",
    G9="Hellenic", "IAC - Inter Array Cable",
    TRUE, "")</f>
        <v>EXC - Export Cable</v>
      </c>
      <c r="I9" s="453" t="s">
        <v>148</v>
      </c>
      <c r="J9" s="621" t="s">
        <v>1162</v>
      </c>
      <c r="K9" s="621" t="s">
        <v>1163</v>
      </c>
      <c r="L9" s="453" t="s">
        <v>1164</v>
      </c>
      <c r="M9" s="621" t="s">
        <v>1165</v>
      </c>
      <c r="N9" s="621" t="s">
        <v>1165</v>
      </c>
      <c r="O9" s="621" t="s">
        <v>1165</v>
      </c>
      <c r="P9" s="621" t="s">
        <v>1166</v>
      </c>
      <c r="Q9" s="621" t="s">
        <v>1100</v>
      </c>
      <c r="R9" s="623" t="s">
        <v>1142</v>
      </c>
      <c r="S9" s="623"/>
      <c r="T9" s="623" t="s">
        <v>1167</v>
      </c>
      <c r="U9" s="453" t="s">
        <v>1168</v>
      </c>
      <c r="V9" s="623" t="s">
        <v>1169</v>
      </c>
      <c r="W9" s="621" t="s">
        <v>1165</v>
      </c>
      <c r="X9" s="453" t="s">
        <v>1170</v>
      </c>
      <c r="Y9" s="453" t="s">
        <v>1171</v>
      </c>
      <c r="Z9" s="623" t="s">
        <v>1172</v>
      </c>
      <c r="AA9" s="621" t="s">
        <v>1165</v>
      </c>
      <c r="AB9" s="453" t="s">
        <v>1173</v>
      </c>
      <c r="AC9" s="621" t="s">
        <v>1174</v>
      </c>
      <c r="AD9" s="621" t="s">
        <v>1174</v>
      </c>
      <c r="AE9" s="621" t="s">
        <v>1174</v>
      </c>
      <c r="AF9" s="621" t="s">
        <v>1105</v>
      </c>
      <c r="AG9" s="621" t="s">
        <v>1105</v>
      </c>
      <c r="AI9" s="455" t="str">
        <f t="shared" si="1"/>
        <v>Feb-2024</v>
      </c>
    </row>
    <row r="10" spans="1:259" s="279" customFormat="1" ht="195">
      <c r="A10" s="621">
        <f>IF(B10&lt;&gt;"", COUNTA($B$2:B10), "")</f>
        <v>9</v>
      </c>
      <c r="B10" s="621" t="str">
        <f t="shared" si="0"/>
        <v>Closed</v>
      </c>
      <c r="C10" s="627">
        <v>45335</v>
      </c>
      <c r="D10" s="622"/>
      <c r="E10" s="621" t="s">
        <v>1175</v>
      </c>
      <c r="F10" s="621" t="s">
        <v>1094</v>
      </c>
      <c r="G10" s="621" t="s">
        <v>1161</v>
      </c>
      <c r="H10" s="621" t="str" cm="1">
        <f t="array" ref="H10">_xlfn.IFS(
    G10="CDWE", "TNI - Transportation &amp; Installation",
    G10="Seaway7", "CTI - Cable T&amp;I",
    G10="LS Cable", "EXC - Export Cable",
    G10="Hellenic", "IAC - Inter Array Cable",
    TRUE, "")</f>
        <v>EXC - Export Cable</v>
      </c>
      <c r="I10" s="453" t="s">
        <v>148</v>
      </c>
      <c r="J10" s="621" t="s">
        <v>1176</v>
      </c>
      <c r="K10" s="621" t="s">
        <v>1163</v>
      </c>
      <c r="L10" s="453" t="s">
        <v>1177</v>
      </c>
      <c r="M10" s="621" t="s">
        <v>1165</v>
      </c>
      <c r="N10" s="621" t="s">
        <v>1165</v>
      </c>
      <c r="O10" s="621" t="s">
        <v>1165</v>
      </c>
      <c r="P10" s="621" t="s">
        <v>1178</v>
      </c>
      <c r="Q10" s="621" t="s">
        <v>1100</v>
      </c>
      <c r="R10" s="623" t="s">
        <v>1179</v>
      </c>
      <c r="S10" s="623"/>
      <c r="T10" s="623" t="s">
        <v>1180</v>
      </c>
      <c r="U10" s="453" t="s">
        <v>1188</v>
      </c>
      <c r="V10" s="623" t="s">
        <v>1189</v>
      </c>
      <c r="W10" s="621" t="s">
        <v>1165</v>
      </c>
      <c r="X10" s="453" t="s">
        <v>1190</v>
      </c>
      <c r="Y10" s="453" t="s">
        <v>1191</v>
      </c>
      <c r="Z10" s="623" t="s">
        <v>1192</v>
      </c>
      <c r="AA10" s="621" t="s">
        <v>1165</v>
      </c>
      <c r="AB10" s="453" t="s">
        <v>1181</v>
      </c>
      <c r="AC10" s="621" t="s">
        <v>110</v>
      </c>
      <c r="AD10" s="621" t="s">
        <v>110</v>
      </c>
      <c r="AE10" s="621" t="s">
        <v>110</v>
      </c>
      <c r="AF10" s="621" t="s">
        <v>1105</v>
      </c>
      <c r="AG10" s="621" t="s">
        <v>1105</v>
      </c>
      <c r="AI10" s="455" t="str">
        <f t="shared" si="1"/>
        <v>Feb-2024</v>
      </c>
    </row>
    <row r="11" spans="1:259" s="279" customFormat="1" ht="195">
      <c r="A11" s="621">
        <f>IF(B11&lt;&gt;"", COUNTA($B$2:B11), "")</f>
        <v>10</v>
      </c>
      <c r="B11" s="621" t="str">
        <f t="shared" si="0"/>
        <v>Closed</v>
      </c>
      <c r="C11" s="627">
        <v>45317</v>
      </c>
      <c r="D11" s="622"/>
      <c r="E11" s="621" t="s">
        <v>1182</v>
      </c>
      <c r="F11" s="621" t="s">
        <v>1094</v>
      </c>
      <c r="G11" s="621" t="s">
        <v>1161</v>
      </c>
      <c r="H11" s="621" t="str" cm="1">
        <f t="array" ref="H11">_xlfn.IFS(
    G11="CDWE", "TNI - Transportation &amp; Installation",
    G11="Seaway7", "CTI - Cable T&amp;I",
    G11="LS Cable", "EXC - Export Cable",
    G11="Hellenic", "IAC - Inter Array Cable",
    TRUE, "")</f>
        <v>EXC - Export Cable</v>
      </c>
      <c r="I11" s="453" t="s">
        <v>148</v>
      </c>
      <c r="J11" s="621" t="s">
        <v>1183</v>
      </c>
      <c r="K11" s="621" t="s">
        <v>1163</v>
      </c>
      <c r="L11" s="453" t="s">
        <v>1184</v>
      </c>
      <c r="M11" s="621" t="s">
        <v>1165</v>
      </c>
      <c r="N11" s="621" t="s">
        <v>1165</v>
      </c>
      <c r="O11" s="621" t="s">
        <v>1165</v>
      </c>
      <c r="P11" s="621" t="s">
        <v>1185</v>
      </c>
      <c r="Q11" s="621" t="s">
        <v>1100</v>
      </c>
      <c r="R11" s="623" t="s">
        <v>1186</v>
      </c>
      <c r="S11" s="623"/>
      <c r="T11" s="623" t="s">
        <v>1187</v>
      </c>
      <c r="U11" s="453" t="s">
        <v>1188</v>
      </c>
      <c r="V11" s="623" t="s">
        <v>1189</v>
      </c>
      <c r="W11" s="621" t="s">
        <v>1165</v>
      </c>
      <c r="X11" s="453" t="s">
        <v>1190</v>
      </c>
      <c r="Y11" s="453" t="s">
        <v>1191</v>
      </c>
      <c r="Z11" s="623" t="s">
        <v>1192</v>
      </c>
      <c r="AA11" s="621" t="s">
        <v>1165</v>
      </c>
      <c r="AB11" s="453" t="s">
        <v>1193</v>
      </c>
      <c r="AC11" s="621" t="s">
        <v>110</v>
      </c>
      <c r="AD11" s="621" t="s">
        <v>110</v>
      </c>
      <c r="AE11" s="621" t="s">
        <v>110</v>
      </c>
      <c r="AF11" s="621" t="s">
        <v>1105</v>
      </c>
      <c r="AG11" s="621" t="s">
        <v>1105</v>
      </c>
      <c r="AI11" s="455" t="str">
        <f t="shared" si="1"/>
        <v>Jan-2024</v>
      </c>
    </row>
    <row r="12" spans="1:259" s="279" customFormat="1" ht="285">
      <c r="A12" s="621">
        <f>IF(B12&lt;&gt;"", COUNTA($B$2:B12), "")</f>
        <v>11</v>
      </c>
      <c r="B12" s="621" t="str">
        <f t="shared" si="0"/>
        <v>Closed</v>
      </c>
      <c r="C12" s="627">
        <v>45317</v>
      </c>
      <c r="D12" s="622"/>
      <c r="E12" s="621" t="s">
        <v>1194</v>
      </c>
      <c r="F12" s="621" t="s">
        <v>1094</v>
      </c>
      <c r="G12" s="621" t="s">
        <v>1161</v>
      </c>
      <c r="H12" s="621" t="str" cm="1">
        <f t="array" ref="H12">_xlfn.IFS(
    G12="CDWE", "TNI - Transportation &amp; Installation",
    G12="Seaway7", "CTI - Cable T&amp;I",
    G12="LS Cable", "EXC - Export Cable",
    G12="Hellenic", "IAC - Inter Array Cable",
    TRUE, "")</f>
        <v>EXC - Export Cable</v>
      </c>
      <c r="I12" s="453" t="s">
        <v>148</v>
      </c>
      <c r="J12" s="621" t="s">
        <v>1195</v>
      </c>
      <c r="K12" s="621" t="s">
        <v>1163</v>
      </c>
      <c r="L12" s="453" t="s">
        <v>1196</v>
      </c>
      <c r="M12" s="621" t="s">
        <v>1165</v>
      </c>
      <c r="N12" s="621" t="s">
        <v>1165</v>
      </c>
      <c r="O12" s="621" t="s">
        <v>1165</v>
      </c>
      <c r="P12" s="621" t="s">
        <v>1197</v>
      </c>
      <c r="Q12" s="621" t="s">
        <v>1100</v>
      </c>
      <c r="R12" s="623" t="s">
        <v>1198</v>
      </c>
      <c r="S12" s="623" t="s">
        <v>1199</v>
      </c>
      <c r="T12" s="623" t="s">
        <v>1200</v>
      </c>
      <c r="U12" s="453" t="s">
        <v>1207</v>
      </c>
      <c r="V12" s="623" t="s">
        <v>1206</v>
      </c>
      <c r="W12" s="621" t="s">
        <v>1165</v>
      </c>
      <c r="X12" s="453" t="s">
        <v>1208</v>
      </c>
      <c r="Y12" s="453" t="s">
        <v>1209</v>
      </c>
      <c r="Z12" s="623" t="s">
        <v>1210</v>
      </c>
      <c r="AA12" s="621" t="s">
        <v>1165</v>
      </c>
      <c r="AB12" s="453" t="s">
        <v>1201</v>
      </c>
      <c r="AC12" s="621" t="s">
        <v>110</v>
      </c>
      <c r="AD12" s="621" t="s">
        <v>110</v>
      </c>
      <c r="AE12" s="621" t="s">
        <v>110</v>
      </c>
      <c r="AF12" s="621" t="s">
        <v>1105</v>
      </c>
      <c r="AG12" s="621" t="s">
        <v>1105</v>
      </c>
      <c r="AI12" s="455" t="str">
        <f t="shared" si="1"/>
        <v>Jan-2024</v>
      </c>
    </row>
    <row r="13" spans="1:259" s="279" customFormat="1" ht="285">
      <c r="A13" s="621">
        <f>IF(B13&lt;&gt;"", COUNTA($B$2:B13), "")</f>
        <v>12</v>
      </c>
      <c r="B13" s="621" t="str">
        <f t="shared" si="0"/>
        <v>Closed</v>
      </c>
      <c r="C13" s="627">
        <v>45296</v>
      </c>
      <c r="D13" s="622"/>
      <c r="E13" s="621" t="s">
        <v>1202</v>
      </c>
      <c r="F13" s="621" t="s">
        <v>1094</v>
      </c>
      <c r="G13" s="621" t="s">
        <v>1161</v>
      </c>
      <c r="H13" s="621" t="str" cm="1">
        <f t="array" ref="H13">_xlfn.IFS(
    G13="CDWE", "TNI - Transportation &amp; Installation",
    G13="Seaway7", "CTI - Cable T&amp;I",
    G13="LS Cable", "EXC - Export Cable",
    G13="Hellenic", "IAC - Inter Array Cable",
    TRUE, "")</f>
        <v>EXC - Export Cable</v>
      </c>
      <c r="I13" s="453" t="s">
        <v>148</v>
      </c>
      <c r="J13" s="621" t="s">
        <v>1203</v>
      </c>
      <c r="K13" s="621" t="s">
        <v>1163</v>
      </c>
      <c r="L13" s="453" t="s">
        <v>1204</v>
      </c>
      <c r="M13" s="621" t="s">
        <v>1165</v>
      </c>
      <c r="N13" s="621" t="s">
        <v>1165</v>
      </c>
      <c r="O13" s="621" t="s">
        <v>1165</v>
      </c>
      <c r="P13" s="621" t="s">
        <v>1205</v>
      </c>
      <c r="Q13" s="621" t="s">
        <v>1100</v>
      </c>
      <c r="R13" s="623" t="s">
        <v>1198</v>
      </c>
      <c r="S13" s="623" t="s">
        <v>1199</v>
      </c>
      <c r="T13" s="623" t="s">
        <v>1206</v>
      </c>
      <c r="U13" s="453" t="s">
        <v>1207</v>
      </c>
      <c r="V13" s="623" t="s">
        <v>1206</v>
      </c>
      <c r="W13" s="621" t="s">
        <v>1165</v>
      </c>
      <c r="X13" s="453" t="s">
        <v>1208</v>
      </c>
      <c r="Y13" s="453" t="s">
        <v>1209</v>
      </c>
      <c r="Z13" s="623" t="s">
        <v>1210</v>
      </c>
      <c r="AA13" s="621" t="s">
        <v>1165</v>
      </c>
      <c r="AB13" s="453" t="s">
        <v>1206</v>
      </c>
      <c r="AC13" s="621" t="s">
        <v>110</v>
      </c>
      <c r="AD13" s="621" t="s">
        <v>110</v>
      </c>
      <c r="AE13" s="621" t="s">
        <v>110</v>
      </c>
      <c r="AF13" s="621" t="s">
        <v>1105</v>
      </c>
      <c r="AG13" s="621" t="s">
        <v>1105</v>
      </c>
      <c r="AI13" s="455" t="str">
        <f t="shared" si="1"/>
        <v>Jan-2024</v>
      </c>
    </row>
    <row r="14" spans="1:259" s="279" customFormat="1" ht="165">
      <c r="A14" s="621">
        <f>IF(B14&lt;&gt;"", COUNTA($B$2:B14), "")</f>
        <v>13</v>
      </c>
      <c r="B14" s="621" t="str">
        <f t="shared" si="0"/>
        <v>Closed</v>
      </c>
      <c r="C14" s="627">
        <v>45289</v>
      </c>
      <c r="D14" s="622"/>
      <c r="E14" s="621" t="s">
        <v>1211</v>
      </c>
      <c r="F14" s="621" t="s">
        <v>1094</v>
      </c>
      <c r="G14" s="621" t="s">
        <v>1161</v>
      </c>
      <c r="H14" s="621" t="str" cm="1">
        <f t="array" ref="H14">_xlfn.IFS(
    G14="CDWE", "TNI - Transportation &amp; Installation",
    G14="Seaway7", "CTI - Cable T&amp;I",
    G14="LS Cable", "EXC - Export Cable",
    G14="Hellenic", "IAC - Inter Array Cable",
    TRUE, "")</f>
        <v>EXC - Export Cable</v>
      </c>
      <c r="I14" s="453" t="s">
        <v>148</v>
      </c>
      <c r="J14" s="621" t="s">
        <v>1212</v>
      </c>
      <c r="K14" s="621" t="s">
        <v>1163</v>
      </c>
      <c r="L14" s="453" t="s">
        <v>1213</v>
      </c>
      <c r="M14" s="621" t="s">
        <v>1165</v>
      </c>
      <c r="N14" s="621" t="s">
        <v>1165</v>
      </c>
      <c r="O14" s="621" t="s">
        <v>1165</v>
      </c>
      <c r="P14" s="621" t="s">
        <v>1214</v>
      </c>
      <c r="Q14" s="621" t="s">
        <v>1100</v>
      </c>
      <c r="R14" s="623" t="s">
        <v>1179</v>
      </c>
      <c r="S14" s="623"/>
      <c r="T14" s="623" t="s">
        <v>1180</v>
      </c>
      <c r="U14" s="453" t="s">
        <v>1222</v>
      </c>
      <c r="V14" s="623"/>
      <c r="W14" s="621" t="s">
        <v>1165</v>
      </c>
      <c r="X14" s="453" t="s">
        <v>1223</v>
      </c>
      <c r="Y14" s="453" t="s">
        <v>1224</v>
      </c>
      <c r="Z14" s="623" t="s">
        <v>1225</v>
      </c>
      <c r="AA14" s="621" t="s">
        <v>1165</v>
      </c>
      <c r="AB14" s="453" t="s">
        <v>1215</v>
      </c>
      <c r="AC14" s="621" t="s">
        <v>110</v>
      </c>
      <c r="AD14" s="621" t="s">
        <v>110</v>
      </c>
      <c r="AE14" s="621" t="s">
        <v>110</v>
      </c>
      <c r="AF14" s="621" t="s">
        <v>1105</v>
      </c>
      <c r="AG14" s="621" t="s">
        <v>1105</v>
      </c>
      <c r="AI14" s="455" t="str">
        <f t="shared" si="1"/>
        <v>Dec-2023</v>
      </c>
    </row>
    <row r="15" spans="1:259" s="279" customFormat="1" ht="165">
      <c r="A15" s="621">
        <f>IF(B15&lt;&gt;"", COUNTA($B$2:B15), "")</f>
        <v>14</v>
      </c>
      <c r="B15" s="621" t="str">
        <f t="shared" si="0"/>
        <v>Closed</v>
      </c>
      <c r="C15" s="627">
        <v>45258</v>
      </c>
      <c r="D15" s="622"/>
      <c r="E15" s="621" t="s">
        <v>1216</v>
      </c>
      <c r="F15" s="621" t="s">
        <v>1094</v>
      </c>
      <c r="G15" s="621" t="s">
        <v>1161</v>
      </c>
      <c r="H15" s="621" t="str" cm="1">
        <f t="array" ref="H15">_xlfn.IFS(
    G15="CDWE", "TNI - Transportation &amp; Installation",
    G15="Seaway7", "CTI - Cable T&amp;I",
    G15="LS Cable", "EXC - Export Cable",
    G15="Hellenic", "IAC - Inter Array Cable",
    TRUE, "")</f>
        <v>EXC - Export Cable</v>
      </c>
      <c r="I15" s="453" t="s">
        <v>148</v>
      </c>
      <c r="J15" s="621" t="s">
        <v>1217</v>
      </c>
      <c r="K15" s="621" t="s">
        <v>1163</v>
      </c>
      <c r="L15" s="453" t="s">
        <v>1218</v>
      </c>
      <c r="M15" s="621" t="s">
        <v>1165</v>
      </c>
      <c r="N15" s="621" t="s">
        <v>1165</v>
      </c>
      <c r="O15" s="621" t="s">
        <v>1165</v>
      </c>
      <c r="P15" s="621" t="s">
        <v>1219</v>
      </c>
      <c r="Q15" s="621" t="s">
        <v>1100</v>
      </c>
      <c r="R15" s="623" t="s">
        <v>1220</v>
      </c>
      <c r="S15" s="623"/>
      <c r="T15" s="623" t="s">
        <v>1221</v>
      </c>
      <c r="U15" s="453" t="s">
        <v>1222</v>
      </c>
      <c r="V15" s="623"/>
      <c r="W15" s="621" t="s">
        <v>1165</v>
      </c>
      <c r="X15" s="453" t="s">
        <v>1223</v>
      </c>
      <c r="Y15" s="453" t="s">
        <v>1224</v>
      </c>
      <c r="Z15" s="623" t="s">
        <v>1225</v>
      </c>
      <c r="AA15" s="621" t="s">
        <v>1165</v>
      </c>
      <c r="AB15" s="453" t="s">
        <v>1206</v>
      </c>
      <c r="AC15" s="621" t="s">
        <v>110</v>
      </c>
      <c r="AD15" s="621" t="s">
        <v>110</v>
      </c>
      <c r="AE15" s="621" t="s">
        <v>110</v>
      </c>
      <c r="AF15" s="621" t="s">
        <v>1105</v>
      </c>
      <c r="AG15" s="621" t="s">
        <v>1105</v>
      </c>
      <c r="AI15" s="455" t="str">
        <f t="shared" si="1"/>
        <v>Nov-2023</v>
      </c>
    </row>
    <row r="16" spans="1:259" s="279" customFormat="1" ht="120">
      <c r="A16" s="621">
        <f>IF(B16&lt;&gt;"", COUNTA($B$2:B16), "")</f>
        <v>15</v>
      </c>
      <c r="B16" s="621" t="str">
        <f t="shared" si="0"/>
        <v>Closed</v>
      </c>
      <c r="C16" s="627">
        <v>45251</v>
      </c>
      <c r="D16" s="622"/>
      <c r="E16" s="621" t="s">
        <v>1226</v>
      </c>
      <c r="F16" s="621" t="s">
        <v>1094</v>
      </c>
      <c r="G16" s="621" t="s">
        <v>1161</v>
      </c>
      <c r="H16" s="621" t="str" cm="1">
        <f t="array" ref="H16">_xlfn.IFS(
    G16="CDWE", "TNI - Transportation &amp; Installation",
    G16="Seaway7", "CTI - Cable T&amp;I",
    G16="LS Cable", "EXC - Export Cable",
    G16="Hellenic", "IAC - Inter Array Cable",
    TRUE, "")</f>
        <v>EXC - Export Cable</v>
      </c>
      <c r="I16" s="453" t="s">
        <v>148</v>
      </c>
      <c r="J16" s="621" t="s">
        <v>1227</v>
      </c>
      <c r="K16" s="621" t="s">
        <v>1163</v>
      </c>
      <c r="L16" s="453" t="s">
        <v>1228</v>
      </c>
      <c r="M16" s="621" t="s">
        <v>1165</v>
      </c>
      <c r="N16" s="621" t="s">
        <v>1165</v>
      </c>
      <c r="O16" s="621" t="s">
        <v>1165</v>
      </c>
      <c r="P16" s="621" t="s">
        <v>1229</v>
      </c>
      <c r="Q16" s="621" t="s">
        <v>1100</v>
      </c>
      <c r="R16" s="623" t="s">
        <v>1198</v>
      </c>
      <c r="S16" s="623"/>
      <c r="T16" s="623" t="s">
        <v>1230</v>
      </c>
      <c r="U16" s="453" t="s">
        <v>1236</v>
      </c>
      <c r="V16" s="623" t="s">
        <v>1237</v>
      </c>
      <c r="W16" s="621" t="s">
        <v>1165</v>
      </c>
      <c r="X16" s="453" t="s">
        <v>1238</v>
      </c>
      <c r="Y16" s="453" t="s">
        <v>1239</v>
      </c>
      <c r="Z16" s="623" t="s">
        <v>1231</v>
      </c>
      <c r="AA16" s="621" t="s">
        <v>1165</v>
      </c>
      <c r="AB16" s="453" t="s">
        <v>1206</v>
      </c>
      <c r="AC16" s="621" t="s">
        <v>110</v>
      </c>
      <c r="AD16" s="621" t="s">
        <v>110</v>
      </c>
      <c r="AE16" s="621" t="s">
        <v>110</v>
      </c>
      <c r="AF16" s="621" t="s">
        <v>1105</v>
      </c>
      <c r="AG16" s="621" t="s">
        <v>1105</v>
      </c>
      <c r="AI16" s="455" t="str">
        <f t="shared" si="1"/>
        <v>Nov-2023</v>
      </c>
    </row>
    <row r="17" spans="1:35" s="279" customFormat="1" ht="165">
      <c r="A17" s="621">
        <f>IF(B17&lt;&gt;"", COUNTA($B$2:B17), "")</f>
        <v>16</v>
      </c>
      <c r="B17" s="621" t="str">
        <f t="shared" si="0"/>
        <v>Closed</v>
      </c>
      <c r="C17" s="627">
        <v>45251</v>
      </c>
      <c r="D17" s="622"/>
      <c r="E17" s="621" t="s">
        <v>1232</v>
      </c>
      <c r="F17" s="621" t="s">
        <v>1094</v>
      </c>
      <c r="G17" s="621" t="s">
        <v>1161</v>
      </c>
      <c r="H17" s="621" t="str" cm="1">
        <f t="array" ref="H17">_xlfn.IFS(
    G17="CDWE", "TNI - Transportation &amp; Installation",
    G17="Seaway7", "CTI - Cable T&amp;I",
    G17="LS Cable", "EXC - Export Cable",
    G17="Hellenic", "IAC - Inter Array Cable",
    TRUE, "")</f>
        <v>EXC - Export Cable</v>
      </c>
      <c r="I17" s="453" t="s">
        <v>148</v>
      </c>
      <c r="J17" s="621" t="s">
        <v>1233</v>
      </c>
      <c r="K17" s="621" t="s">
        <v>1163</v>
      </c>
      <c r="L17" s="453" t="s">
        <v>1234</v>
      </c>
      <c r="M17" s="621" t="s">
        <v>1165</v>
      </c>
      <c r="N17" s="621" t="s">
        <v>1165</v>
      </c>
      <c r="O17" s="621" t="s">
        <v>1165</v>
      </c>
      <c r="P17" s="621" t="s">
        <v>1235</v>
      </c>
      <c r="Q17" s="621" t="s">
        <v>1100</v>
      </c>
      <c r="R17" s="623" t="s">
        <v>1198</v>
      </c>
      <c r="S17" s="623"/>
      <c r="T17" s="623" t="s">
        <v>1230</v>
      </c>
      <c r="U17" s="453" t="s">
        <v>1236</v>
      </c>
      <c r="V17" s="623" t="s">
        <v>1237</v>
      </c>
      <c r="W17" s="621" t="s">
        <v>1165</v>
      </c>
      <c r="X17" s="453" t="s">
        <v>1238</v>
      </c>
      <c r="Y17" s="453" t="s">
        <v>1239</v>
      </c>
      <c r="Z17" s="623" t="s">
        <v>1231</v>
      </c>
      <c r="AA17" s="621" t="s">
        <v>1165</v>
      </c>
      <c r="AB17" s="453" t="s">
        <v>1240</v>
      </c>
      <c r="AC17" s="621" t="s">
        <v>110</v>
      </c>
      <c r="AD17" s="621" t="s">
        <v>110</v>
      </c>
      <c r="AE17" s="621" t="s">
        <v>110</v>
      </c>
      <c r="AF17" s="621" t="s">
        <v>1105</v>
      </c>
      <c r="AG17" s="621" t="s">
        <v>1105</v>
      </c>
      <c r="AI17" s="455" t="str">
        <f t="shared" si="1"/>
        <v>Nov-2023</v>
      </c>
    </row>
    <row r="18" spans="1:35" s="279" customFormat="1" ht="255">
      <c r="A18" s="621">
        <f>IF(B18&lt;&gt;"", COUNTA($B$2:B18), "")</f>
        <v>17</v>
      </c>
      <c r="B18" s="621" t="str">
        <f t="shared" si="0"/>
        <v>Closed</v>
      </c>
      <c r="C18" s="627">
        <v>45224</v>
      </c>
      <c r="D18" s="622"/>
      <c r="E18" s="621" t="s">
        <v>1241</v>
      </c>
      <c r="F18" s="621" t="s">
        <v>1094</v>
      </c>
      <c r="G18" s="621" t="s">
        <v>1161</v>
      </c>
      <c r="H18" s="621" t="str" cm="1">
        <f t="array" ref="H18">_xlfn.IFS(
    G18="CDWE", "TNI - Transportation &amp; Installation",
    G18="Seaway7", "CTI - Cable T&amp;I",
    G18="LS Cable", "EXC - Export Cable",
    G18="Hellenic", "IAC - Inter Array Cable",
    TRUE, "")</f>
        <v>EXC - Export Cable</v>
      </c>
      <c r="I18" s="453" t="s">
        <v>148</v>
      </c>
      <c r="J18" s="621" t="s">
        <v>1242</v>
      </c>
      <c r="K18" s="621" t="s">
        <v>1163</v>
      </c>
      <c r="L18" s="453" t="s">
        <v>1243</v>
      </c>
      <c r="M18" s="621" t="s">
        <v>1165</v>
      </c>
      <c r="N18" s="621" t="s">
        <v>1165</v>
      </c>
      <c r="O18" s="621" t="s">
        <v>1165</v>
      </c>
      <c r="P18" s="621" t="s">
        <v>1244</v>
      </c>
      <c r="Q18" s="621" t="s">
        <v>1100</v>
      </c>
      <c r="R18" s="623" t="s">
        <v>1198</v>
      </c>
      <c r="S18" s="623"/>
      <c r="T18" s="623" t="s">
        <v>1245</v>
      </c>
      <c r="U18" s="453" t="s">
        <v>1253</v>
      </c>
      <c r="V18" s="623" t="s">
        <v>1254</v>
      </c>
      <c r="W18" s="621" t="s">
        <v>1165</v>
      </c>
      <c r="X18" s="453" t="s">
        <v>1255</v>
      </c>
      <c r="Y18" s="453" t="s">
        <v>1256</v>
      </c>
      <c r="Z18" s="623" t="s">
        <v>1257</v>
      </c>
      <c r="AA18" s="621" t="s">
        <v>1165</v>
      </c>
      <c r="AB18" s="453" t="s">
        <v>1246</v>
      </c>
      <c r="AC18" s="621" t="s">
        <v>1247</v>
      </c>
      <c r="AD18" s="621" t="s">
        <v>110</v>
      </c>
      <c r="AE18" s="621" t="s">
        <v>110</v>
      </c>
      <c r="AF18" s="621" t="s">
        <v>1105</v>
      </c>
      <c r="AG18" s="621" t="s">
        <v>1105</v>
      </c>
      <c r="AI18" s="455" t="str">
        <f t="shared" si="1"/>
        <v>Oct-2023</v>
      </c>
    </row>
    <row r="19" spans="1:35" s="279" customFormat="1" ht="90">
      <c r="A19" s="621">
        <f>IF(B19&lt;&gt;"", COUNTA($B$2:B19), "")</f>
        <v>18</v>
      </c>
      <c r="B19" s="621" t="str">
        <f t="shared" si="0"/>
        <v>Closed</v>
      </c>
      <c r="C19" s="627">
        <v>45209</v>
      </c>
      <c r="D19" s="622"/>
      <c r="E19" s="621" t="s">
        <v>1248</v>
      </c>
      <c r="F19" s="621" t="s">
        <v>1094</v>
      </c>
      <c r="G19" s="621" t="s">
        <v>1161</v>
      </c>
      <c r="H19" s="621" t="str" cm="1">
        <f t="array" ref="H19">_xlfn.IFS(
    G19="CDWE", "TNI - Transportation &amp; Installation",
    G19="Seaway7", "CTI - Cable T&amp;I",
    G19="LS Cable", "EXC - Export Cable",
    G19="Hellenic", "IAC - Inter Array Cable",
    TRUE, "")</f>
        <v>EXC - Export Cable</v>
      </c>
      <c r="I19" s="453" t="s">
        <v>148</v>
      </c>
      <c r="J19" s="621" t="s">
        <v>1242</v>
      </c>
      <c r="K19" s="621" t="s">
        <v>1163</v>
      </c>
      <c r="L19" s="453" t="s">
        <v>1249</v>
      </c>
      <c r="M19" s="621" t="s">
        <v>1165</v>
      </c>
      <c r="N19" s="621" t="s">
        <v>1250</v>
      </c>
      <c r="O19" s="621" t="s">
        <v>1165</v>
      </c>
      <c r="P19" s="621" t="s">
        <v>1251</v>
      </c>
      <c r="Q19" s="621" t="s">
        <v>1100</v>
      </c>
      <c r="R19" s="623" t="s">
        <v>1120</v>
      </c>
      <c r="S19" s="623"/>
      <c r="T19" s="623" t="s">
        <v>1252</v>
      </c>
      <c r="U19" s="453" t="s">
        <v>1253</v>
      </c>
      <c r="V19" s="623" t="s">
        <v>1254</v>
      </c>
      <c r="W19" s="621" t="s">
        <v>1165</v>
      </c>
      <c r="X19" s="453" t="s">
        <v>1255</v>
      </c>
      <c r="Y19" s="453" t="s">
        <v>1256</v>
      </c>
      <c r="Z19" s="623" t="s">
        <v>1257</v>
      </c>
      <c r="AA19" s="621" t="s">
        <v>1165</v>
      </c>
      <c r="AB19" s="453" t="s">
        <v>1258</v>
      </c>
      <c r="AC19" s="621" t="s">
        <v>110</v>
      </c>
      <c r="AD19" s="621" t="s">
        <v>110</v>
      </c>
      <c r="AE19" s="621" t="s">
        <v>110</v>
      </c>
      <c r="AF19" s="621" t="s">
        <v>1105</v>
      </c>
      <c r="AG19" s="621" t="s">
        <v>1105</v>
      </c>
      <c r="AI19" s="455" t="str">
        <f t="shared" si="1"/>
        <v>Oct-2023</v>
      </c>
    </row>
    <row r="20" spans="1:35" s="279" customFormat="1" ht="240">
      <c r="A20" s="621">
        <f>IF(B20&lt;&gt;"", COUNTA($B$2:B20), "")</f>
        <v>19</v>
      </c>
      <c r="B20" s="621" t="str">
        <f t="shared" si="0"/>
        <v>Closed</v>
      </c>
      <c r="C20" s="627">
        <v>45196</v>
      </c>
      <c r="D20" s="622"/>
      <c r="E20" s="621" t="s">
        <v>1259</v>
      </c>
      <c r="F20" s="621" t="s">
        <v>1094</v>
      </c>
      <c r="G20" s="621" t="s">
        <v>1161</v>
      </c>
      <c r="H20" s="621" t="str" cm="1">
        <f t="array" ref="H20">_xlfn.IFS(
    G20="CDWE", "TNI - Transportation &amp; Installation",
    G20="Seaway7", "CTI - Cable T&amp;I",
    G20="LS Cable", "EXC - Export Cable",
    G20="Hellenic", "IAC - Inter Array Cable",
    TRUE, "")</f>
        <v>EXC - Export Cable</v>
      </c>
      <c r="I20" s="453" t="s">
        <v>148</v>
      </c>
      <c r="J20" s="621" t="s">
        <v>1260</v>
      </c>
      <c r="K20" s="621" t="s">
        <v>1163</v>
      </c>
      <c r="L20" s="453" t="s">
        <v>1261</v>
      </c>
      <c r="M20" s="621" t="s">
        <v>1165</v>
      </c>
      <c r="N20" s="621" t="s">
        <v>1250</v>
      </c>
      <c r="O20" s="621" t="s">
        <v>1165</v>
      </c>
      <c r="P20" s="621" t="s">
        <v>1262</v>
      </c>
      <c r="Q20" s="621" t="s">
        <v>1100</v>
      </c>
      <c r="R20" s="623" t="s">
        <v>1101</v>
      </c>
      <c r="S20" s="623"/>
      <c r="T20" s="623" t="s">
        <v>1264</v>
      </c>
      <c r="U20" s="453" t="s">
        <v>1272</v>
      </c>
      <c r="V20" s="623" t="s">
        <v>1273</v>
      </c>
      <c r="W20" s="621" t="s">
        <v>1165</v>
      </c>
      <c r="X20" s="453" t="s">
        <v>1274</v>
      </c>
      <c r="Y20" s="453" t="s">
        <v>1275</v>
      </c>
      <c r="Z20" s="623" t="s">
        <v>1276</v>
      </c>
      <c r="AA20" s="621" t="s">
        <v>1165</v>
      </c>
      <c r="AB20" s="453" t="s">
        <v>1265</v>
      </c>
      <c r="AC20" s="621" t="s">
        <v>110</v>
      </c>
      <c r="AD20" s="621" t="s">
        <v>110</v>
      </c>
      <c r="AE20" s="621" t="s">
        <v>110</v>
      </c>
      <c r="AF20" s="621" t="s">
        <v>1105</v>
      </c>
      <c r="AG20" s="621" t="s">
        <v>1105</v>
      </c>
      <c r="AI20" s="455" t="str">
        <f t="shared" si="1"/>
        <v>Sep-2023</v>
      </c>
    </row>
    <row r="21" spans="1:35" s="279" customFormat="1" ht="240">
      <c r="A21" s="621">
        <f>IF(B21&lt;&gt;"", COUNTA($B$2:B21), "")</f>
        <v>20</v>
      </c>
      <c r="B21" s="621" t="str">
        <f t="shared" si="0"/>
        <v>Closed</v>
      </c>
      <c r="C21" s="627">
        <v>45169</v>
      </c>
      <c r="D21" s="622"/>
      <c r="E21" s="621" t="s">
        <v>1266</v>
      </c>
      <c r="F21" s="621" t="s">
        <v>1094</v>
      </c>
      <c r="G21" s="621" t="s">
        <v>1161</v>
      </c>
      <c r="H21" s="621" t="str" cm="1">
        <f t="array" ref="H21">_xlfn.IFS(
    G21="CDWE", "TNI - Transportation &amp; Installation",
    G21="Seaway7", "CTI - Cable T&amp;I",
    G21="LS Cable", "EXC - Export Cable",
    G21="Hellenic", "IAC - Inter Array Cable",
    TRUE, "")</f>
        <v>EXC - Export Cable</v>
      </c>
      <c r="I21" s="453" t="s">
        <v>148</v>
      </c>
      <c r="J21" s="621" t="s">
        <v>1267</v>
      </c>
      <c r="K21" s="621" t="s">
        <v>1163</v>
      </c>
      <c r="L21" s="453" t="s">
        <v>1268</v>
      </c>
      <c r="M21" s="621" t="s">
        <v>1165</v>
      </c>
      <c r="N21" s="621" t="s">
        <v>1165</v>
      </c>
      <c r="O21" s="621" t="s">
        <v>1165</v>
      </c>
      <c r="P21" s="621" t="s">
        <v>1269</v>
      </c>
      <c r="Q21" s="621" t="s">
        <v>1100</v>
      </c>
      <c r="R21" s="623" t="s">
        <v>1270</v>
      </c>
      <c r="S21" s="623"/>
      <c r="T21" s="623" t="s">
        <v>1271</v>
      </c>
      <c r="U21" s="453" t="s">
        <v>1272</v>
      </c>
      <c r="V21" s="623" t="s">
        <v>1273</v>
      </c>
      <c r="W21" s="621" t="s">
        <v>1165</v>
      </c>
      <c r="X21" s="453" t="s">
        <v>1274</v>
      </c>
      <c r="Y21" s="453" t="s">
        <v>1275</v>
      </c>
      <c r="Z21" s="623" t="s">
        <v>1276</v>
      </c>
      <c r="AA21" s="621" t="s">
        <v>1165</v>
      </c>
      <c r="AB21" s="453" t="s">
        <v>1277</v>
      </c>
      <c r="AC21" s="621" t="s">
        <v>110</v>
      </c>
      <c r="AD21" s="621" t="s">
        <v>110</v>
      </c>
      <c r="AE21" s="621" t="s">
        <v>110</v>
      </c>
      <c r="AF21" s="621" t="s">
        <v>1105</v>
      </c>
      <c r="AG21" s="621" t="s">
        <v>1105</v>
      </c>
      <c r="AI21" s="455" t="str">
        <f t="shared" si="1"/>
        <v>Aug-2023</v>
      </c>
    </row>
    <row r="22" spans="1:35" s="279" customFormat="1" ht="150">
      <c r="A22" s="621">
        <f>IF(B22&lt;&gt;"", COUNTA($B$2:B22), "")</f>
        <v>21</v>
      </c>
      <c r="B22" s="621" t="str">
        <f t="shared" si="0"/>
        <v>Closed</v>
      </c>
      <c r="C22" s="627">
        <v>45110</v>
      </c>
      <c r="D22" s="622"/>
      <c r="E22" s="621" t="s">
        <v>1278</v>
      </c>
      <c r="F22" s="621" t="s">
        <v>1094</v>
      </c>
      <c r="G22" s="621" t="s">
        <v>1161</v>
      </c>
      <c r="H22" s="621" t="str" cm="1">
        <f t="array" ref="H22">_xlfn.IFS(
    G22="CDWE", "TNI - Transportation &amp; Installation",
    G22="Seaway7", "CTI - Cable T&amp;I",
    G22="LS Cable", "EXC - Export Cable",
    G22="Hellenic", "IAC - Inter Array Cable",
    TRUE, "")</f>
        <v>EXC - Export Cable</v>
      </c>
      <c r="I22" s="453" t="s">
        <v>148</v>
      </c>
      <c r="J22" s="621" t="s">
        <v>1279</v>
      </c>
      <c r="K22" s="621" t="s">
        <v>1163</v>
      </c>
      <c r="L22" s="453" t="s">
        <v>1280</v>
      </c>
      <c r="M22" s="621" t="s">
        <v>1165</v>
      </c>
      <c r="N22" s="621" t="s">
        <v>1165</v>
      </c>
      <c r="O22" s="621" t="s">
        <v>1165</v>
      </c>
      <c r="P22" s="621" t="s">
        <v>1281</v>
      </c>
      <c r="Q22" s="621" t="s">
        <v>1100</v>
      </c>
      <c r="R22" s="623" t="s">
        <v>1120</v>
      </c>
      <c r="S22" s="623"/>
      <c r="T22" s="623" t="s">
        <v>1282</v>
      </c>
      <c r="U22" s="453" t="s">
        <v>1289</v>
      </c>
      <c r="V22" s="623" t="s">
        <v>1290</v>
      </c>
      <c r="W22" s="621" t="s">
        <v>1165</v>
      </c>
      <c r="X22" s="453" t="s">
        <v>1291</v>
      </c>
      <c r="Y22" s="453" t="s">
        <v>1292</v>
      </c>
      <c r="Z22" s="623" t="s">
        <v>1293</v>
      </c>
      <c r="AA22" s="621" t="s">
        <v>1165</v>
      </c>
      <c r="AB22" s="453" t="s">
        <v>1283</v>
      </c>
      <c r="AC22" s="621" t="s">
        <v>110</v>
      </c>
      <c r="AD22" s="621" t="s">
        <v>110</v>
      </c>
      <c r="AE22" s="621" t="s">
        <v>110</v>
      </c>
      <c r="AF22" s="621" t="s">
        <v>1105</v>
      </c>
      <c r="AG22" s="621" t="s">
        <v>1105</v>
      </c>
      <c r="AI22" s="455" t="str">
        <f t="shared" si="1"/>
        <v>Jul-2023</v>
      </c>
    </row>
    <row r="23" spans="1:35" s="279" customFormat="1" ht="150">
      <c r="A23" s="621">
        <f>IF(B23&lt;&gt;"", COUNTA($B$2:B23), "")</f>
        <v>22</v>
      </c>
      <c r="B23" s="621" t="str">
        <f t="shared" si="0"/>
        <v>Closed</v>
      </c>
      <c r="C23" s="627">
        <v>45103</v>
      </c>
      <c r="D23" s="622"/>
      <c r="E23" s="621" t="s">
        <v>1284</v>
      </c>
      <c r="F23" s="621" t="s">
        <v>1094</v>
      </c>
      <c r="G23" s="621" t="s">
        <v>1161</v>
      </c>
      <c r="H23" s="621" t="str" cm="1">
        <f t="array" ref="H23">_xlfn.IFS(
    G23="CDWE", "TNI - Transportation &amp; Installation",
    G23="Seaway7", "CTI - Cable T&amp;I",
    G23="LS Cable", "EXC - Export Cable",
    G23="Hellenic", "IAC - Inter Array Cable",
    TRUE, "")</f>
        <v>EXC - Export Cable</v>
      </c>
      <c r="I23" s="453" t="s">
        <v>148</v>
      </c>
      <c r="J23" s="621" t="s">
        <v>1285</v>
      </c>
      <c r="K23" s="621" t="s">
        <v>1163</v>
      </c>
      <c r="L23" s="453" t="s">
        <v>1286</v>
      </c>
      <c r="M23" s="621" t="s">
        <v>1165</v>
      </c>
      <c r="N23" s="621" t="s">
        <v>1165</v>
      </c>
      <c r="O23" s="621" t="s">
        <v>1165</v>
      </c>
      <c r="P23" s="621" t="s">
        <v>1287</v>
      </c>
      <c r="Q23" s="621" t="s">
        <v>1100</v>
      </c>
      <c r="R23" s="623" t="s">
        <v>1142</v>
      </c>
      <c r="S23" s="623"/>
      <c r="T23" s="623" t="s">
        <v>1288</v>
      </c>
      <c r="U23" s="453" t="s">
        <v>1289</v>
      </c>
      <c r="V23" s="623" t="s">
        <v>1290</v>
      </c>
      <c r="W23" s="621" t="s">
        <v>1165</v>
      </c>
      <c r="X23" s="453" t="s">
        <v>1291</v>
      </c>
      <c r="Y23" s="453" t="s">
        <v>1292</v>
      </c>
      <c r="Z23" s="623" t="s">
        <v>1293</v>
      </c>
      <c r="AA23" s="621" t="s">
        <v>1165</v>
      </c>
      <c r="AB23" s="453" t="s">
        <v>1294</v>
      </c>
      <c r="AC23" s="621" t="s">
        <v>110</v>
      </c>
      <c r="AD23" s="621" t="s">
        <v>110</v>
      </c>
      <c r="AE23" s="621" t="s">
        <v>110</v>
      </c>
      <c r="AF23" s="621" t="s">
        <v>1105</v>
      </c>
      <c r="AG23" s="621" t="s">
        <v>1105</v>
      </c>
      <c r="AI23" s="455" t="str">
        <f t="shared" si="1"/>
        <v>Jun-2023</v>
      </c>
    </row>
    <row r="24" spans="1:35" s="279" customFormat="1" ht="255">
      <c r="A24" s="621">
        <f>IF(B24&lt;&gt;"", COUNTA($B$2:B24), "")</f>
        <v>23</v>
      </c>
      <c r="B24" s="621" t="str">
        <f t="shared" si="0"/>
        <v>Closed</v>
      </c>
      <c r="C24" s="627">
        <v>45089</v>
      </c>
      <c r="D24" s="622"/>
      <c r="E24" s="621" t="s">
        <v>1295</v>
      </c>
      <c r="F24" s="621" t="s">
        <v>1094</v>
      </c>
      <c r="G24" s="621" t="s">
        <v>1161</v>
      </c>
      <c r="H24" s="621" t="str" cm="1">
        <f t="array" ref="H24">_xlfn.IFS(
    G24="CDWE", "TNI - Transportation &amp; Installation",
    G24="Seaway7", "CTI - Cable T&amp;I",
    G24="LS Cable", "EXC - Export Cable",
    G24="Hellenic", "IAC - Inter Array Cable",
    TRUE, "")</f>
        <v>EXC - Export Cable</v>
      </c>
      <c r="I24" s="453" t="s">
        <v>148</v>
      </c>
      <c r="J24" s="621" t="s">
        <v>1296</v>
      </c>
      <c r="K24" s="621" t="s">
        <v>1163</v>
      </c>
      <c r="L24" s="453" t="s">
        <v>1297</v>
      </c>
      <c r="M24" s="621" t="s">
        <v>1165</v>
      </c>
      <c r="N24" s="621" t="s">
        <v>1165</v>
      </c>
      <c r="O24" s="621" t="s">
        <v>1165</v>
      </c>
      <c r="P24" s="621" t="s">
        <v>1298</v>
      </c>
      <c r="Q24" s="621" t="s">
        <v>1100</v>
      </c>
      <c r="R24" s="623" t="s">
        <v>1120</v>
      </c>
      <c r="S24" s="623"/>
      <c r="T24" s="623" t="s">
        <v>1282</v>
      </c>
      <c r="U24" s="453" t="s">
        <v>1305</v>
      </c>
      <c r="V24" s="623" t="s">
        <v>1306</v>
      </c>
      <c r="W24" s="621" t="s">
        <v>1165</v>
      </c>
      <c r="X24" s="453" t="s">
        <v>1307</v>
      </c>
      <c r="Y24" s="453" t="s">
        <v>1308</v>
      </c>
      <c r="Z24" s="623" t="s">
        <v>1309</v>
      </c>
      <c r="AA24" s="621" t="s">
        <v>1165</v>
      </c>
      <c r="AB24" s="453" t="s">
        <v>1299</v>
      </c>
      <c r="AC24" s="621" t="s">
        <v>110</v>
      </c>
      <c r="AD24" s="621" t="s">
        <v>110</v>
      </c>
      <c r="AE24" s="621" t="s">
        <v>110</v>
      </c>
      <c r="AF24" s="621" t="s">
        <v>1105</v>
      </c>
      <c r="AG24" s="621" t="s">
        <v>1105</v>
      </c>
      <c r="AI24" s="455" t="str">
        <f t="shared" si="1"/>
        <v>Jun-2023</v>
      </c>
    </row>
    <row r="25" spans="1:35" s="279" customFormat="1" ht="255">
      <c r="A25" s="621">
        <f>IF(B25&lt;&gt;"", COUNTA($B$2:B25), "")</f>
        <v>24</v>
      </c>
      <c r="B25" s="621" t="str">
        <f t="shared" si="0"/>
        <v>Closed</v>
      </c>
      <c r="C25" s="627">
        <v>45089</v>
      </c>
      <c r="D25" s="622"/>
      <c r="E25" s="621" t="s">
        <v>1300</v>
      </c>
      <c r="F25" s="621" t="s">
        <v>1094</v>
      </c>
      <c r="G25" s="621" t="s">
        <v>1161</v>
      </c>
      <c r="H25" s="621" t="str" cm="1">
        <f t="array" ref="H25">_xlfn.IFS(
    G25="CDWE", "TNI - Transportation &amp; Installation",
    G25="Seaway7", "CTI - Cable T&amp;I",
    G25="LS Cable", "EXC - Export Cable",
    G25="Hellenic", "IAC - Inter Array Cable",
    TRUE, "")</f>
        <v>EXC - Export Cable</v>
      </c>
      <c r="I25" s="453" t="s">
        <v>148</v>
      </c>
      <c r="J25" s="621" t="s">
        <v>1301</v>
      </c>
      <c r="K25" s="621" t="s">
        <v>1163</v>
      </c>
      <c r="L25" s="453" t="s">
        <v>1302</v>
      </c>
      <c r="M25" s="621" t="s">
        <v>1165</v>
      </c>
      <c r="N25" s="621" t="s">
        <v>1165</v>
      </c>
      <c r="O25" s="621" t="s">
        <v>1165</v>
      </c>
      <c r="P25" s="621" t="s">
        <v>1303</v>
      </c>
      <c r="Q25" s="621" t="s">
        <v>1100</v>
      </c>
      <c r="R25" s="623" t="s">
        <v>1120</v>
      </c>
      <c r="S25" s="623"/>
      <c r="T25" s="623" t="s">
        <v>1304</v>
      </c>
      <c r="U25" s="453" t="s">
        <v>1305</v>
      </c>
      <c r="V25" s="623" t="s">
        <v>1306</v>
      </c>
      <c r="W25" s="621" t="s">
        <v>1165</v>
      </c>
      <c r="X25" s="453" t="s">
        <v>1307</v>
      </c>
      <c r="Y25" s="453" t="s">
        <v>1308</v>
      </c>
      <c r="Z25" s="623" t="s">
        <v>1309</v>
      </c>
      <c r="AA25" s="621" t="s">
        <v>1165</v>
      </c>
      <c r="AB25" s="453" t="s">
        <v>1310</v>
      </c>
      <c r="AC25" s="621" t="s">
        <v>110</v>
      </c>
      <c r="AD25" s="621" t="s">
        <v>110</v>
      </c>
      <c r="AE25" s="621" t="s">
        <v>110</v>
      </c>
      <c r="AF25" s="621" t="s">
        <v>1105</v>
      </c>
      <c r="AG25" s="621" t="s">
        <v>1105</v>
      </c>
      <c r="AI25" s="455" t="str">
        <f t="shared" si="1"/>
        <v>Jun-2023</v>
      </c>
    </row>
    <row r="26" spans="1:35" s="279" customFormat="1" ht="210">
      <c r="A26" s="621">
        <f>IF(B26&lt;&gt;"", COUNTA($B$2:B26), "")</f>
        <v>25</v>
      </c>
      <c r="B26" s="621" t="str">
        <f t="shared" si="0"/>
        <v>Closed</v>
      </c>
      <c r="C26" s="627">
        <v>45086</v>
      </c>
      <c r="D26" s="622"/>
      <c r="E26" s="621" t="s">
        <v>1311</v>
      </c>
      <c r="F26" s="621" t="s">
        <v>1094</v>
      </c>
      <c r="G26" s="621" t="s">
        <v>1161</v>
      </c>
      <c r="H26" s="621" t="str" cm="1">
        <f t="array" ref="H26">_xlfn.IFS(
    G26="CDWE", "TNI - Transportation &amp; Installation",
    G26="Seaway7", "CTI - Cable T&amp;I",
    G26="LS Cable", "EXC - Export Cable",
    G26="Hellenic", "IAC - Inter Array Cable",
    TRUE, "")</f>
        <v>EXC - Export Cable</v>
      </c>
      <c r="I26" s="453" t="s">
        <v>148</v>
      </c>
      <c r="J26" s="621" t="s">
        <v>1312</v>
      </c>
      <c r="K26" s="621" t="s">
        <v>1163</v>
      </c>
      <c r="L26" s="453" t="s">
        <v>1313</v>
      </c>
      <c r="M26" s="621" t="s">
        <v>1165</v>
      </c>
      <c r="N26" s="621" t="s">
        <v>1165</v>
      </c>
      <c r="O26" s="621" t="s">
        <v>1165</v>
      </c>
      <c r="P26" s="621" t="s">
        <v>1314</v>
      </c>
      <c r="Q26" s="621" t="s">
        <v>1100</v>
      </c>
      <c r="R26" s="623" t="s">
        <v>1315</v>
      </c>
      <c r="S26" s="623" t="s">
        <v>1199</v>
      </c>
      <c r="T26" s="623" t="s">
        <v>1316</v>
      </c>
      <c r="U26" s="453" t="s">
        <v>1324</v>
      </c>
      <c r="V26" s="623" t="s">
        <v>1325</v>
      </c>
      <c r="W26" s="621" t="s">
        <v>1165</v>
      </c>
      <c r="X26" s="453" t="s">
        <v>1326</v>
      </c>
      <c r="Y26" s="453" t="s">
        <v>1327</v>
      </c>
      <c r="Z26" s="623" t="s">
        <v>1328</v>
      </c>
      <c r="AA26" s="621" t="s">
        <v>1165</v>
      </c>
      <c r="AB26" s="453" t="s">
        <v>1317</v>
      </c>
      <c r="AC26" s="621" t="s">
        <v>110</v>
      </c>
      <c r="AD26" s="621" t="s">
        <v>110</v>
      </c>
      <c r="AE26" s="621" t="s">
        <v>110</v>
      </c>
      <c r="AF26" s="621" t="s">
        <v>1105</v>
      </c>
      <c r="AG26" s="621" t="s">
        <v>1105</v>
      </c>
      <c r="AI26" s="455" t="str">
        <f t="shared" si="1"/>
        <v>Jun-2023</v>
      </c>
    </row>
    <row r="27" spans="1:35" s="279" customFormat="1" ht="135">
      <c r="A27" s="621">
        <f>IF(B27&lt;&gt;"", COUNTA($B$2:B27), "")</f>
        <v>26</v>
      </c>
      <c r="B27" s="621" t="str">
        <f t="shared" si="0"/>
        <v>Closed</v>
      </c>
      <c r="C27" s="627">
        <v>45048</v>
      </c>
      <c r="D27" s="622"/>
      <c r="E27" s="621" t="s">
        <v>1318</v>
      </c>
      <c r="F27" s="621" t="s">
        <v>1094</v>
      </c>
      <c r="G27" s="621" t="s">
        <v>1161</v>
      </c>
      <c r="H27" s="621" t="str" cm="1">
        <f t="array" ref="H27">_xlfn.IFS(
    G27="CDWE", "TNI - Transportation &amp; Installation",
    G27="Seaway7", "CTI - Cable T&amp;I",
    G27="LS Cable", "EXC - Export Cable",
    G27="Hellenic", "IAC - Inter Array Cable",
    TRUE, "")</f>
        <v>EXC - Export Cable</v>
      </c>
      <c r="I27" s="453" t="s">
        <v>148</v>
      </c>
      <c r="J27" s="621" t="s">
        <v>1319</v>
      </c>
      <c r="K27" s="621" t="s">
        <v>1163</v>
      </c>
      <c r="L27" s="453" t="s">
        <v>1320</v>
      </c>
      <c r="M27" s="621" t="s">
        <v>1321</v>
      </c>
      <c r="N27" s="621" t="s">
        <v>1165</v>
      </c>
      <c r="O27" s="621" t="s">
        <v>1165</v>
      </c>
      <c r="P27" s="621" t="s">
        <v>1322</v>
      </c>
      <c r="Q27" s="621" t="s">
        <v>1100</v>
      </c>
      <c r="R27" s="623" t="s">
        <v>1120</v>
      </c>
      <c r="S27" s="623"/>
      <c r="T27" s="623" t="s">
        <v>1323</v>
      </c>
      <c r="U27" s="453" t="s">
        <v>1324</v>
      </c>
      <c r="V27" s="623" t="s">
        <v>1325</v>
      </c>
      <c r="W27" s="621" t="s">
        <v>1165</v>
      </c>
      <c r="X27" s="453" t="s">
        <v>1326</v>
      </c>
      <c r="Y27" s="453" t="s">
        <v>1327</v>
      </c>
      <c r="Z27" s="623" t="s">
        <v>1328</v>
      </c>
      <c r="AA27" s="621" t="s">
        <v>1165</v>
      </c>
      <c r="AB27" s="453" t="s">
        <v>1329</v>
      </c>
      <c r="AC27" s="621" t="s">
        <v>110</v>
      </c>
      <c r="AD27" s="621" t="s">
        <v>110</v>
      </c>
      <c r="AE27" s="621" t="s">
        <v>110</v>
      </c>
      <c r="AF27" s="621" t="s">
        <v>1105</v>
      </c>
      <c r="AG27" s="621" t="s">
        <v>1105</v>
      </c>
      <c r="AI27" s="455" t="str">
        <f t="shared" si="1"/>
        <v>May-2023</v>
      </c>
    </row>
    <row r="28" spans="1:35" s="279" customFormat="1" ht="150">
      <c r="A28" s="621">
        <f>IF(B28&lt;&gt;"", COUNTA($B$2:B28), "")</f>
        <v>27</v>
      </c>
      <c r="B28" s="621" t="str">
        <f t="shared" si="0"/>
        <v>Closed</v>
      </c>
      <c r="C28" s="627">
        <v>45014</v>
      </c>
      <c r="D28" s="622"/>
      <c r="E28" s="621" t="s">
        <v>1330</v>
      </c>
      <c r="F28" s="621" t="s">
        <v>1094</v>
      </c>
      <c r="G28" s="621" t="s">
        <v>1161</v>
      </c>
      <c r="H28" s="621" t="str" cm="1">
        <f t="array" ref="H28">_xlfn.IFS(
    G28="CDWE", "TNI - Transportation &amp; Installation",
    G28="Seaway7", "CTI - Cable T&amp;I",
    G28="LS Cable", "EXC - Export Cable",
    G28="Hellenic", "IAC - Inter Array Cable",
    TRUE, "")</f>
        <v>EXC - Export Cable</v>
      </c>
      <c r="I28" s="453" t="s">
        <v>148</v>
      </c>
      <c r="J28" s="621" t="s">
        <v>1331</v>
      </c>
      <c r="K28" s="621" t="s">
        <v>1163</v>
      </c>
      <c r="L28" s="453" t="s">
        <v>1332</v>
      </c>
      <c r="M28" s="621" t="s">
        <v>1321</v>
      </c>
      <c r="N28" s="621" t="s">
        <v>1165</v>
      </c>
      <c r="O28" s="621" t="s">
        <v>1165</v>
      </c>
      <c r="P28" s="621" t="s">
        <v>1333</v>
      </c>
      <c r="Q28" s="621" t="s">
        <v>1100</v>
      </c>
      <c r="R28" s="623" t="s">
        <v>1270</v>
      </c>
      <c r="S28" s="623"/>
      <c r="T28" s="623" t="s">
        <v>1334</v>
      </c>
      <c r="U28" s="453" t="s">
        <v>1342</v>
      </c>
      <c r="V28" s="623" t="s">
        <v>1343</v>
      </c>
      <c r="W28" s="621" t="s">
        <v>1165</v>
      </c>
      <c r="X28" s="453" t="s">
        <v>1344</v>
      </c>
      <c r="Y28" s="453" t="s">
        <v>1345</v>
      </c>
      <c r="Z28" s="623" t="s">
        <v>1346</v>
      </c>
      <c r="AA28" s="621" t="s">
        <v>1165</v>
      </c>
      <c r="AB28" s="453" t="s">
        <v>1335</v>
      </c>
      <c r="AC28" s="621" t="s">
        <v>110</v>
      </c>
      <c r="AD28" s="621" t="s">
        <v>110</v>
      </c>
      <c r="AE28" s="621" t="s">
        <v>110</v>
      </c>
      <c r="AF28" s="621" t="s">
        <v>1105</v>
      </c>
      <c r="AG28" s="621" t="s">
        <v>1105</v>
      </c>
      <c r="AI28" s="455" t="str">
        <f t="shared" si="1"/>
        <v>Mar-2023</v>
      </c>
    </row>
    <row r="29" spans="1:35" s="279" customFormat="1" ht="150">
      <c r="A29" s="621">
        <f>IF(B29&lt;&gt;"", COUNTA($B$2:B29), "")</f>
        <v>28</v>
      </c>
      <c r="B29" s="621" t="str">
        <f t="shared" si="0"/>
        <v>Closed</v>
      </c>
      <c r="C29" s="627">
        <v>44898</v>
      </c>
      <c r="D29" s="622"/>
      <c r="E29" s="621" t="s">
        <v>1336</v>
      </c>
      <c r="F29" s="621" t="s">
        <v>1094</v>
      </c>
      <c r="G29" s="621" t="s">
        <v>1161</v>
      </c>
      <c r="H29" s="621" t="str" cm="1">
        <f t="array" ref="H29">_xlfn.IFS(
    G29="CDWE", "TNI - Transportation &amp; Installation",
    G29="Seaway7", "CTI - Cable T&amp;I",
    G29="LS Cable", "EXC - Export Cable",
    G29="Hellenic", "IAC - Inter Array Cable",
    TRUE, "")</f>
        <v>EXC - Export Cable</v>
      </c>
      <c r="I29" s="453" t="s">
        <v>148</v>
      </c>
      <c r="J29" s="621" t="s">
        <v>1337</v>
      </c>
      <c r="K29" s="621" t="s">
        <v>1338</v>
      </c>
      <c r="L29" s="453" t="s">
        <v>1339</v>
      </c>
      <c r="M29" s="621" t="s">
        <v>1321</v>
      </c>
      <c r="N29" s="621" t="s">
        <v>1165</v>
      </c>
      <c r="O29" s="621" t="s">
        <v>1165</v>
      </c>
      <c r="P29" s="621" t="s">
        <v>1340</v>
      </c>
      <c r="Q29" s="621" t="s">
        <v>1100</v>
      </c>
      <c r="R29" s="623" t="s">
        <v>1315</v>
      </c>
      <c r="S29" s="623"/>
      <c r="T29" s="623" t="s">
        <v>1341</v>
      </c>
      <c r="U29" s="453" t="s">
        <v>1342</v>
      </c>
      <c r="V29" s="623" t="s">
        <v>1343</v>
      </c>
      <c r="W29" s="621" t="s">
        <v>1165</v>
      </c>
      <c r="X29" s="453" t="s">
        <v>1344</v>
      </c>
      <c r="Y29" s="453" t="s">
        <v>1345</v>
      </c>
      <c r="Z29" s="623" t="s">
        <v>1346</v>
      </c>
      <c r="AA29" s="621" t="s">
        <v>1165</v>
      </c>
      <c r="AB29" s="453" t="s">
        <v>1347</v>
      </c>
      <c r="AC29" s="621" t="s">
        <v>110</v>
      </c>
      <c r="AD29" s="621" t="s">
        <v>110</v>
      </c>
      <c r="AE29" s="621" t="s">
        <v>110</v>
      </c>
      <c r="AF29" s="621" t="s">
        <v>1105</v>
      </c>
      <c r="AG29" s="621" t="s">
        <v>1105</v>
      </c>
      <c r="AI29" s="455" t="str">
        <f t="shared" si="1"/>
        <v>Dec-2022</v>
      </c>
    </row>
    <row r="30" spans="1:35" s="279" customFormat="1" ht="150">
      <c r="A30" s="621">
        <f>IF(B30&lt;&gt;"", COUNTA($B$2:B30), "")</f>
        <v>29</v>
      </c>
      <c r="B30" s="621" t="str">
        <f t="shared" si="0"/>
        <v>Closed</v>
      </c>
      <c r="C30" s="627">
        <v>44771</v>
      </c>
      <c r="D30" s="622"/>
      <c r="E30" s="621" t="s">
        <v>1348</v>
      </c>
      <c r="F30" s="621" t="s">
        <v>1094</v>
      </c>
      <c r="G30" s="621" t="s">
        <v>1161</v>
      </c>
      <c r="H30" s="621" t="str" cm="1">
        <f t="array" ref="H30">_xlfn.IFS(
    G30="CDWE", "TNI - Transportation &amp; Installation",
    G30="Seaway7", "CTI - Cable T&amp;I",
    G30="LS Cable", "EXC - Export Cable",
    G30="Hellenic", "IAC - Inter Array Cable",
    TRUE, "")</f>
        <v>EXC - Export Cable</v>
      </c>
      <c r="I30" s="453" t="s">
        <v>148</v>
      </c>
      <c r="J30" s="621" t="s">
        <v>1349</v>
      </c>
      <c r="K30" s="621" t="s">
        <v>1163</v>
      </c>
      <c r="L30" s="453" t="s">
        <v>1350</v>
      </c>
      <c r="M30" s="621" t="s">
        <v>1351</v>
      </c>
      <c r="N30" s="621" t="s">
        <v>1165</v>
      </c>
      <c r="O30" s="621" t="s">
        <v>1165</v>
      </c>
      <c r="P30" s="621" t="s">
        <v>148</v>
      </c>
      <c r="Q30" s="621" t="s">
        <v>1100</v>
      </c>
      <c r="R30" s="623" t="s">
        <v>1120</v>
      </c>
      <c r="S30" s="623"/>
      <c r="T30" s="623" t="s">
        <v>1352</v>
      </c>
      <c r="U30" s="453" t="s">
        <v>1358</v>
      </c>
      <c r="V30" s="623" t="s">
        <v>1359</v>
      </c>
      <c r="W30" s="621" t="s">
        <v>1165</v>
      </c>
      <c r="X30" s="453" t="s">
        <v>1360</v>
      </c>
      <c r="Y30" s="453" t="s">
        <v>1361</v>
      </c>
      <c r="Z30" s="623" t="s">
        <v>1362</v>
      </c>
      <c r="AA30" s="621" t="s">
        <v>1165</v>
      </c>
      <c r="AB30" s="453" t="s">
        <v>1353</v>
      </c>
      <c r="AC30" s="621" t="s">
        <v>1174</v>
      </c>
      <c r="AD30" s="621" t="s">
        <v>1174</v>
      </c>
      <c r="AE30" s="621" t="s">
        <v>1174</v>
      </c>
      <c r="AF30" s="621" t="s">
        <v>1105</v>
      </c>
      <c r="AG30" s="621" t="s">
        <v>1105</v>
      </c>
      <c r="AI30" s="455" t="str">
        <f t="shared" si="1"/>
        <v>Jul-2022</v>
      </c>
    </row>
    <row r="31" spans="1:35" s="279" customFormat="1" ht="150">
      <c r="A31" s="621">
        <f>IF(B31&lt;&gt;"", COUNTA($B$2:B31), "")</f>
        <v>30</v>
      </c>
      <c r="B31" s="621" t="str">
        <f t="shared" si="0"/>
        <v>Closed</v>
      </c>
      <c r="C31" s="627">
        <v>44760</v>
      </c>
      <c r="D31" s="622"/>
      <c r="E31" s="621" t="s">
        <v>1354</v>
      </c>
      <c r="F31" s="621" t="s">
        <v>1094</v>
      </c>
      <c r="G31" s="621" t="s">
        <v>1161</v>
      </c>
      <c r="H31" s="621" t="str" cm="1">
        <f t="array" ref="H31">_xlfn.IFS(
    G31="CDWE", "TNI - Transportation &amp; Installation",
    G31="Seaway7", "CTI - Cable T&amp;I",
    G31="LS Cable", "EXC - Export Cable",
    G31="Hellenic", "IAC - Inter Array Cable",
    TRUE, "")</f>
        <v>EXC - Export Cable</v>
      </c>
      <c r="I31" s="453" t="s">
        <v>148</v>
      </c>
      <c r="J31" s="621" t="s">
        <v>1355</v>
      </c>
      <c r="K31" s="621" t="s">
        <v>1163</v>
      </c>
      <c r="L31" s="453" t="s">
        <v>1356</v>
      </c>
      <c r="M31" s="621" t="s">
        <v>1351</v>
      </c>
      <c r="N31" s="621" t="s">
        <v>1165</v>
      </c>
      <c r="O31" s="621" t="s">
        <v>1165</v>
      </c>
      <c r="P31" s="621" t="s">
        <v>1357</v>
      </c>
      <c r="Q31" s="621" t="s">
        <v>1100</v>
      </c>
      <c r="R31" s="623" t="s">
        <v>1120</v>
      </c>
      <c r="S31" s="623"/>
      <c r="T31" s="623" t="s">
        <v>1352</v>
      </c>
      <c r="U31" s="453" t="s">
        <v>1358</v>
      </c>
      <c r="V31" s="623" t="s">
        <v>1359</v>
      </c>
      <c r="W31" s="621" t="s">
        <v>1165</v>
      </c>
      <c r="X31" s="453" t="s">
        <v>1360</v>
      </c>
      <c r="Y31" s="453" t="s">
        <v>1361</v>
      </c>
      <c r="Z31" s="623" t="s">
        <v>1362</v>
      </c>
      <c r="AA31" s="621" t="s">
        <v>1165</v>
      </c>
      <c r="AB31" s="453" t="s">
        <v>1363</v>
      </c>
      <c r="AC31" s="621" t="s">
        <v>110</v>
      </c>
      <c r="AD31" s="621" t="s">
        <v>110</v>
      </c>
      <c r="AE31" s="621" t="s">
        <v>110</v>
      </c>
      <c r="AF31" s="621" t="s">
        <v>1105</v>
      </c>
      <c r="AG31" s="621" t="s">
        <v>1105</v>
      </c>
      <c r="AI31" s="455" t="str">
        <f t="shared" si="1"/>
        <v>Jul-2022</v>
      </c>
    </row>
    <row r="32" spans="1:35" s="279" customFormat="1" ht="30">
      <c r="A32" s="621">
        <f>IF(B32&lt;&gt;"", COUNTA($B$2:B32), "")</f>
        <v>31</v>
      </c>
      <c r="B32" s="621" t="str">
        <f t="shared" si="0"/>
        <v>Closed</v>
      </c>
      <c r="C32" s="627">
        <v>44760</v>
      </c>
      <c r="D32" s="622"/>
      <c r="E32" s="621" t="s">
        <v>1364</v>
      </c>
      <c r="F32" s="621" t="s">
        <v>1094</v>
      </c>
      <c r="G32" s="621" t="s">
        <v>1161</v>
      </c>
      <c r="H32" s="621" t="str" cm="1">
        <f t="array" ref="H32">_xlfn.IFS(
    G32="CDWE", "TNI - Transportation &amp; Installation",
    G32="Seaway7", "CTI - Cable T&amp;I",
    G32="LS Cable", "EXC - Export Cable",
    G32="Hellenic", "IAC - Inter Array Cable",
    TRUE, "")</f>
        <v>EXC - Export Cable</v>
      </c>
      <c r="I32" s="453" t="s">
        <v>148</v>
      </c>
      <c r="J32" s="621" t="s">
        <v>1365</v>
      </c>
      <c r="K32" s="621" t="s">
        <v>1163</v>
      </c>
      <c r="L32" s="453" t="s">
        <v>1366</v>
      </c>
      <c r="M32" s="621" t="s">
        <v>1367</v>
      </c>
      <c r="N32" s="621" t="s">
        <v>1165</v>
      </c>
      <c r="O32" s="621" t="s">
        <v>1165</v>
      </c>
      <c r="P32" s="621" t="s">
        <v>1368</v>
      </c>
      <c r="Q32" s="621" t="s">
        <v>1100</v>
      </c>
      <c r="R32" s="623" t="s">
        <v>1120</v>
      </c>
      <c r="S32" s="623"/>
      <c r="T32" s="623" t="s">
        <v>1352</v>
      </c>
      <c r="U32" s="453" t="s">
        <v>1374</v>
      </c>
      <c r="V32" s="623" t="s">
        <v>1375</v>
      </c>
      <c r="W32" s="621" t="s">
        <v>1165</v>
      </c>
      <c r="X32" s="453" t="s">
        <v>1376</v>
      </c>
      <c r="Y32" s="453" t="s">
        <v>1377</v>
      </c>
      <c r="Z32" s="623" t="s">
        <v>1378</v>
      </c>
      <c r="AA32" s="621" t="s">
        <v>1165</v>
      </c>
      <c r="AB32" s="453" t="s">
        <v>1369</v>
      </c>
      <c r="AC32" s="621" t="s">
        <v>110</v>
      </c>
      <c r="AD32" s="621" t="s">
        <v>110</v>
      </c>
      <c r="AE32" s="621" t="s">
        <v>110</v>
      </c>
      <c r="AF32" s="621" t="s">
        <v>1105</v>
      </c>
      <c r="AG32" s="621" t="s">
        <v>1105</v>
      </c>
      <c r="AI32" s="455" t="str">
        <f t="shared" si="1"/>
        <v>Jul-2022</v>
      </c>
    </row>
    <row r="33" spans="1:259" s="279" customFormat="1" ht="135">
      <c r="A33" s="621">
        <f>IF(B33&lt;&gt;"", COUNTA($B$2:B33), "")</f>
        <v>32</v>
      </c>
      <c r="B33" s="621" t="str">
        <f t="shared" si="0"/>
        <v>Closed</v>
      </c>
      <c r="C33" s="627">
        <v>44760</v>
      </c>
      <c r="D33" s="622"/>
      <c r="E33" s="621" t="s">
        <v>1370</v>
      </c>
      <c r="F33" s="621" t="s">
        <v>1094</v>
      </c>
      <c r="G33" s="621" t="s">
        <v>1161</v>
      </c>
      <c r="H33" s="621" t="str" cm="1">
        <f t="array" ref="H33">_xlfn.IFS(
    G33="CDWE", "TNI - Transportation &amp; Installation",
    G33="Seaway7", "CTI - Cable T&amp;I",
    G33="LS Cable", "EXC - Export Cable",
    G33="Hellenic", "IAC - Inter Array Cable",
    TRUE, "")</f>
        <v>EXC - Export Cable</v>
      </c>
      <c r="I33" s="453" t="s">
        <v>148</v>
      </c>
      <c r="J33" s="621" t="s">
        <v>1371</v>
      </c>
      <c r="K33" s="621" t="s">
        <v>1163</v>
      </c>
      <c r="L33" s="453" t="s">
        <v>1372</v>
      </c>
      <c r="M33" s="621" t="s">
        <v>1351</v>
      </c>
      <c r="N33" s="621" t="s">
        <v>1165</v>
      </c>
      <c r="O33" s="621" t="s">
        <v>1165</v>
      </c>
      <c r="P33" s="621" t="s">
        <v>1373</v>
      </c>
      <c r="Q33" s="621" t="s">
        <v>1100</v>
      </c>
      <c r="R33" s="623" t="s">
        <v>1120</v>
      </c>
      <c r="S33" s="623"/>
      <c r="T33" s="623" t="s">
        <v>1352</v>
      </c>
      <c r="U33" s="453" t="s">
        <v>1374</v>
      </c>
      <c r="V33" s="623" t="s">
        <v>1375</v>
      </c>
      <c r="W33" s="621" t="s">
        <v>1165</v>
      </c>
      <c r="X33" s="453" t="s">
        <v>1376</v>
      </c>
      <c r="Y33" s="453" t="s">
        <v>1377</v>
      </c>
      <c r="Z33" s="623" t="s">
        <v>1378</v>
      </c>
      <c r="AA33" s="621" t="s">
        <v>1165</v>
      </c>
      <c r="AB33" s="453" t="s">
        <v>1379</v>
      </c>
      <c r="AC33" s="621" t="s">
        <v>110</v>
      </c>
      <c r="AD33" s="621" t="s">
        <v>110</v>
      </c>
      <c r="AE33" s="621" t="s">
        <v>110</v>
      </c>
      <c r="AF33" s="621" t="s">
        <v>1105</v>
      </c>
      <c r="AG33" s="621" t="s">
        <v>1105</v>
      </c>
      <c r="AI33" s="455" t="str">
        <f t="shared" si="1"/>
        <v>Jul-2022</v>
      </c>
    </row>
    <row r="34" spans="1:259" s="279" customFormat="1" ht="90">
      <c r="A34" s="621">
        <f>IF(B34&lt;&gt;"", COUNTA($B$2:B34), "")</f>
        <v>33</v>
      </c>
      <c r="B34" s="621" t="str">
        <f t="shared" si="0"/>
        <v>Closed</v>
      </c>
      <c r="C34" s="627">
        <v>44760</v>
      </c>
      <c r="D34" s="622"/>
      <c r="E34" s="621" t="s">
        <v>1380</v>
      </c>
      <c r="F34" s="621" t="s">
        <v>1094</v>
      </c>
      <c r="G34" s="621" t="s">
        <v>1161</v>
      </c>
      <c r="H34" s="621" t="str" cm="1">
        <f t="array" ref="H34">_xlfn.IFS(
    G34="CDWE", "TNI - Transportation &amp; Installation",
    G34="Seaway7", "CTI - Cable T&amp;I",
    G34="LS Cable", "EXC - Export Cable",
    G34="Hellenic", "IAC - Inter Array Cable",
    TRUE, "")</f>
        <v>EXC - Export Cable</v>
      </c>
      <c r="I34" s="453" t="s">
        <v>148</v>
      </c>
      <c r="J34" s="621" t="s">
        <v>1381</v>
      </c>
      <c r="K34" s="621" t="s">
        <v>1163</v>
      </c>
      <c r="L34" s="453" t="s">
        <v>1382</v>
      </c>
      <c r="M34" s="621" t="s">
        <v>1351</v>
      </c>
      <c r="N34" s="621" t="s">
        <v>1165</v>
      </c>
      <c r="O34" s="621" t="s">
        <v>1165</v>
      </c>
      <c r="P34" s="621" t="s">
        <v>148</v>
      </c>
      <c r="Q34" s="621" t="s">
        <v>1100</v>
      </c>
      <c r="R34" s="623" t="s">
        <v>1120</v>
      </c>
      <c r="S34" s="623"/>
      <c r="T34" s="623" t="s">
        <v>1383</v>
      </c>
      <c r="U34" s="453" t="s">
        <v>1394</v>
      </c>
      <c r="V34" s="623" t="s">
        <v>1395</v>
      </c>
      <c r="W34" s="621" t="s">
        <v>1391</v>
      </c>
      <c r="X34" s="453" t="s">
        <v>1396</v>
      </c>
      <c r="Y34" s="453" t="s">
        <v>1397</v>
      </c>
      <c r="Z34" s="623" t="s">
        <v>1398</v>
      </c>
      <c r="AA34" s="621" t="s">
        <v>1165</v>
      </c>
      <c r="AB34" s="453" t="s">
        <v>1384</v>
      </c>
      <c r="AC34" s="621" t="s">
        <v>110</v>
      </c>
      <c r="AD34" s="621" t="s">
        <v>110</v>
      </c>
      <c r="AE34" s="621" t="s">
        <v>110</v>
      </c>
      <c r="AF34" s="621" t="s">
        <v>1105</v>
      </c>
      <c r="AG34" s="621" t="s">
        <v>1105</v>
      </c>
      <c r="AI34" s="455" t="str">
        <f t="shared" si="1"/>
        <v>Jul-2022</v>
      </c>
    </row>
    <row r="35" spans="1:259" s="279" customFormat="1" ht="90">
      <c r="A35" s="621">
        <f>IF(B35&lt;&gt;"", COUNTA($B$2:B35), "")</f>
        <v>34</v>
      </c>
      <c r="B35" s="621" t="str">
        <f t="shared" si="0"/>
        <v>Closed</v>
      </c>
      <c r="C35" s="627">
        <v>45267</v>
      </c>
      <c r="D35" s="622" t="s">
        <v>148</v>
      </c>
      <c r="E35" s="621" t="s">
        <v>1385</v>
      </c>
      <c r="F35" s="621" t="s">
        <v>1094</v>
      </c>
      <c r="G35" s="621" t="s">
        <v>2435</v>
      </c>
      <c r="H35" s="621" t="str" cm="1">
        <f t="array" ref="H35">_xlfn.IFS(
    G35="CDWE", "TNI - Transportation &amp; Installation",
    G35="Seaway7", "CTI - Cable T&amp;I",
    G35="LS Cable", "EXC - Export Cable",
    G35="Hellenic", "IAC - Inter Array Cable",
    TRUE, "")</f>
        <v/>
      </c>
      <c r="I35" s="278"/>
      <c r="J35" s="621" t="s">
        <v>1386</v>
      </c>
      <c r="K35" s="621" t="s">
        <v>1387</v>
      </c>
      <c r="L35" s="453" t="s">
        <v>1388</v>
      </c>
      <c r="M35" s="621" t="s">
        <v>1389</v>
      </c>
      <c r="N35" s="621" t="s">
        <v>1390</v>
      </c>
      <c r="O35" s="621" t="s">
        <v>1391</v>
      </c>
      <c r="P35" s="621" t="s">
        <v>1392</v>
      </c>
      <c r="Q35" s="621" t="s">
        <v>1100</v>
      </c>
      <c r="R35" s="623" t="s">
        <v>1179</v>
      </c>
      <c r="S35" s="623"/>
      <c r="T35" s="623" t="s">
        <v>1393</v>
      </c>
      <c r="U35" s="453" t="s">
        <v>1394</v>
      </c>
      <c r="V35" s="623" t="s">
        <v>1395</v>
      </c>
      <c r="W35" s="621" t="s">
        <v>1391</v>
      </c>
      <c r="X35" s="453" t="s">
        <v>1396</v>
      </c>
      <c r="Y35" s="453" t="s">
        <v>1397</v>
      </c>
      <c r="Z35" s="623" t="s">
        <v>1398</v>
      </c>
      <c r="AA35" s="621" t="s">
        <v>1399</v>
      </c>
      <c r="AB35" s="623" t="s">
        <v>1400</v>
      </c>
      <c r="AC35" s="621" t="s">
        <v>110</v>
      </c>
      <c r="AD35" s="621" t="s">
        <v>110</v>
      </c>
      <c r="AE35" s="621" t="s">
        <v>110</v>
      </c>
      <c r="AF35" s="621" t="s">
        <v>1105</v>
      </c>
      <c r="AG35" s="621" t="s">
        <v>1105</v>
      </c>
      <c r="AI35" s="455" t="str">
        <f>TEXT(C35,"mmm-yyyy")</f>
        <v>Dec-2023</v>
      </c>
    </row>
    <row r="36" spans="1:259" s="279" customFormat="1" ht="105">
      <c r="A36" s="621">
        <f>IF(B36&lt;&gt;"", COUNTA($B$2:B36), "")</f>
        <v>35</v>
      </c>
      <c r="B36" s="621" t="str">
        <f t="shared" si="0"/>
        <v>Closed</v>
      </c>
      <c r="C36" s="627">
        <v>45272</v>
      </c>
      <c r="D36" s="622" t="s">
        <v>148</v>
      </c>
      <c r="E36" s="621" t="s">
        <v>1401</v>
      </c>
      <c r="F36" s="621" t="s">
        <v>1094</v>
      </c>
      <c r="G36" s="621" t="s">
        <v>2435</v>
      </c>
      <c r="H36" s="621" t="str" cm="1">
        <f t="array" ref="H36">_xlfn.IFS(
    G36="CDWE", "TNI - Transportation &amp; Installation",
    G36="Seaway7", "CTI - Cable T&amp;I",
    G36="LS Cable", "EXC - Export Cable",
    G36="Hellenic", "IAC - Inter Array Cable",
    TRUE, "")</f>
        <v/>
      </c>
      <c r="I36" s="278"/>
      <c r="J36" s="621" t="s">
        <v>1402</v>
      </c>
      <c r="K36" s="621" t="s">
        <v>1387</v>
      </c>
      <c r="L36" s="453" t="s">
        <v>1403</v>
      </c>
      <c r="M36" s="621" t="s">
        <v>1404</v>
      </c>
      <c r="N36" s="621" t="s">
        <v>1405</v>
      </c>
      <c r="O36" s="621" t="s">
        <v>1399</v>
      </c>
      <c r="P36" s="621">
        <v>3119764001</v>
      </c>
      <c r="Q36" s="621" t="s">
        <v>1100</v>
      </c>
      <c r="R36" s="623" t="s">
        <v>1120</v>
      </c>
      <c r="S36" s="623"/>
      <c r="T36" s="623" t="s">
        <v>1406</v>
      </c>
      <c r="U36" s="453" t="s">
        <v>1418</v>
      </c>
      <c r="V36" s="623" t="s">
        <v>1419</v>
      </c>
      <c r="W36" s="621" t="s">
        <v>1407</v>
      </c>
      <c r="X36" s="453" t="s">
        <v>1420</v>
      </c>
      <c r="Y36" s="453" t="s">
        <v>1421</v>
      </c>
      <c r="Z36" s="623" t="s">
        <v>1422</v>
      </c>
      <c r="AA36" s="621" t="s">
        <v>1407</v>
      </c>
      <c r="AB36" s="623" t="s">
        <v>1408</v>
      </c>
      <c r="AC36" s="621" t="s">
        <v>110</v>
      </c>
      <c r="AD36" s="621" t="s">
        <v>110</v>
      </c>
      <c r="AE36" s="621" t="s">
        <v>110</v>
      </c>
      <c r="AF36" s="621" t="s">
        <v>1105</v>
      </c>
      <c r="AG36" s="621" t="s">
        <v>1105</v>
      </c>
      <c r="AI36" s="455" t="str">
        <f>TEXT(C36,"mmm-yyyy")</f>
        <v>Dec-2023</v>
      </c>
    </row>
    <row r="37" spans="1:259" s="279" customFormat="1" ht="105">
      <c r="A37" s="621">
        <f>IF(B37&lt;&gt;"", COUNTA($B$2:B37), "")</f>
        <v>36</v>
      </c>
      <c r="B37" s="621" t="str">
        <f t="shared" si="0"/>
        <v>Closed</v>
      </c>
      <c r="C37" s="627">
        <v>45282</v>
      </c>
      <c r="D37" s="622" t="s">
        <v>148</v>
      </c>
      <c r="E37" s="621" t="s">
        <v>1409</v>
      </c>
      <c r="F37" s="621" t="s">
        <v>1094</v>
      </c>
      <c r="G37" s="621" t="s">
        <v>2435</v>
      </c>
      <c r="H37" s="621" t="str" cm="1">
        <f t="array" ref="H37">_xlfn.IFS(
    G37="CDWE", "TNI - Transportation &amp; Installation",
    G37="Seaway7", "CTI - Cable T&amp;I",
    G37="LS Cable", "EXC - Export Cable",
    G37="Hellenic", "IAC - Inter Array Cable",
    TRUE, "")</f>
        <v/>
      </c>
      <c r="I37" s="278"/>
      <c r="J37" s="621" t="s">
        <v>1410</v>
      </c>
      <c r="K37" s="621" t="s">
        <v>1387</v>
      </c>
      <c r="L37" s="453" t="s">
        <v>1411</v>
      </c>
      <c r="M37" s="621" t="s">
        <v>1412</v>
      </c>
      <c r="N37" s="621" t="s">
        <v>1413</v>
      </c>
      <c r="O37" s="621" t="s">
        <v>1414</v>
      </c>
      <c r="P37" s="621" t="s">
        <v>1415</v>
      </c>
      <c r="Q37" s="621" t="s">
        <v>1416</v>
      </c>
      <c r="R37" s="623" t="s">
        <v>1179</v>
      </c>
      <c r="S37" s="623"/>
      <c r="T37" s="623" t="s">
        <v>1417</v>
      </c>
      <c r="U37" s="453" t="s">
        <v>1418</v>
      </c>
      <c r="V37" s="623" t="s">
        <v>1419</v>
      </c>
      <c r="W37" s="621" t="s">
        <v>1407</v>
      </c>
      <c r="X37" s="453" t="s">
        <v>1420</v>
      </c>
      <c r="Y37" s="453" t="s">
        <v>1421</v>
      </c>
      <c r="Z37" s="623" t="s">
        <v>1422</v>
      </c>
      <c r="AA37" s="621" t="s">
        <v>1423</v>
      </c>
      <c r="AB37" s="623" t="s">
        <v>1408</v>
      </c>
      <c r="AC37" s="621" t="s">
        <v>110</v>
      </c>
      <c r="AD37" s="621" t="s">
        <v>110</v>
      </c>
      <c r="AE37" s="621" t="s">
        <v>110</v>
      </c>
      <c r="AF37" s="621" t="s">
        <v>1105</v>
      </c>
      <c r="AG37" s="621" t="s">
        <v>1105</v>
      </c>
      <c r="AI37" s="455" t="str">
        <f>TEXT(C37,"mmm-yyyy")</f>
        <v>Dec-2023</v>
      </c>
    </row>
    <row r="38" spans="1:259" s="279" customFormat="1" ht="135">
      <c r="A38" s="621">
        <f>IF(B38&lt;&gt;"", COUNTA($B$2:B38), "")</f>
        <v>37</v>
      </c>
      <c r="B38" s="621" t="str">
        <f t="shared" si="0"/>
        <v>Closed</v>
      </c>
      <c r="C38" s="627">
        <v>45315</v>
      </c>
      <c r="D38" s="622" t="s">
        <v>148</v>
      </c>
      <c r="E38" s="621" t="s">
        <v>1424</v>
      </c>
      <c r="F38" s="621" t="s">
        <v>1094</v>
      </c>
      <c r="G38" s="621" t="s">
        <v>2435</v>
      </c>
      <c r="H38" s="621" t="str" cm="1">
        <f t="array" ref="H38">_xlfn.IFS(
    G38="CDWE", "TNI - Transportation &amp; Installation",
    G38="Seaway7", "CTI - Cable T&amp;I",
    G38="LS Cable", "EXC - Export Cable",
    G38="Hellenic", "IAC - Inter Array Cable",
    TRUE, "")</f>
        <v/>
      </c>
      <c r="I38" s="278"/>
      <c r="J38" s="621" t="s">
        <v>1402</v>
      </c>
      <c r="K38" s="621" t="s">
        <v>1387</v>
      </c>
      <c r="L38" s="453" t="s">
        <v>1425</v>
      </c>
      <c r="M38" s="621" t="s">
        <v>1426</v>
      </c>
      <c r="N38" s="621" t="s">
        <v>1427</v>
      </c>
      <c r="O38" s="621" t="s">
        <v>1428</v>
      </c>
      <c r="P38" s="621" t="s">
        <v>1429</v>
      </c>
      <c r="Q38" s="621" t="s">
        <v>1100</v>
      </c>
      <c r="R38" s="623" t="s">
        <v>1101</v>
      </c>
      <c r="S38" s="623"/>
      <c r="T38" s="623" t="s">
        <v>1430</v>
      </c>
      <c r="U38" s="453" t="s">
        <v>1439</v>
      </c>
      <c r="V38" s="623" t="s">
        <v>1440</v>
      </c>
      <c r="W38" s="621" t="s">
        <v>1391</v>
      </c>
      <c r="X38" s="453" t="s">
        <v>1441</v>
      </c>
      <c r="Y38" s="453" t="s">
        <v>1442</v>
      </c>
      <c r="Z38" s="623" t="s">
        <v>1442</v>
      </c>
      <c r="AA38" s="621" t="s">
        <v>1431</v>
      </c>
      <c r="AB38" s="623" t="s">
        <v>3045</v>
      </c>
      <c r="AC38" s="621" t="s">
        <v>110</v>
      </c>
      <c r="AD38" s="621" t="s">
        <v>110</v>
      </c>
      <c r="AE38" s="621" t="s">
        <v>110</v>
      </c>
      <c r="AF38" s="621" t="s">
        <v>1105</v>
      </c>
      <c r="AG38" s="621" t="s">
        <v>1105</v>
      </c>
      <c r="AI38" s="455" t="str">
        <f>TEXT(C38,"mmm-yyyy")</f>
        <v>Jan-2024</v>
      </c>
    </row>
    <row r="39" spans="1:259" s="279" customFormat="1" ht="90">
      <c r="A39" s="621">
        <f>IF(B39&lt;&gt;"", COUNTA($B$2:B39), "")</f>
        <v>38</v>
      </c>
      <c r="B39" s="621" t="str">
        <f t="shared" si="0"/>
        <v>Closed</v>
      </c>
      <c r="C39" s="627">
        <v>45359</v>
      </c>
      <c r="D39" s="622" t="s">
        <v>148</v>
      </c>
      <c r="E39" s="621" t="s">
        <v>1432</v>
      </c>
      <c r="F39" s="621" t="s">
        <v>1094</v>
      </c>
      <c r="G39" s="621" t="s">
        <v>2435</v>
      </c>
      <c r="H39" s="621" t="str" cm="1">
        <f t="array" ref="H39">_xlfn.IFS(
    G39="CDWE", "TNI - Transportation &amp; Installation",
    G39="Seaway7", "CTI - Cable T&amp;I",
    G39="LS Cable", "EXC - Export Cable",
    G39="Hellenic", "IAC - Inter Array Cable",
    TRUE, "")</f>
        <v/>
      </c>
      <c r="I39" s="278"/>
      <c r="J39" s="621" t="s">
        <v>1386</v>
      </c>
      <c r="K39" s="621" t="s">
        <v>1387</v>
      </c>
      <c r="L39" s="453" t="s">
        <v>1433</v>
      </c>
      <c r="M39" s="621" t="s">
        <v>1434</v>
      </c>
      <c r="N39" s="621" t="s">
        <v>1435</v>
      </c>
      <c r="O39" s="621" t="s">
        <v>1436</v>
      </c>
      <c r="P39" s="621" t="s">
        <v>1437</v>
      </c>
      <c r="Q39" s="621" t="s">
        <v>1100</v>
      </c>
      <c r="R39" s="623" t="s">
        <v>1220</v>
      </c>
      <c r="S39" s="623"/>
      <c r="T39" s="623" t="s">
        <v>1438</v>
      </c>
      <c r="U39" s="453" t="s">
        <v>1439</v>
      </c>
      <c r="V39" s="623" t="s">
        <v>1440</v>
      </c>
      <c r="W39" s="621" t="s">
        <v>1391</v>
      </c>
      <c r="X39" s="453" t="s">
        <v>1441</v>
      </c>
      <c r="Y39" s="453" t="s">
        <v>1442</v>
      </c>
      <c r="Z39" s="623" t="s">
        <v>1442</v>
      </c>
      <c r="AA39" s="621" t="s">
        <v>1443</v>
      </c>
      <c r="AB39" s="623" t="s">
        <v>3046</v>
      </c>
      <c r="AC39" s="621" t="s">
        <v>1105</v>
      </c>
      <c r="AD39" s="621" t="s">
        <v>110</v>
      </c>
      <c r="AE39" s="621" t="s">
        <v>110</v>
      </c>
      <c r="AF39" s="621" t="s">
        <v>1105</v>
      </c>
      <c r="AG39" s="621" t="s">
        <v>1105</v>
      </c>
      <c r="AI39" s="455" t="str">
        <f>TEXT(C39,"mmm-yyyy")</f>
        <v>Mar-2024</v>
      </c>
    </row>
    <row r="40" spans="1:259" s="279" customFormat="1" ht="330">
      <c r="A40" s="621">
        <f>IF(B40&lt;&gt;"", COUNTA($B$2:B40), "")</f>
        <v>39</v>
      </c>
      <c r="B40" s="621" t="str">
        <f t="shared" si="0"/>
        <v>Closed</v>
      </c>
      <c r="C40" s="627">
        <v>45436</v>
      </c>
      <c r="D40" s="622" t="s">
        <v>148</v>
      </c>
      <c r="E40" s="621" t="s">
        <v>1444</v>
      </c>
      <c r="F40" s="621" t="s">
        <v>1094</v>
      </c>
      <c r="G40" s="621" t="s">
        <v>1045</v>
      </c>
      <c r="H40" s="621" t="str" cm="1">
        <f t="array" ref="H40">_xlfn.IFS(
    G40="CDWE", "TNI - Transportation &amp; Installation",
    G40="Seaway7", "CTI - Cable T&amp;I",
    G40="LS Cable", "EXC - Export Cable",
    G40="Hellenic", "IAC - Inter Array Cable",
    TRUE, "")</f>
        <v>TNI - Transportation &amp; Installation</v>
      </c>
      <c r="I40" s="456" t="s">
        <v>1453</v>
      </c>
      <c r="J40" s="623" t="s">
        <v>1445</v>
      </c>
      <c r="K40" s="624" t="s">
        <v>1446</v>
      </c>
      <c r="L40" s="453" t="s">
        <v>1447</v>
      </c>
      <c r="M40" s="621" t="s">
        <v>1448</v>
      </c>
      <c r="N40" s="621" t="s">
        <v>1449</v>
      </c>
      <c r="O40" s="621" t="s">
        <v>1449</v>
      </c>
      <c r="P40" s="621" t="s">
        <v>1450</v>
      </c>
      <c r="Q40" s="623" t="s">
        <v>1100</v>
      </c>
      <c r="R40" s="621" t="s">
        <v>1101</v>
      </c>
      <c r="S40" s="621"/>
      <c r="T40" s="621" t="s">
        <v>1451</v>
      </c>
      <c r="U40" s="453" t="s">
        <v>2486</v>
      </c>
      <c r="V40" s="623" t="s">
        <v>2487</v>
      </c>
      <c r="W40" s="621" t="s">
        <v>1461</v>
      </c>
      <c r="X40" s="453" t="s">
        <v>2488</v>
      </c>
      <c r="Y40" s="453" t="s">
        <v>2489</v>
      </c>
      <c r="Z40" s="628" t="s">
        <v>2490</v>
      </c>
      <c r="AA40" s="621" t="s">
        <v>1449</v>
      </c>
      <c r="AB40" s="621" t="s">
        <v>1452</v>
      </c>
      <c r="AC40" s="621" t="s">
        <v>110</v>
      </c>
      <c r="AD40" s="621" t="s">
        <v>110</v>
      </c>
      <c r="AE40" s="621" t="s">
        <v>110</v>
      </c>
      <c r="AF40" s="621" t="s">
        <v>1105</v>
      </c>
      <c r="AG40" s="621" t="s">
        <v>1105</v>
      </c>
      <c r="AI40" s="455" t="str">
        <f t="shared" ref="AI40" si="2">IF(C40&lt;&gt;0,TEXT(C40,"mmm-yyyy"),"")</f>
        <v>May-2024</v>
      </c>
    </row>
    <row r="41" spans="1:259" s="279" customFormat="1" ht="75">
      <c r="A41" s="621">
        <f>IF(B41&lt;&gt;"", COUNTA($B$2:B41), "")</f>
        <v>40</v>
      </c>
      <c r="B41" s="621" t="str">
        <f t="shared" ref="B41:B72" si="3">IF(AND(AF41="Yes",AG41="Yes"),"Closed","Opening")</f>
        <v>Opening</v>
      </c>
      <c r="C41" s="627">
        <v>45856</v>
      </c>
      <c r="D41" s="627" t="s">
        <v>2519</v>
      </c>
      <c r="E41" s="626" t="s">
        <v>3171</v>
      </c>
      <c r="F41" s="626" t="s">
        <v>1146</v>
      </c>
      <c r="G41" s="626" t="s">
        <v>1454</v>
      </c>
      <c r="H41" s="626" t="str" cm="1">
        <f t="array" ref="H41">_xlfn.IFS(
    G41="CDWE", "TNI - Transportation &amp; Installation",
    G41="Seaway7", "CTI - Cable T&amp;I",
    G41="LS Cable", "EXC - Export Cable",
    G41="Hellenic", "IAC - Inter Array Cable",
    TRUE, "")</f>
        <v>CTI - Cable T&amp;I</v>
      </c>
      <c r="I41" s="641" t="s">
        <v>148</v>
      </c>
      <c r="J41" s="641" t="s">
        <v>3172</v>
      </c>
      <c r="K41" s="641" t="s">
        <v>3173</v>
      </c>
      <c r="L41" s="642" t="s">
        <v>3175</v>
      </c>
      <c r="M41" s="641" t="s">
        <v>3174</v>
      </c>
      <c r="N41" s="641" t="s">
        <v>1466</v>
      </c>
      <c r="O41" s="641" t="s">
        <v>1466</v>
      </c>
      <c r="P41" s="626" t="s">
        <v>1046</v>
      </c>
      <c r="Q41" s="641" t="s">
        <v>1151</v>
      </c>
      <c r="R41" s="626" t="s">
        <v>1046</v>
      </c>
      <c r="S41" s="641" t="s">
        <v>1102</v>
      </c>
      <c r="T41" s="626" t="s">
        <v>1046</v>
      </c>
      <c r="U41" s="626" t="s">
        <v>1046</v>
      </c>
      <c r="V41" s="626" t="s">
        <v>1046</v>
      </c>
      <c r="W41" s="626" t="s">
        <v>1046</v>
      </c>
      <c r="X41" s="626" t="s">
        <v>1046</v>
      </c>
      <c r="Y41" s="626" t="s">
        <v>1046</v>
      </c>
      <c r="Z41" s="626" t="s">
        <v>1046</v>
      </c>
      <c r="AA41" s="626" t="s">
        <v>1046</v>
      </c>
      <c r="AB41" s="626" t="s">
        <v>1046</v>
      </c>
      <c r="AC41" s="626" t="s">
        <v>110</v>
      </c>
      <c r="AD41" s="626" t="s">
        <v>110</v>
      </c>
      <c r="AE41" s="626" t="s">
        <v>110</v>
      </c>
      <c r="AF41" s="626" t="s">
        <v>110</v>
      </c>
      <c r="AG41" s="621" t="s">
        <v>110</v>
      </c>
      <c r="AH41" s="643"/>
      <c r="AI41" s="455" t="str">
        <f t="shared" ref="AI41:AI58" si="4">IF(C41&lt;&gt;0,TEXT(C41,"mmm-yyyy"),"")</f>
        <v>Jul-2025</v>
      </c>
      <c r="AJ41" s="643"/>
      <c r="AK41" s="643"/>
      <c r="AL41" s="643"/>
      <c r="AM41" s="643"/>
      <c r="AN41" s="643"/>
      <c r="AO41" s="643"/>
      <c r="AP41" s="643"/>
      <c r="AQ41" s="643"/>
      <c r="AR41" s="643"/>
      <c r="AS41" s="643"/>
      <c r="AT41" s="643"/>
      <c r="AU41" s="643"/>
      <c r="AV41" s="643"/>
      <c r="AW41" s="643"/>
      <c r="AX41" s="643"/>
      <c r="AY41" s="643"/>
      <c r="AZ41" s="643"/>
      <c r="BA41" s="643"/>
      <c r="BB41" s="643"/>
      <c r="BC41" s="643"/>
      <c r="BD41" s="643"/>
      <c r="BE41" s="643"/>
      <c r="BF41" s="643"/>
      <c r="BG41" s="643"/>
      <c r="BH41" s="643"/>
      <c r="BI41" s="643"/>
      <c r="BJ41" s="643"/>
      <c r="BK41" s="643"/>
      <c r="BL41" s="643"/>
      <c r="BM41" s="643"/>
      <c r="BN41" s="643"/>
      <c r="BO41" s="643"/>
      <c r="BP41" s="643"/>
      <c r="BQ41" s="643"/>
      <c r="BR41" s="643"/>
      <c r="BS41" s="643"/>
      <c r="BT41" s="643"/>
      <c r="BU41" s="643"/>
      <c r="BV41" s="643"/>
      <c r="BW41" s="643"/>
      <c r="BX41" s="643"/>
      <c r="BY41" s="643"/>
      <c r="BZ41" s="643"/>
      <c r="CA41" s="643"/>
      <c r="CB41" s="643"/>
      <c r="CC41" s="643"/>
      <c r="CD41" s="643"/>
      <c r="CE41" s="643"/>
      <c r="CF41" s="643"/>
      <c r="CG41" s="643"/>
      <c r="CH41" s="643"/>
      <c r="CI41" s="643"/>
      <c r="CJ41" s="643"/>
      <c r="CK41" s="643"/>
      <c r="CL41" s="643"/>
      <c r="CM41" s="643"/>
      <c r="CN41" s="643"/>
      <c r="CO41" s="643"/>
      <c r="CP41" s="643"/>
      <c r="CQ41" s="643"/>
      <c r="CR41" s="643"/>
      <c r="CS41" s="643"/>
      <c r="CT41" s="643"/>
      <c r="CU41" s="643"/>
      <c r="CV41" s="643"/>
      <c r="CW41" s="643"/>
      <c r="CX41" s="643"/>
      <c r="CY41" s="643"/>
      <c r="CZ41" s="643"/>
      <c r="DA41" s="643"/>
      <c r="DB41" s="643"/>
      <c r="DC41" s="643"/>
      <c r="DD41" s="643"/>
      <c r="DE41" s="643"/>
      <c r="DF41" s="643"/>
      <c r="DG41" s="643"/>
      <c r="DH41" s="643"/>
      <c r="DI41" s="643"/>
      <c r="DJ41" s="643"/>
      <c r="DK41" s="643"/>
      <c r="DL41" s="643"/>
      <c r="DM41" s="643"/>
      <c r="DN41" s="643"/>
      <c r="DO41" s="643"/>
      <c r="DP41" s="643"/>
      <c r="DQ41" s="643"/>
      <c r="DR41" s="643"/>
      <c r="DS41" s="643"/>
      <c r="DT41" s="643"/>
      <c r="DU41" s="643"/>
      <c r="DV41" s="643"/>
      <c r="DW41" s="643"/>
      <c r="DX41" s="643"/>
      <c r="DY41" s="643"/>
      <c r="DZ41" s="643"/>
      <c r="EA41" s="643"/>
      <c r="EB41" s="643"/>
      <c r="EC41" s="643"/>
      <c r="ED41" s="643"/>
      <c r="EE41" s="643"/>
      <c r="EF41" s="643"/>
      <c r="EG41" s="643"/>
      <c r="EH41" s="643"/>
      <c r="EI41" s="643"/>
      <c r="EJ41" s="643"/>
      <c r="EK41" s="643"/>
      <c r="EL41" s="643"/>
      <c r="EM41" s="643"/>
      <c r="EN41" s="643"/>
      <c r="EO41" s="643"/>
      <c r="EP41" s="643"/>
      <c r="EQ41" s="643"/>
      <c r="ER41" s="643"/>
      <c r="ES41" s="643"/>
      <c r="ET41" s="643"/>
      <c r="EU41" s="643"/>
      <c r="EV41" s="643"/>
      <c r="EW41" s="643"/>
      <c r="EX41" s="643"/>
      <c r="EY41" s="643"/>
      <c r="EZ41" s="643"/>
      <c r="FA41" s="643"/>
      <c r="FB41" s="643"/>
      <c r="FC41" s="643"/>
      <c r="FD41" s="643"/>
      <c r="FE41" s="643"/>
      <c r="FF41" s="643"/>
      <c r="FG41" s="643"/>
      <c r="FH41" s="643"/>
      <c r="FI41" s="643"/>
      <c r="FJ41" s="643"/>
      <c r="FK41" s="643"/>
      <c r="FL41" s="643"/>
      <c r="FM41" s="643"/>
      <c r="FN41" s="643"/>
      <c r="FO41" s="643"/>
      <c r="FP41" s="643"/>
      <c r="FQ41" s="643"/>
      <c r="FR41" s="643"/>
      <c r="FS41" s="643"/>
      <c r="FT41" s="643"/>
      <c r="FU41" s="643"/>
      <c r="FV41" s="643"/>
      <c r="FW41" s="643"/>
      <c r="FX41" s="643"/>
      <c r="FY41" s="643"/>
      <c r="FZ41" s="643"/>
      <c r="GA41" s="643"/>
      <c r="GB41" s="643"/>
      <c r="GC41" s="643"/>
      <c r="GD41" s="643"/>
      <c r="GE41" s="643"/>
      <c r="GF41" s="643"/>
      <c r="GG41" s="643"/>
      <c r="GH41" s="643"/>
      <c r="GI41" s="643"/>
      <c r="GJ41" s="643"/>
      <c r="GK41" s="643"/>
      <c r="GL41" s="643"/>
      <c r="GM41" s="643"/>
      <c r="GN41" s="643"/>
      <c r="GO41" s="643"/>
      <c r="GP41" s="643"/>
      <c r="GQ41" s="643"/>
      <c r="GR41" s="643"/>
      <c r="GS41" s="643"/>
      <c r="GT41" s="643"/>
      <c r="GU41" s="643"/>
      <c r="GV41" s="643"/>
      <c r="GW41" s="643"/>
      <c r="GX41" s="643"/>
      <c r="GY41" s="643"/>
      <c r="GZ41" s="643"/>
      <c r="HA41" s="643"/>
      <c r="HB41" s="643"/>
      <c r="HC41" s="643"/>
      <c r="HD41" s="643"/>
      <c r="HE41" s="643"/>
      <c r="HF41" s="643"/>
      <c r="HG41" s="643"/>
      <c r="HH41" s="643"/>
      <c r="HI41" s="643"/>
      <c r="HJ41" s="643"/>
      <c r="HK41" s="643"/>
      <c r="HL41" s="643"/>
      <c r="HM41" s="643"/>
      <c r="HN41" s="643"/>
      <c r="HO41" s="643"/>
      <c r="HP41" s="643"/>
      <c r="HQ41" s="643"/>
      <c r="HR41" s="643"/>
      <c r="HS41" s="643"/>
      <c r="HT41" s="643"/>
      <c r="HU41" s="643"/>
      <c r="HV41" s="643"/>
      <c r="HW41" s="643"/>
      <c r="HX41" s="643"/>
      <c r="HY41" s="643"/>
      <c r="HZ41" s="643"/>
      <c r="IA41" s="643"/>
      <c r="IB41" s="643"/>
      <c r="IC41" s="643"/>
      <c r="ID41" s="643"/>
      <c r="IE41" s="643"/>
      <c r="IF41" s="643"/>
      <c r="IG41" s="643"/>
      <c r="IH41" s="643"/>
      <c r="II41" s="643"/>
      <c r="IJ41" s="643"/>
      <c r="IK41" s="643"/>
      <c r="IL41" s="643"/>
      <c r="IM41" s="643"/>
      <c r="IN41" s="643"/>
      <c r="IO41" s="643"/>
      <c r="IP41" s="643"/>
      <c r="IQ41" s="643"/>
      <c r="IR41" s="643"/>
      <c r="IS41" s="643"/>
      <c r="IT41" s="643"/>
      <c r="IU41" s="643"/>
      <c r="IV41" s="643"/>
      <c r="IW41" s="643"/>
      <c r="IX41" s="643"/>
      <c r="IY41" s="643"/>
    </row>
    <row r="42" spans="1:259" s="279" customFormat="1" ht="45">
      <c r="A42" s="621">
        <f>IF(B42&lt;&gt;"", COUNTA($B$2:B42), "")</f>
        <v>41</v>
      </c>
      <c r="B42" s="621" t="str">
        <f t="shared" si="3"/>
        <v>Closed</v>
      </c>
      <c r="C42" s="627">
        <v>45582</v>
      </c>
      <c r="D42" s="622" t="s">
        <v>148</v>
      </c>
      <c r="E42" s="621" t="s">
        <v>2480</v>
      </c>
      <c r="F42" s="621" t="s">
        <v>1094</v>
      </c>
      <c r="G42" s="621" t="s">
        <v>1454</v>
      </c>
      <c r="H42" s="621" t="str" cm="1">
        <f t="array" ref="H42">_xlfn.IFS(
    G42="CDWE", "TNI - Transportation &amp; Installation",
    G42="Seaway7", "CTI - Cable T&amp;I",
    G42="LS Cable", "EXC - Export Cable",
    G42="Hellenic", "IAC - Inter Array Cable",
    TRUE, "")</f>
        <v>CTI - Cable T&amp;I</v>
      </c>
      <c r="I42" s="460" t="s">
        <v>2479</v>
      </c>
      <c r="J42" s="623" t="s">
        <v>1462</v>
      </c>
      <c r="K42" s="623" t="s">
        <v>1463</v>
      </c>
      <c r="L42" s="453" t="s">
        <v>1464</v>
      </c>
      <c r="M42" s="621" t="s">
        <v>1465</v>
      </c>
      <c r="N42" s="621" t="s">
        <v>1466</v>
      </c>
      <c r="O42" s="621" t="s">
        <v>1467</v>
      </c>
      <c r="P42" s="621" t="s">
        <v>1468</v>
      </c>
      <c r="Q42" s="623" t="s">
        <v>1100</v>
      </c>
      <c r="R42" s="621" t="s">
        <v>1120</v>
      </c>
      <c r="S42" s="621" t="s">
        <v>1102</v>
      </c>
      <c r="T42" s="623" t="s">
        <v>1469</v>
      </c>
      <c r="U42" s="453" t="s">
        <v>1046</v>
      </c>
      <c r="V42" s="623" t="s">
        <v>1046</v>
      </c>
      <c r="W42" s="621" t="s">
        <v>1046</v>
      </c>
      <c r="X42" s="453" t="s">
        <v>1046</v>
      </c>
      <c r="Y42" s="453" t="s">
        <v>1046</v>
      </c>
      <c r="Z42" s="453" t="s">
        <v>1046</v>
      </c>
      <c r="AA42" s="621" t="s">
        <v>1470</v>
      </c>
      <c r="AB42" s="621" t="s">
        <v>1471</v>
      </c>
      <c r="AC42" s="621" t="s">
        <v>110</v>
      </c>
      <c r="AD42" s="621" t="s">
        <v>110</v>
      </c>
      <c r="AE42" s="621" t="s">
        <v>110</v>
      </c>
      <c r="AF42" s="621" t="s">
        <v>1105</v>
      </c>
      <c r="AG42" s="621" t="s">
        <v>1105</v>
      </c>
      <c r="AI42" s="455" t="str">
        <f t="shared" si="4"/>
        <v>Oct-2024</v>
      </c>
    </row>
    <row r="43" spans="1:259" s="279" customFormat="1" ht="330">
      <c r="A43" s="621">
        <f>IF(B43&lt;&gt;"", COUNTA($B$2:B43), "")</f>
        <v>42</v>
      </c>
      <c r="B43" s="621" t="str">
        <f t="shared" si="3"/>
        <v>Closed</v>
      </c>
      <c r="C43" s="627">
        <v>45488</v>
      </c>
      <c r="D43" s="622">
        <v>45729</v>
      </c>
      <c r="E43" s="621" t="s">
        <v>3055</v>
      </c>
      <c r="F43" s="621" t="s">
        <v>1094</v>
      </c>
      <c r="G43" s="621" t="s">
        <v>1454</v>
      </c>
      <c r="H43" s="621" t="str" cm="1">
        <f t="array" ref="H43">_xlfn.IFS(
    G43="CDWE", "TNI - Transportation &amp; Installation",
    G43="Seaway7", "CTI - Cable T&amp;I",
    G43="LS Cable", "EXC - Export Cable",
    G43="Hellenic", "IAC - Inter Array Cable",
    TRUE, "")</f>
        <v>CTI - Cable T&amp;I</v>
      </c>
      <c r="I43" s="456" t="s">
        <v>2569</v>
      </c>
      <c r="J43" s="623" t="s">
        <v>1573</v>
      </c>
      <c r="K43" s="453" t="s">
        <v>1574</v>
      </c>
      <c r="L43" s="453" t="s">
        <v>2676</v>
      </c>
      <c r="M43" s="621" t="s">
        <v>1575</v>
      </c>
      <c r="N43" s="621" t="s">
        <v>1576</v>
      </c>
      <c r="O43" s="621" t="s">
        <v>1467</v>
      </c>
      <c r="P43" s="621" t="s">
        <v>2677</v>
      </c>
      <c r="Q43" s="623" t="s">
        <v>1100</v>
      </c>
      <c r="R43" s="621" t="s">
        <v>1142</v>
      </c>
      <c r="S43" s="621" t="s">
        <v>1102</v>
      </c>
      <c r="T43" s="621" t="s">
        <v>2678</v>
      </c>
      <c r="U43" s="621" t="s">
        <v>1584</v>
      </c>
      <c r="V43" s="621" t="s">
        <v>1583</v>
      </c>
      <c r="W43" s="621" t="s">
        <v>1583</v>
      </c>
      <c r="X43" s="453" t="s">
        <v>1585</v>
      </c>
      <c r="Y43" s="453" t="s">
        <v>1586</v>
      </c>
      <c r="Z43" s="453" t="s">
        <v>1587</v>
      </c>
      <c r="AA43" s="621" t="s">
        <v>2679</v>
      </c>
      <c r="AB43" s="453" t="s">
        <v>2680</v>
      </c>
      <c r="AC43" s="621" t="s">
        <v>110</v>
      </c>
      <c r="AD43" s="621" t="s">
        <v>110</v>
      </c>
      <c r="AE43" s="621" t="s">
        <v>110</v>
      </c>
      <c r="AF43" s="621" t="s">
        <v>1105</v>
      </c>
      <c r="AG43" s="621" t="s">
        <v>1105</v>
      </c>
      <c r="AI43" s="455" t="str">
        <f t="shared" si="4"/>
        <v>Jul-2024</v>
      </c>
      <c r="AK43" s="636" t="s">
        <v>2468</v>
      </c>
    </row>
    <row r="44" spans="1:259" s="279" customFormat="1" ht="43.5" customHeight="1">
      <c r="A44" s="621">
        <f>IF(B44&lt;&gt;"", COUNTA($B$2:B44), "")</f>
        <v>43</v>
      </c>
      <c r="B44" s="621" t="str">
        <f t="shared" si="3"/>
        <v>Opening</v>
      </c>
      <c r="C44" s="627">
        <v>45901</v>
      </c>
      <c r="D44" s="626" t="s">
        <v>2519</v>
      </c>
      <c r="E44" s="626" t="s">
        <v>4001</v>
      </c>
      <c r="F44" s="626" t="s">
        <v>1094</v>
      </c>
      <c r="G44" s="626" t="s">
        <v>1454</v>
      </c>
      <c r="H44" s="626" t="str" cm="1">
        <f t="array" ref="H44">_xlfn.IFS(
    G43="CDWE", "TNI - Transportation &amp; Installation",
    G43="Seaway7", "CTI - Cable T&amp;I",
    G43="LS Cable", "EXC - Export Cable",
    G43="Hellenic", "IAC - Inter Array Cable",
    TRUE, "")</f>
        <v>CTI - Cable T&amp;I</v>
      </c>
      <c r="I44" s="641"/>
      <c r="J44" s="641" t="s">
        <v>4002</v>
      </c>
      <c r="K44" s="641" t="s">
        <v>38</v>
      </c>
      <c r="L44" s="642" t="s">
        <v>4003</v>
      </c>
      <c r="M44" s="641" t="s">
        <v>4004</v>
      </c>
      <c r="N44" s="641"/>
      <c r="O44" s="641"/>
      <c r="P44" s="626"/>
      <c r="Q44" s="641"/>
      <c r="R44" s="641"/>
      <c r="S44" s="641"/>
      <c r="T44" s="641"/>
      <c r="U44" s="642"/>
      <c r="V44" s="641"/>
      <c r="W44" s="641"/>
      <c r="X44" s="642"/>
      <c r="Y44" s="642"/>
      <c r="Z44" s="641"/>
      <c r="AA44" s="641"/>
      <c r="AB44" s="642"/>
      <c r="AC44" s="626"/>
      <c r="AD44" s="626"/>
      <c r="AE44" s="626"/>
      <c r="AF44" s="626" t="s">
        <v>110</v>
      </c>
      <c r="AG44" s="621" t="s">
        <v>110</v>
      </c>
      <c r="AH44" s="643"/>
      <c r="AI44" s="455" t="str">
        <f t="shared" si="4"/>
        <v>Sep-2025</v>
      </c>
      <c r="AJ44" s="643"/>
      <c r="AK44" s="643"/>
      <c r="AL44" s="643"/>
      <c r="AM44" s="643"/>
      <c r="AN44" s="643"/>
      <c r="AO44" s="643"/>
      <c r="AP44" s="643"/>
      <c r="AQ44" s="643"/>
      <c r="AR44" s="643"/>
      <c r="AS44" s="643"/>
      <c r="AT44" s="643"/>
      <c r="AU44" s="643"/>
      <c r="AV44" s="643"/>
      <c r="AW44" s="643"/>
      <c r="AX44" s="643"/>
      <c r="AY44" s="643"/>
      <c r="AZ44" s="643"/>
      <c r="BA44" s="643"/>
      <c r="BB44" s="643"/>
      <c r="BC44" s="643"/>
      <c r="BD44" s="643"/>
      <c r="BE44" s="643"/>
      <c r="BF44" s="643"/>
      <c r="BG44" s="643"/>
      <c r="BH44" s="643"/>
      <c r="BI44" s="643"/>
      <c r="BJ44" s="643"/>
      <c r="BK44" s="643"/>
      <c r="BL44" s="643"/>
      <c r="BM44" s="643"/>
      <c r="BN44" s="643"/>
      <c r="BO44" s="643"/>
      <c r="BP44" s="643"/>
      <c r="BQ44" s="643"/>
      <c r="BR44" s="643"/>
      <c r="BS44" s="643"/>
      <c r="BT44" s="643"/>
      <c r="BU44" s="643"/>
      <c r="BV44" s="643"/>
      <c r="BW44" s="643"/>
      <c r="BX44" s="643"/>
      <c r="BY44" s="643"/>
      <c r="BZ44" s="643"/>
      <c r="CA44" s="643"/>
      <c r="CB44" s="643"/>
      <c r="CC44" s="643"/>
      <c r="CD44" s="643"/>
      <c r="CE44" s="643"/>
      <c r="CF44" s="643"/>
      <c r="CG44" s="643"/>
      <c r="CH44" s="643"/>
      <c r="CI44" s="643"/>
      <c r="CJ44" s="643"/>
      <c r="CK44" s="643"/>
      <c r="CL44" s="643"/>
      <c r="CM44" s="643"/>
      <c r="CN44" s="643"/>
      <c r="CO44" s="643"/>
      <c r="CP44" s="643"/>
      <c r="CQ44" s="643"/>
      <c r="CR44" s="643"/>
      <c r="CS44" s="643"/>
      <c r="CT44" s="643"/>
      <c r="CU44" s="643"/>
      <c r="CV44" s="643"/>
      <c r="CW44" s="643"/>
      <c r="CX44" s="643"/>
      <c r="CY44" s="643"/>
      <c r="CZ44" s="643"/>
      <c r="DA44" s="643"/>
      <c r="DB44" s="643"/>
      <c r="DC44" s="643"/>
      <c r="DD44" s="643"/>
      <c r="DE44" s="643"/>
      <c r="DF44" s="643"/>
      <c r="DG44" s="643"/>
      <c r="DH44" s="643"/>
      <c r="DI44" s="643"/>
      <c r="DJ44" s="643"/>
      <c r="DK44" s="643"/>
      <c r="DL44" s="643"/>
      <c r="DM44" s="643"/>
      <c r="DN44" s="643"/>
      <c r="DO44" s="643"/>
      <c r="DP44" s="643"/>
      <c r="DQ44" s="643"/>
      <c r="DR44" s="643"/>
      <c r="DS44" s="643"/>
      <c r="DT44" s="643"/>
      <c r="DU44" s="643"/>
      <c r="DV44" s="643"/>
      <c r="DW44" s="643"/>
      <c r="DX44" s="643"/>
      <c r="DY44" s="643"/>
      <c r="DZ44" s="643"/>
      <c r="EA44" s="643"/>
      <c r="EB44" s="643"/>
      <c r="EC44" s="643"/>
      <c r="ED44" s="643"/>
      <c r="EE44" s="643"/>
      <c r="EF44" s="643"/>
      <c r="EG44" s="643"/>
      <c r="EH44" s="643"/>
      <c r="EI44" s="643"/>
      <c r="EJ44" s="643"/>
      <c r="EK44" s="643"/>
      <c r="EL44" s="643"/>
      <c r="EM44" s="643"/>
      <c r="EN44" s="643"/>
      <c r="EO44" s="643"/>
      <c r="EP44" s="643"/>
      <c r="EQ44" s="643"/>
      <c r="ER44" s="643"/>
      <c r="ES44" s="643"/>
      <c r="ET44" s="643"/>
      <c r="EU44" s="643"/>
      <c r="EV44" s="643"/>
      <c r="EW44" s="643"/>
      <c r="EX44" s="643"/>
      <c r="EY44" s="643"/>
      <c r="EZ44" s="643"/>
      <c r="FA44" s="643"/>
      <c r="FB44" s="643"/>
      <c r="FC44" s="643"/>
      <c r="FD44" s="643"/>
      <c r="FE44" s="643"/>
      <c r="FF44" s="643"/>
      <c r="FG44" s="643"/>
      <c r="FH44" s="643"/>
      <c r="FI44" s="643"/>
      <c r="FJ44" s="643"/>
      <c r="FK44" s="643"/>
      <c r="FL44" s="643"/>
      <c r="FM44" s="643"/>
      <c r="FN44" s="643"/>
      <c r="FO44" s="643"/>
      <c r="FP44" s="643"/>
      <c r="FQ44" s="643"/>
      <c r="FR44" s="643"/>
      <c r="FS44" s="643"/>
      <c r="FT44" s="643"/>
      <c r="FU44" s="643"/>
      <c r="FV44" s="643"/>
      <c r="FW44" s="643"/>
      <c r="FX44" s="643"/>
      <c r="FY44" s="643"/>
      <c r="FZ44" s="643"/>
      <c r="GA44" s="643"/>
      <c r="GB44" s="643"/>
      <c r="GC44" s="643"/>
      <c r="GD44" s="643"/>
      <c r="GE44" s="643"/>
      <c r="GF44" s="643"/>
      <c r="GG44" s="643"/>
      <c r="GH44" s="643"/>
      <c r="GI44" s="643"/>
      <c r="GJ44" s="643"/>
      <c r="GK44" s="643"/>
      <c r="GL44" s="643"/>
      <c r="GM44" s="643"/>
      <c r="GN44" s="643"/>
      <c r="GO44" s="643"/>
      <c r="GP44" s="643"/>
      <c r="GQ44" s="643"/>
      <c r="GR44" s="643"/>
      <c r="GS44" s="643"/>
      <c r="GT44" s="643"/>
      <c r="GU44" s="643"/>
      <c r="GV44" s="643"/>
      <c r="GW44" s="643"/>
      <c r="GX44" s="643"/>
      <c r="GY44" s="643"/>
      <c r="GZ44" s="643"/>
      <c r="HA44" s="643"/>
      <c r="HB44" s="643"/>
      <c r="HC44" s="643"/>
      <c r="HD44" s="643"/>
      <c r="HE44" s="643"/>
      <c r="HF44" s="643"/>
      <c r="HG44" s="643"/>
      <c r="HH44" s="643"/>
      <c r="HI44" s="643"/>
      <c r="HJ44" s="643"/>
      <c r="HK44" s="643"/>
      <c r="HL44" s="643"/>
      <c r="HM44" s="643"/>
      <c r="HN44" s="643"/>
      <c r="HO44" s="643"/>
      <c r="HP44" s="643"/>
      <c r="HQ44" s="643"/>
      <c r="HR44" s="643"/>
      <c r="HS44" s="643"/>
      <c r="HT44" s="643"/>
      <c r="HU44" s="643"/>
      <c r="HV44" s="643"/>
      <c r="HW44" s="643"/>
      <c r="HX44" s="643"/>
      <c r="HY44" s="643"/>
      <c r="HZ44" s="643"/>
      <c r="IA44" s="643"/>
      <c r="IB44" s="643"/>
      <c r="IC44" s="643"/>
      <c r="ID44" s="643"/>
      <c r="IE44" s="643"/>
      <c r="IF44" s="643"/>
      <c r="IG44" s="643"/>
      <c r="IH44" s="643"/>
      <c r="II44" s="643"/>
      <c r="IJ44" s="643"/>
      <c r="IK44" s="643"/>
      <c r="IL44" s="643"/>
      <c r="IM44" s="643"/>
      <c r="IN44" s="643"/>
      <c r="IO44" s="643"/>
      <c r="IP44" s="643"/>
      <c r="IQ44" s="643"/>
      <c r="IR44" s="643"/>
      <c r="IS44" s="643"/>
      <c r="IT44" s="643"/>
      <c r="IU44" s="643"/>
      <c r="IV44" s="643"/>
      <c r="IW44" s="643"/>
      <c r="IX44" s="643"/>
      <c r="IY44" s="643"/>
    </row>
    <row r="45" spans="1:259" s="279" customFormat="1" ht="180">
      <c r="A45" s="626">
        <f>IF(B45&lt;&gt;"", COUNTA($B$2:B45), "")</f>
        <v>44</v>
      </c>
      <c r="B45" s="653" t="str">
        <f t="shared" si="3"/>
        <v>Closed</v>
      </c>
      <c r="C45" s="629">
        <v>45762</v>
      </c>
      <c r="D45" s="629">
        <v>45838</v>
      </c>
      <c r="E45" s="621" t="s">
        <v>2824</v>
      </c>
      <c r="F45" s="626" t="s">
        <v>1094</v>
      </c>
      <c r="G45" s="626" t="s">
        <v>1454</v>
      </c>
      <c r="H45" s="649" t="str" cm="1">
        <f t="array" ref="H45">_xlfn.IFS(
    G45="CDWE", "TNI - Transportation &amp; Installation",
    G45="Seaway7", "CTI - Cable T&amp;I",
    G45="LS Cable", "EXC - Export Cable",
    G45="Hellenic", "IAC - Inter Array Cable",
    TRUE, "")</f>
        <v>CTI - Cable T&amp;I</v>
      </c>
      <c r="I45" s="641" t="s">
        <v>148</v>
      </c>
      <c r="J45" s="641" t="s">
        <v>2816</v>
      </c>
      <c r="K45" s="651" t="s">
        <v>2817</v>
      </c>
      <c r="L45" s="651" t="s">
        <v>3132</v>
      </c>
      <c r="M45" s="650" t="s">
        <v>2818</v>
      </c>
      <c r="N45" s="650" t="s">
        <v>2819</v>
      </c>
      <c r="O45" s="650" t="s">
        <v>2820</v>
      </c>
      <c r="P45" s="649" t="s">
        <v>3133</v>
      </c>
      <c r="Q45" s="641" t="s">
        <v>1100</v>
      </c>
      <c r="R45" s="650" t="s">
        <v>1142</v>
      </c>
      <c r="S45" s="651" t="s">
        <v>1102</v>
      </c>
      <c r="T45" s="651" t="s">
        <v>3134</v>
      </c>
      <c r="U45" s="651" t="s">
        <v>2821</v>
      </c>
      <c r="V45" s="650" t="s">
        <v>2822</v>
      </c>
      <c r="W45" s="650" t="s">
        <v>3135</v>
      </c>
      <c r="X45" s="650" t="s">
        <v>2823</v>
      </c>
      <c r="Y45" s="650" t="s">
        <v>3136</v>
      </c>
      <c r="Z45" s="650" t="s">
        <v>3137</v>
      </c>
      <c r="AA45" s="650" t="s">
        <v>3138</v>
      </c>
      <c r="AB45" s="631" t="s">
        <v>3139</v>
      </c>
      <c r="AC45" s="630" t="s">
        <v>110</v>
      </c>
      <c r="AD45" s="630" t="s">
        <v>110</v>
      </c>
      <c r="AE45" s="630" t="s">
        <v>110</v>
      </c>
      <c r="AF45" s="630" t="s">
        <v>1105</v>
      </c>
      <c r="AG45" s="630" t="s">
        <v>1105</v>
      </c>
      <c r="AH45" s="643"/>
      <c r="AI45" s="455" t="str">
        <f t="shared" si="4"/>
        <v>Apr-2025</v>
      </c>
      <c r="AJ45" s="643"/>
      <c r="AK45" s="643"/>
      <c r="AL45" s="643"/>
      <c r="AM45" s="643"/>
      <c r="AN45" s="643"/>
      <c r="AO45" s="643"/>
      <c r="AP45" s="643"/>
      <c r="AQ45" s="643"/>
      <c r="AR45" s="643"/>
      <c r="AS45" s="643"/>
      <c r="AT45" s="643"/>
      <c r="AU45" s="643"/>
      <c r="AV45" s="643"/>
      <c r="AW45" s="643"/>
      <c r="AX45" s="643"/>
      <c r="AY45" s="643"/>
      <c r="AZ45" s="643"/>
      <c r="BA45" s="643"/>
      <c r="BB45" s="643"/>
      <c r="BC45" s="643"/>
      <c r="BD45" s="643"/>
      <c r="BE45" s="643"/>
      <c r="BF45" s="643"/>
      <c r="BG45" s="643"/>
      <c r="BH45" s="643"/>
      <c r="BI45" s="643"/>
      <c r="BJ45" s="643"/>
      <c r="BK45" s="643"/>
      <c r="BL45" s="643"/>
      <c r="BM45" s="643"/>
      <c r="BN45" s="643"/>
      <c r="BO45" s="643"/>
      <c r="BP45" s="643"/>
      <c r="BQ45" s="643"/>
      <c r="BR45" s="643"/>
      <c r="BS45" s="643"/>
      <c r="BT45" s="643"/>
      <c r="BU45" s="643"/>
      <c r="BV45" s="643"/>
      <c r="BW45" s="643"/>
      <c r="BX45" s="643"/>
      <c r="BY45" s="643"/>
      <c r="BZ45" s="643"/>
      <c r="CA45" s="643"/>
      <c r="CB45" s="643"/>
      <c r="CC45" s="643"/>
      <c r="CD45" s="643"/>
      <c r="CE45" s="643"/>
      <c r="CF45" s="643"/>
      <c r="CG45" s="643"/>
      <c r="CH45" s="643"/>
      <c r="CI45" s="643"/>
      <c r="CJ45" s="643"/>
      <c r="CK45" s="643"/>
      <c r="CL45" s="643"/>
      <c r="CM45" s="643"/>
      <c r="CN45" s="643"/>
      <c r="CO45" s="643"/>
      <c r="CP45" s="643"/>
      <c r="CQ45" s="643"/>
      <c r="CR45" s="643"/>
      <c r="CS45" s="643"/>
      <c r="CT45" s="643"/>
      <c r="CU45" s="643"/>
      <c r="CV45" s="643"/>
      <c r="CW45" s="643"/>
      <c r="CX45" s="643"/>
      <c r="CY45" s="643"/>
      <c r="CZ45" s="643"/>
      <c r="DA45" s="643"/>
      <c r="DB45" s="643"/>
      <c r="DC45" s="643"/>
      <c r="DD45" s="643"/>
      <c r="DE45" s="643"/>
      <c r="DF45" s="643"/>
      <c r="DG45" s="643"/>
      <c r="DH45" s="643"/>
      <c r="DI45" s="643"/>
      <c r="DJ45" s="643"/>
      <c r="DK45" s="643"/>
      <c r="DL45" s="643"/>
      <c r="DM45" s="643"/>
      <c r="DN45" s="643"/>
      <c r="DO45" s="643"/>
      <c r="DP45" s="643"/>
      <c r="DQ45" s="643"/>
      <c r="DR45" s="643"/>
      <c r="DS45" s="643"/>
      <c r="DT45" s="643"/>
      <c r="DU45" s="643"/>
      <c r="DV45" s="643"/>
      <c r="DW45" s="643"/>
      <c r="DX45" s="643"/>
      <c r="DY45" s="643"/>
      <c r="DZ45" s="643"/>
      <c r="EA45" s="643"/>
      <c r="EB45" s="643"/>
      <c r="EC45" s="643"/>
      <c r="ED45" s="643"/>
      <c r="EE45" s="643"/>
      <c r="EF45" s="643"/>
      <c r="EG45" s="643"/>
      <c r="EH45" s="643"/>
      <c r="EI45" s="643"/>
      <c r="EJ45" s="643"/>
      <c r="EK45" s="643"/>
      <c r="EL45" s="643"/>
      <c r="EM45" s="643"/>
      <c r="EN45" s="643"/>
      <c r="EO45" s="643"/>
      <c r="EP45" s="643"/>
      <c r="EQ45" s="643"/>
      <c r="ER45" s="643"/>
      <c r="ES45" s="643"/>
      <c r="ET45" s="643"/>
      <c r="EU45" s="643"/>
      <c r="EV45" s="643"/>
      <c r="EW45" s="643"/>
      <c r="EX45" s="643"/>
      <c r="EY45" s="643"/>
      <c r="EZ45" s="643"/>
      <c r="FA45" s="643"/>
      <c r="FB45" s="643"/>
      <c r="FC45" s="643"/>
      <c r="FD45" s="643"/>
      <c r="FE45" s="643"/>
      <c r="FF45" s="643"/>
      <c r="FG45" s="643"/>
      <c r="FH45" s="643"/>
      <c r="FI45" s="643"/>
      <c r="FJ45" s="643"/>
      <c r="FK45" s="643"/>
      <c r="FL45" s="643"/>
      <c r="FM45" s="643"/>
      <c r="FN45" s="643"/>
      <c r="FO45" s="643"/>
      <c r="FP45" s="643"/>
      <c r="FQ45" s="643"/>
      <c r="FR45" s="643"/>
      <c r="FS45" s="643"/>
      <c r="FT45" s="643"/>
      <c r="FU45" s="643"/>
      <c r="FV45" s="643"/>
      <c r="FW45" s="643"/>
      <c r="FX45" s="643"/>
      <c r="FY45" s="643"/>
      <c r="FZ45" s="643"/>
      <c r="GA45" s="643"/>
      <c r="GB45" s="643"/>
      <c r="GC45" s="643"/>
      <c r="GD45" s="643"/>
      <c r="GE45" s="643"/>
      <c r="GF45" s="643"/>
      <c r="GG45" s="643"/>
      <c r="GH45" s="643"/>
      <c r="GI45" s="643"/>
      <c r="GJ45" s="643"/>
      <c r="GK45" s="643"/>
      <c r="GL45" s="643"/>
      <c r="GM45" s="643"/>
      <c r="GN45" s="643"/>
      <c r="GO45" s="643"/>
      <c r="GP45" s="643"/>
      <c r="GQ45" s="643"/>
      <c r="GR45" s="643"/>
      <c r="GS45" s="643"/>
      <c r="GT45" s="643"/>
      <c r="GU45" s="643"/>
      <c r="GV45" s="643"/>
      <c r="GW45" s="643"/>
      <c r="GX45" s="643"/>
      <c r="GY45" s="643"/>
      <c r="GZ45" s="643"/>
      <c r="HA45" s="643"/>
      <c r="HB45" s="643"/>
      <c r="HC45" s="643"/>
      <c r="HD45" s="643"/>
      <c r="HE45" s="643"/>
      <c r="HF45" s="643"/>
      <c r="HG45" s="643"/>
      <c r="HH45" s="643"/>
      <c r="HI45" s="643"/>
      <c r="HJ45" s="643"/>
      <c r="HK45" s="643"/>
      <c r="HL45" s="643"/>
      <c r="HM45" s="643"/>
      <c r="HN45" s="643"/>
      <c r="HO45" s="643"/>
      <c r="HP45" s="643"/>
      <c r="HQ45" s="643"/>
      <c r="HR45" s="643"/>
      <c r="HS45" s="643"/>
      <c r="HT45" s="643"/>
      <c r="HU45" s="643"/>
      <c r="HV45" s="643"/>
      <c r="HW45" s="643"/>
      <c r="HX45" s="643"/>
      <c r="HY45" s="643"/>
      <c r="HZ45" s="643"/>
      <c r="IA45" s="643"/>
      <c r="IB45" s="643"/>
      <c r="IC45" s="643"/>
      <c r="ID45" s="643"/>
      <c r="IE45" s="643"/>
      <c r="IF45" s="643"/>
      <c r="IG45" s="643"/>
      <c r="IH45" s="643"/>
      <c r="II45" s="643"/>
      <c r="IJ45" s="643"/>
      <c r="IK45" s="643"/>
      <c r="IL45" s="643"/>
      <c r="IM45" s="643"/>
      <c r="IN45" s="643"/>
      <c r="IO45" s="643"/>
      <c r="IP45" s="643"/>
      <c r="IQ45" s="643"/>
      <c r="IR45" s="643"/>
      <c r="IS45" s="643"/>
      <c r="IT45" s="643"/>
      <c r="IU45" s="643"/>
      <c r="IV45" s="643"/>
      <c r="IW45" s="643"/>
      <c r="IX45" s="643"/>
      <c r="IY45" s="643"/>
    </row>
    <row r="46" spans="1:259" s="279" customFormat="1" ht="225">
      <c r="A46" s="621">
        <f>IF(B46&lt;&gt;"", COUNTA($B$2:B46), "")</f>
        <v>45</v>
      </c>
      <c r="B46" s="653" t="str">
        <f t="shared" si="3"/>
        <v>Opening</v>
      </c>
      <c r="C46" s="627">
        <v>45805</v>
      </c>
      <c r="D46" s="626" t="s">
        <v>2519</v>
      </c>
      <c r="E46" s="626" t="s">
        <v>2998</v>
      </c>
      <c r="F46" s="653" t="s">
        <v>1146</v>
      </c>
      <c r="G46" s="626" t="s">
        <v>1454</v>
      </c>
      <c r="H46" s="626" t="str" cm="1">
        <f t="array" ref="H46">_xlfn.IFS(
    G46="CDWE", "TNI - Transportation &amp; Installation",
    G46="Seaway7", "CTI - Cable T&amp;I",
    G46="LS Cable", "EXC - Export Cable",
    G46="Hellenic", "IAC - Inter Array Cable",
    TRUE, "")</f>
        <v>CTI - Cable T&amp;I</v>
      </c>
      <c r="I46" s="642" t="s">
        <v>3002</v>
      </c>
      <c r="J46" s="641" t="s">
        <v>2999</v>
      </c>
      <c r="K46" s="641" t="s">
        <v>3000</v>
      </c>
      <c r="L46" s="642" t="s">
        <v>3183</v>
      </c>
      <c r="M46" s="641" t="s">
        <v>3001</v>
      </c>
      <c r="N46" s="641" t="s">
        <v>2937</v>
      </c>
      <c r="O46" s="641" t="s">
        <v>1150</v>
      </c>
      <c r="P46" s="626" t="s">
        <v>1046</v>
      </c>
      <c r="Q46" s="626" t="s">
        <v>1046</v>
      </c>
      <c r="R46" s="626" t="s">
        <v>1046</v>
      </c>
      <c r="S46" s="626" t="s">
        <v>1046</v>
      </c>
      <c r="T46" s="626" t="s">
        <v>1046</v>
      </c>
      <c r="U46" s="626" t="s">
        <v>1046</v>
      </c>
      <c r="V46" s="626" t="s">
        <v>1046</v>
      </c>
      <c r="W46" s="626" t="s">
        <v>1046</v>
      </c>
      <c r="X46" s="626" t="s">
        <v>1046</v>
      </c>
      <c r="Y46" s="626" t="s">
        <v>1046</v>
      </c>
      <c r="Z46" s="626" t="s">
        <v>1046</v>
      </c>
      <c r="AA46" s="626" t="s">
        <v>1046</v>
      </c>
      <c r="AB46" s="626" t="s">
        <v>1046</v>
      </c>
      <c r="AC46" s="626" t="s">
        <v>1046</v>
      </c>
      <c r="AD46" s="626" t="s">
        <v>1046</v>
      </c>
      <c r="AE46" s="626" t="s">
        <v>1046</v>
      </c>
      <c r="AF46" s="626" t="s">
        <v>110</v>
      </c>
      <c r="AG46" s="621" t="s">
        <v>110</v>
      </c>
      <c r="AH46" s="643"/>
      <c r="AI46" s="455" t="str">
        <f t="shared" si="4"/>
        <v>May-2025</v>
      </c>
      <c r="AJ46" s="643"/>
      <c r="AK46" s="643"/>
      <c r="AL46" s="643"/>
      <c r="AM46" s="643"/>
      <c r="AN46" s="643"/>
      <c r="AO46" s="643"/>
      <c r="AP46" s="643"/>
      <c r="AQ46" s="643"/>
      <c r="AR46" s="643"/>
      <c r="AS46" s="643"/>
      <c r="AT46" s="643"/>
      <c r="AU46" s="643"/>
      <c r="AV46" s="643"/>
      <c r="AW46" s="643"/>
      <c r="AX46" s="643"/>
      <c r="AY46" s="643"/>
      <c r="AZ46" s="643"/>
      <c r="BA46" s="643"/>
      <c r="BB46" s="643"/>
      <c r="BC46" s="643"/>
      <c r="BD46" s="643"/>
      <c r="BE46" s="643"/>
      <c r="BF46" s="643"/>
      <c r="BG46" s="643"/>
      <c r="BH46" s="643"/>
      <c r="BI46" s="643"/>
      <c r="BJ46" s="643"/>
      <c r="BK46" s="643"/>
      <c r="BL46" s="643"/>
      <c r="BM46" s="643"/>
      <c r="BN46" s="643"/>
      <c r="BO46" s="643"/>
      <c r="BP46" s="643"/>
      <c r="BQ46" s="643"/>
      <c r="BR46" s="643"/>
      <c r="BS46" s="643"/>
      <c r="BT46" s="643"/>
      <c r="BU46" s="643"/>
      <c r="BV46" s="643"/>
      <c r="BW46" s="643"/>
      <c r="BX46" s="643"/>
      <c r="BY46" s="643"/>
      <c r="BZ46" s="643"/>
      <c r="CA46" s="643"/>
      <c r="CB46" s="643"/>
      <c r="CC46" s="643"/>
      <c r="CD46" s="643"/>
      <c r="CE46" s="643"/>
      <c r="CF46" s="643"/>
      <c r="CG46" s="643"/>
      <c r="CH46" s="643"/>
      <c r="CI46" s="643"/>
      <c r="CJ46" s="643"/>
      <c r="CK46" s="643"/>
      <c r="CL46" s="643"/>
      <c r="CM46" s="643"/>
      <c r="CN46" s="643"/>
      <c r="CO46" s="643"/>
      <c r="CP46" s="643"/>
      <c r="CQ46" s="643"/>
      <c r="CR46" s="643"/>
      <c r="CS46" s="643"/>
      <c r="CT46" s="643"/>
      <c r="CU46" s="643"/>
      <c r="CV46" s="643"/>
      <c r="CW46" s="643"/>
      <c r="CX46" s="643"/>
      <c r="CY46" s="643"/>
      <c r="CZ46" s="643"/>
      <c r="DA46" s="643"/>
      <c r="DB46" s="643"/>
      <c r="DC46" s="643"/>
      <c r="DD46" s="643"/>
      <c r="DE46" s="643"/>
      <c r="DF46" s="643"/>
      <c r="DG46" s="643"/>
      <c r="DH46" s="643"/>
      <c r="DI46" s="643"/>
      <c r="DJ46" s="643"/>
      <c r="DK46" s="643"/>
      <c r="DL46" s="643"/>
      <c r="DM46" s="643"/>
      <c r="DN46" s="643"/>
      <c r="DO46" s="643"/>
      <c r="DP46" s="643"/>
      <c r="DQ46" s="643"/>
      <c r="DR46" s="643"/>
      <c r="DS46" s="643"/>
      <c r="DT46" s="643"/>
      <c r="DU46" s="643"/>
      <c r="DV46" s="643"/>
      <c r="DW46" s="643"/>
      <c r="DX46" s="643"/>
      <c r="DY46" s="643"/>
      <c r="DZ46" s="643"/>
      <c r="EA46" s="643"/>
      <c r="EB46" s="643"/>
      <c r="EC46" s="643"/>
      <c r="ED46" s="643"/>
      <c r="EE46" s="643"/>
      <c r="EF46" s="643"/>
      <c r="EG46" s="643"/>
      <c r="EH46" s="643"/>
      <c r="EI46" s="643"/>
      <c r="EJ46" s="643"/>
      <c r="EK46" s="643"/>
      <c r="EL46" s="643"/>
      <c r="EM46" s="643"/>
      <c r="EN46" s="643"/>
      <c r="EO46" s="643"/>
      <c r="EP46" s="643"/>
      <c r="EQ46" s="643"/>
      <c r="ER46" s="643"/>
      <c r="ES46" s="643"/>
      <c r="ET46" s="643"/>
      <c r="EU46" s="643"/>
      <c r="EV46" s="643"/>
      <c r="EW46" s="643"/>
      <c r="EX46" s="643"/>
      <c r="EY46" s="643"/>
      <c r="EZ46" s="643"/>
      <c r="FA46" s="643"/>
      <c r="FB46" s="643"/>
      <c r="FC46" s="643"/>
      <c r="FD46" s="643"/>
      <c r="FE46" s="643"/>
      <c r="FF46" s="643"/>
      <c r="FG46" s="643"/>
      <c r="FH46" s="643"/>
      <c r="FI46" s="643"/>
      <c r="FJ46" s="643"/>
      <c r="FK46" s="643"/>
      <c r="FL46" s="643"/>
      <c r="FM46" s="643"/>
      <c r="FN46" s="643"/>
      <c r="FO46" s="643"/>
      <c r="FP46" s="643"/>
      <c r="FQ46" s="643"/>
      <c r="FR46" s="643"/>
      <c r="FS46" s="643"/>
      <c r="FT46" s="643"/>
      <c r="FU46" s="643"/>
      <c r="FV46" s="643"/>
      <c r="FW46" s="643"/>
      <c r="FX46" s="643"/>
      <c r="FY46" s="643"/>
      <c r="FZ46" s="643"/>
      <c r="GA46" s="643"/>
      <c r="GB46" s="643"/>
      <c r="GC46" s="643"/>
      <c r="GD46" s="643"/>
      <c r="GE46" s="643"/>
      <c r="GF46" s="643"/>
      <c r="GG46" s="643"/>
      <c r="GH46" s="643"/>
      <c r="GI46" s="643"/>
      <c r="GJ46" s="643"/>
      <c r="GK46" s="643"/>
      <c r="GL46" s="643"/>
      <c r="GM46" s="643"/>
      <c r="GN46" s="643"/>
      <c r="GO46" s="643"/>
      <c r="GP46" s="643"/>
      <c r="GQ46" s="643"/>
      <c r="GR46" s="643"/>
      <c r="GS46" s="643"/>
      <c r="GT46" s="643"/>
      <c r="GU46" s="643"/>
      <c r="GV46" s="643"/>
      <c r="GW46" s="643"/>
      <c r="GX46" s="643"/>
      <c r="GY46" s="643"/>
      <c r="GZ46" s="643"/>
      <c r="HA46" s="643"/>
      <c r="HB46" s="643"/>
      <c r="HC46" s="643"/>
      <c r="HD46" s="643"/>
      <c r="HE46" s="643"/>
      <c r="HF46" s="643"/>
      <c r="HG46" s="643"/>
      <c r="HH46" s="643"/>
      <c r="HI46" s="643"/>
      <c r="HJ46" s="643"/>
      <c r="HK46" s="643"/>
      <c r="HL46" s="643"/>
      <c r="HM46" s="643"/>
      <c r="HN46" s="643"/>
      <c r="HO46" s="643"/>
      <c r="HP46" s="643"/>
      <c r="HQ46" s="643"/>
      <c r="HR46" s="643"/>
      <c r="HS46" s="643"/>
      <c r="HT46" s="643"/>
      <c r="HU46" s="643"/>
      <c r="HV46" s="643"/>
      <c r="HW46" s="643"/>
      <c r="HX46" s="643"/>
      <c r="HY46" s="643"/>
      <c r="HZ46" s="643"/>
      <c r="IA46" s="643"/>
      <c r="IB46" s="643"/>
      <c r="IC46" s="643"/>
      <c r="ID46" s="643"/>
      <c r="IE46" s="643"/>
      <c r="IF46" s="643"/>
      <c r="IG46" s="643"/>
      <c r="IH46" s="643"/>
      <c r="II46" s="643"/>
      <c r="IJ46" s="643"/>
      <c r="IK46" s="643"/>
      <c r="IL46" s="643"/>
      <c r="IM46" s="643"/>
      <c r="IN46" s="643"/>
      <c r="IO46" s="643"/>
      <c r="IP46" s="643"/>
      <c r="IQ46" s="643"/>
      <c r="IR46" s="643"/>
      <c r="IS46" s="643"/>
      <c r="IT46" s="643"/>
      <c r="IU46" s="643"/>
      <c r="IV46" s="643"/>
      <c r="IW46" s="643"/>
      <c r="IX46" s="643"/>
      <c r="IY46" s="643"/>
    </row>
    <row r="47" spans="1:259" s="279" customFormat="1" ht="409.5" customHeight="1">
      <c r="A47" s="621">
        <f>IF(B47&lt;&gt;"", COUNTA($B$2:B47), "")</f>
        <v>46</v>
      </c>
      <c r="B47" s="621" t="str">
        <f t="shared" si="3"/>
        <v>Closed</v>
      </c>
      <c r="C47" s="627">
        <v>45463</v>
      </c>
      <c r="D47" s="622">
        <v>45904</v>
      </c>
      <c r="E47" s="621" t="s">
        <v>1490</v>
      </c>
      <c r="F47" s="621" t="s">
        <v>1094</v>
      </c>
      <c r="G47" s="621" t="s">
        <v>1454</v>
      </c>
      <c r="H47" s="621" t="str" cm="1">
        <f t="array" ref="H47">_xlfn.IFS(
    G47="CDWE", "TNI - Transportation &amp; Installation",
    G47="Seaway7", "CTI - Cable T&amp;I",
    G47="LS Cable", "EXC - Export Cable",
    G47="Hellenic", "IAC - Inter Array Cable",
    TRUE, "")</f>
        <v>CTI - Cable T&amp;I</v>
      </c>
      <c r="I47" s="453" t="s">
        <v>3260</v>
      </c>
      <c r="J47" s="623" t="s">
        <v>1491</v>
      </c>
      <c r="K47" s="453" t="s">
        <v>1487</v>
      </c>
      <c r="L47" s="453" t="s">
        <v>2505</v>
      </c>
      <c r="M47" s="621" t="s">
        <v>2506</v>
      </c>
      <c r="N47" s="621" t="s">
        <v>1466</v>
      </c>
      <c r="O47" s="621" t="s">
        <v>1492</v>
      </c>
      <c r="P47" s="621" t="s">
        <v>2507</v>
      </c>
      <c r="Q47" s="623" t="s">
        <v>1100</v>
      </c>
      <c r="R47" s="621" t="s">
        <v>1142</v>
      </c>
      <c r="S47" s="621" t="s">
        <v>1102</v>
      </c>
      <c r="T47" s="453" t="s">
        <v>4089</v>
      </c>
      <c r="U47" s="453" t="s">
        <v>4088</v>
      </c>
      <c r="V47" s="633" t="s">
        <v>4090</v>
      </c>
      <c r="W47" s="453" t="s">
        <v>4091</v>
      </c>
      <c r="X47" s="633" t="s">
        <v>4092</v>
      </c>
      <c r="Y47" s="633" t="s">
        <v>4093</v>
      </c>
      <c r="Z47" s="633" t="s">
        <v>4094</v>
      </c>
      <c r="AA47" s="621" t="s">
        <v>4095</v>
      </c>
      <c r="AB47" s="623" t="s">
        <v>4096</v>
      </c>
      <c r="AC47" s="621" t="s">
        <v>110</v>
      </c>
      <c r="AD47" s="621" t="s">
        <v>110</v>
      </c>
      <c r="AE47" s="621" t="s">
        <v>110</v>
      </c>
      <c r="AF47" s="621" t="s">
        <v>1105</v>
      </c>
      <c r="AG47" s="621" t="s">
        <v>1105</v>
      </c>
      <c r="AI47" s="455" t="str">
        <f t="shared" si="4"/>
        <v>Jun-2024</v>
      </c>
    </row>
    <row r="48" spans="1:259" s="279" customFormat="1" ht="195">
      <c r="A48" s="621">
        <f>IF(B48&lt;&gt;"", COUNTA($B$2:B48), "")</f>
        <v>47</v>
      </c>
      <c r="B48" s="621" t="str">
        <f t="shared" si="3"/>
        <v>Closed</v>
      </c>
      <c r="C48" s="627">
        <v>45441</v>
      </c>
      <c r="D48" s="622" t="s">
        <v>148</v>
      </c>
      <c r="E48" s="621" t="s">
        <v>1507</v>
      </c>
      <c r="F48" s="621" t="s">
        <v>1094</v>
      </c>
      <c r="G48" s="621" t="s">
        <v>1161</v>
      </c>
      <c r="H48" s="621" t="str" cm="1">
        <f t="array" ref="H48">_xlfn.IFS(
    G48="CDWE", "TNI - Transportation &amp; Installation",
    G48="Seaway7", "CTI - Cable T&amp;I",
    G48="LS Cable", "EXC - Export Cable",
    G48="Hellenic", "IAC - Inter Array Cable",
    TRUE, "")</f>
        <v>EXC - Export Cable</v>
      </c>
      <c r="I48" s="456" t="s">
        <v>3049</v>
      </c>
      <c r="J48" s="634" t="s">
        <v>1508</v>
      </c>
      <c r="K48" s="623" t="s">
        <v>1509</v>
      </c>
      <c r="L48" s="453" t="s">
        <v>1510</v>
      </c>
      <c r="M48" s="621" t="s">
        <v>1511</v>
      </c>
      <c r="N48" s="621" t="s">
        <v>1512</v>
      </c>
      <c r="O48" s="621" t="s">
        <v>1165</v>
      </c>
      <c r="P48" s="621" t="s">
        <v>1513</v>
      </c>
      <c r="Q48" s="621" t="s">
        <v>1100</v>
      </c>
      <c r="R48" s="621" t="s">
        <v>1120</v>
      </c>
      <c r="S48" s="621" t="s">
        <v>311</v>
      </c>
      <c r="T48" s="621" t="s">
        <v>148</v>
      </c>
      <c r="U48" s="453" t="s">
        <v>2498</v>
      </c>
      <c r="V48" s="453" t="s">
        <v>2499</v>
      </c>
      <c r="W48" s="621" t="s">
        <v>2500</v>
      </c>
      <c r="X48" s="453" t="s">
        <v>2501</v>
      </c>
      <c r="Y48" s="453" t="s">
        <v>2502</v>
      </c>
      <c r="Z48" s="453" t="s">
        <v>2503</v>
      </c>
      <c r="AA48" s="621" t="s">
        <v>1515</v>
      </c>
      <c r="AB48" s="453" t="s">
        <v>1516</v>
      </c>
      <c r="AC48" s="621" t="s">
        <v>110</v>
      </c>
      <c r="AD48" s="621" t="s">
        <v>110</v>
      </c>
      <c r="AE48" s="621" t="s">
        <v>110</v>
      </c>
      <c r="AF48" s="621" t="s">
        <v>1105</v>
      </c>
      <c r="AG48" s="621" t="s">
        <v>1105</v>
      </c>
      <c r="AI48" s="455" t="str">
        <f t="shared" si="4"/>
        <v>May-2024</v>
      </c>
    </row>
    <row r="49" spans="1:259" s="279" customFormat="1" ht="240">
      <c r="A49" s="621">
        <f>IF(B49&lt;&gt;"", COUNTA($B$2:B49), "")</f>
        <v>48</v>
      </c>
      <c r="B49" s="621" t="str">
        <f t="shared" si="3"/>
        <v>Closed</v>
      </c>
      <c r="C49" s="627">
        <v>45442</v>
      </c>
      <c r="D49" s="627">
        <v>45602</v>
      </c>
      <c r="E49" s="621" t="s">
        <v>2478</v>
      </c>
      <c r="F49" s="621" t="s">
        <v>1146</v>
      </c>
      <c r="G49" s="621" t="s">
        <v>1454</v>
      </c>
      <c r="H49" s="621" t="str" cm="1">
        <f t="array" ref="H49">_xlfn.IFS(
    G49="CDWE", "TNI - Transportation &amp; Installation",
    G49="Seaway7", "CTI - Cable T&amp;I",
    G49="LS Cable", "EXC - Export Cable",
    G49="Hellenic", "IAC - Inter Array Cable",
    TRUE, "")</f>
        <v>CTI - Cable T&amp;I</v>
      </c>
      <c r="I49" s="456" t="s">
        <v>3047</v>
      </c>
      <c r="J49" s="623" t="s">
        <v>1486</v>
      </c>
      <c r="K49" s="623" t="s">
        <v>1487</v>
      </c>
      <c r="L49" s="453" t="s">
        <v>1488</v>
      </c>
      <c r="M49" s="621" t="s">
        <v>1489</v>
      </c>
      <c r="N49" s="621" t="s">
        <v>1466</v>
      </c>
      <c r="O49" s="621" t="s">
        <v>1454</v>
      </c>
      <c r="P49" s="621" t="s">
        <v>1046</v>
      </c>
      <c r="Q49" s="623" t="s">
        <v>1100</v>
      </c>
      <c r="R49" s="621" t="s">
        <v>1046</v>
      </c>
      <c r="S49" s="621" t="s">
        <v>1102</v>
      </c>
      <c r="T49" s="621" t="s">
        <v>1046</v>
      </c>
      <c r="U49" s="621" t="s">
        <v>1046</v>
      </c>
      <c r="V49" s="621" t="s">
        <v>1046</v>
      </c>
      <c r="W49" s="621" t="s">
        <v>1046</v>
      </c>
      <c r="X49" s="621" t="s">
        <v>1046</v>
      </c>
      <c r="Y49" s="621" t="s">
        <v>1046</v>
      </c>
      <c r="Z49" s="621" t="s">
        <v>1046</v>
      </c>
      <c r="AA49" s="621" t="s">
        <v>1046</v>
      </c>
      <c r="AB49" s="621" t="s">
        <v>1046</v>
      </c>
      <c r="AC49" s="621" t="s">
        <v>1046</v>
      </c>
      <c r="AD49" s="621" t="s">
        <v>1046</v>
      </c>
      <c r="AE49" s="621" t="s">
        <v>1046</v>
      </c>
      <c r="AF49" s="621" t="s">
        <v>1105</v>
      </c>
      <c r="AG49" s="621" t="s">
        <v>1105</v>
      </c>
      <c r="AI49" s="632" t="str">
        <f t="shared" si="4"/>
        <v>May-2024</v>
      </c>
    </row>
    <row r="50" spans="1:259" s="279" customFormat="1" ht="345">
      <c r="A50" s="621">
        <f>IF(B50&lt;&gt;"", COUNTA($B$2:B50), "")</f>
        <v>49</v>
      </c>
      <c r="B50" s="621" t="str">
        <f t="shared" si="3"/>
        <v>Closed</v>
      </c>
      <c r="C50" s="627">
        <v>45559</v>
      </c>
      <c r="D50" s="645">
        <v>45989</v>
      </c>
      <c r="E50" s="626" t="s">
        <v>2469</v>
      </c>
      <c r="F50" s="653" t="s">
        <v>1146</v>
      </c>
      <c r="G50" s="626" t="s">
        <v>1454</v>
      </c>
      <c r="H50" s="626" t="str" cm="1">
        <f t="array" ref="H50">_xlfn.IFS(
    G50="CDWE", "TNI - Transportation &amp; Installation",
    G50="Seaway7", "CTI - Cable T&amp;I",
    G50="LS Cable", "EXC - Export Cable",
    G50="Hellenic", "IAC - Inter Array Cable",
    TRUE, "")</f>
        <v>CTI - Cable T&amp;I</v>
      </c>
      <c r="I50" s="635" t="s">
        <v>2570</v>
      </c>
      <c r="J50" s="641" t="s">
        <v>2472</v>
      </c>
      <c r="K50" s="642" t="s">
        <v>2475</v>
      </c>
      <c r="L50" s="642" t="s">
        <v>2476</v>
      </c>
      <c r="M50" s="641"/>
      <c r="N50" s="641" t="s">
        <v>2473</v>
      </c>
      <c r="O50" s="641" t="s">
        <v>1150</v>
      </c>
      <c r="P50" s="641" t="s">
        <v>2474</v>
      </c>
      <c r="Q50" s="641" t="s">
        <v>1151</v>
      </c>
      <c r="R50" s="641" t="s">
        <v>148</v>
      </c>
      <c r="S50" s="641" t="s">
        <v>1102</v>
      </c>
      <c r="T50" s="641" t="s">
        <v>148</v>
      </c>
      <c r="U50" s="641" t="s">
        <v>148</v>
      </c>
      <c r="V50" s="641" t="s">
        <v>148</v>
      </c>
      <c r="W50" s="641" t="s">
        <v>148</v>
      </c>
      <c r="X50" s="642" t="s">
        <v>148</v>
      </c>
      <c r="Y50" s="642" t="s">
        <v>148</v>
      </c>
      <c r="Z50" s="641" t="s">
        <v>148</v>
      </c>
      <c r="AA50" s="641" t="s">
        <v>148</v>
      </c>
      <c r="AB50" s="641" t="s">
        <v>148</v>
      </c>
      <c r="AC50" s="626" t="s">
        <v>148</v>
      </c>
      <c r="AD50" s="626" t="s">
        <v>148</v>
      </c>
      <c r="AE50" s="626" t="s">
        <v>148</v>
      </c>
      <c r="AF50" s="626" t="s">
        <v>1105</v>
      </c>
      <c r="AG50" s="621" t="s">
        <v>1105</v>
      </c>
      <c r="AH50" s="643" t="s">
        <v>4620</v>
      </c>
      <c r="AI50" s="632" t="str">
        <f t="shared" si="4"/>
        <v>Sep-2024</v>
      </c>
      <c r="AJ50" s="643"/>
      <c r="AK50" s="643"/>
      <c r="AL50" s="643"/>
      <c r="AM50" s="643"/>
      <c r="AN50" s="643"/>
      <c r="AO50" s="643"/>
      <c r="AP50" s="643"/>
      <c r="AQ50" s="643"/>
      <c r="AR50" s="643"/>
      <c r="AS50" s="643"/>
      <c r="AT50" s="643"/>
      <c r="AU50" s="643"/>
      <c r="AV50" s="643"/>
      <c r="AW50" s="643"/>
      <c r="AX50" s="643"/>
      <c r="AY50" s="643"/>
      <c r="AZ50" s="643"/>
      <c r="BA50" s="643"/>
      <c r="BB50" s="643"/>
      <c r="BC50" s="643"/>
      <c r="BD50" s="643"/>
      <c r="BE50" s="643"/>
      <c r="BF50" s="643"/>
      <c r="BG50" s="643"/>
      <c r="BH50" s="643"/>
      <c r="BI50" s="643"/>
      <c r="BJ50" s="643"/>
      <c r="BK50" s="643"/>
      <c r="BL50" s="643"/>
      <c r="BM50" s="643"/>
      <c r="BN50" s="643"/>
      <c r="BO50" s="643"/>
      <c r="BP50" s="643"/>
      <c r="BQ50" s="643"/>
      <c r="BR50" s="643"/>
      <c r="BS50" s="643"/>
      <c r="BT50" s="643"/>
      <c r="BU50" s="643"/>
      <c r="BV50" s="643"/>
      <c r="BW50" s="643"/>
      <c r="BX50" s="643"/>
      <c r="BY50" s="643"/>
      <c r="BZ50" s="643"/>
      <c r="CA50" s="643"/>
      <c r="CB50" s="643"/>
      <c r="CC50" s="643"/>
      <c r="CD50" s="643"/>
      <c r="CE50" s="643"/>
      <c r="CF50" s="643"/>
      <c r="CG50" s="643"/>
      <c r="CH50" s="643"/>
      <c r="CI50" s="643"/>
      <c r="CJ50" s="643"/>
      <c r="CK50" s="643"/>
      <c r="CL50" s="643"/>
      <c r="CM50" s="643"/>
      <c r="CN50" s="643"/>
      <c r="CO50" s="643"/>
      <c r="CP50" s="643"/>
      <c r="CQ50" s="643"/>
      <c r="CR50" s="643"/>
      <c r="CS50" s="643"/>
      <c r="CT50" s="643"/>
      <c r="CU50" s="643"/>
      <c r="CV50" s="643"/>
      <c r="CW50" s="643"/>
      <c r="CX50" s="643"/>
      <c r="CY50" s="643"/>
      <c r="CZ50" s="643"/>
      <c r="DA50" s="643"/>
      <c r="DB50" s="643"/>
      <c r="DC50" s="643"/>
      <c r="DD50" s="643"/>
      <c r="DE50" s="643"/>
      <c r="DF50" s="643"/>
      <c r="DG50" s="643"/>
      <c r="DH50" s="643"/>
      <c r="DI50" s="643"/>
      <c r="DJ50" s="643"/>
      <c r="DK50" s="643"/>
      <c r="DL50" s="643"/>
      <c r="DM50" s="643"/>
      <c r="DN50" s="643"/>
      <c r="DO50" s="643"/>
      <c r="DP50" s="643"/>
      <c r="DQ50" s="643"/>
      <c r="DR50" s="643"/>
      <c r="DS50" s="643"/>
      <c r="DT50" s="643"/>
      <c r="DU50" s="643"/>
      <c r="DV50" s="643"/>
      <c r="DW50" s="643"/>
      <c r="DX50" s="643"/>
      <c r="DY50" s="643"/>
      <c r="DZ50" s="643"/>
      <c r="EA50" s="643"/>
      <c r="EB50" s="643"/>
      <c r="EC50" s="643"/>
      <c r="ED50" s="643"/>
      <c r="EE50" s="643"/>
      <c r="EF50" s="643"/>
      <c r="EG50" s="643"/>
      <c r="EH50" s="643"/>
      <c r="EI50" s="643"/>
      <c r="EJ50" s="643"/>
      <c r="EK50" s="643"/>
      <c r="EL50" s="643"/>
      <c r="EM50" s="643"/>
      <c r="EN50" s="643"/>
      <c r="EO50" s="643"/>
      <c r="EP50" s="643"/>
      <c r="EQ50" s="643"/>
      <c r="ER50" s="643"/>
      <c r="ES50" s="643"/>
      <c r="ET50" s="643"/>
      <c r="EU50" s="643"/>
      <c r="EV50" s="643"/>
      <c r="EW50" s="643"/>
      <c r="EX50" s="643"/>
      <c r="EY50" s="643"/>
      <c r="EZ50" s="643"/>
      <c r="FA50" s="643"/>
      <c r="FB50" s="643"/>
      <c r="FC50" s="643"/>
      <c r="FD50" s="643"/>
      <c r="FE50" s="643"/>
      <c r="FF50" s="643"/>
      <c r="FG50" s="643"/>
      <c r="FH50" s="643"/>
      <c r="FI50" s="643"/>
      <c r="FJ50" s="643"/>
      <c r="FK50" s="643"/>
      <c r="FL50" s="643"/>
      <c r="FM50" s="643"/>
      <c r="FN50" s="643"/>
      <c r="FO50" s="643"/>
      <c r="FP50" s="643"/>
      <c r="FQ50" s="643"/>
      <c r="FR50" s="643"/>
      <c r="FS50" s="643"/>
      <c r="FT50" s="643"/>
      <c r="FU50" s="643"/>
      <c r="FV50" s="643"/>
      <c r="FW50" s="643"/>
      <c r="FX50" s="643"/>
      <c r="FY50" s="643"/>
      <c r="FZ50" s="643"/>
      <c r="GA50" s="643"/>
      <c r="GB50" s="643"/>
      <c r="GC50" s="643"/>
      <c r="GD50" s="643"/>
      <c r="GE50" s="643"/>
      <c r="GF50" s="643"/>
      <c r="GG50" s="643"/>
      <c r="GH50" s="643"/>
      <c r="GI50" s="643"/>
      <c r="GJ50" s="643"/>
      <c r="GK50" s="643"/>
      <c r="GL50" s="643"/>
      <c r="GM50" s="643"/>
      <c r="GN50" s="643"/>
      <c r="GO50" s="643"/>
      <c r="GP50" s="643"/>
      <c r="GQ50" s="643"/>
      <c r="GR50" s="643"/>
      <c r="GS50" s="643"/>
      <c r="GT50" s="643"/>
      <c r="GU50" s="643"/>
      <c r="GV50" s="643"/>
      <c r="GW50" s="643"/>
      <c r="GX50" s="643"/>
      <c r="GY50" s="643"/>
      <c r="GZ50" s="643"/>
      <c r="HA50" s="643"/>
      <c r="HB50" s="643"/>
      <c r="HC50" s="643"/>
      <c r="HD50" s="643"/>
      <c r="HE50" s="643"/>
      <c r="HF50" s="643"/>
      <c r="HG50" s="643"/>
      <c r="HH50" s="643"/>
      <c r="HI50" s="643"/>
      <c r="HJ50" s="643"/>
      <c r="HK50" s="643"/>
      <c r="HL50" s="643"/>
      <c r="HM50" s="643"/>
      <c r="HN50" s="643"/>
      <c r="HO50" s="643"/>
      <c r="HP50" s="643"/>
      <c r="HQ50" s="643"/>
      <c r="HR50" s="643"/>
      <c r="HS50" s="643"/>
      <c r="HT50" s="643"/>
      <c r="HU50" s="643"/>
      <c r="HV50" s="643"/>
      <c r="HW50" s="643"/>
      <c r="HX50" s="643"/>
      <c r="HY50" s="643"/>
      <c r="HZ50" s="643"/>
      <c r="IA50" s="643"/>
      <c r="IB50" s="643"/>
      <c r="IC50" s="643"/>
      <c r="ID50" s="643"/>
      <c r="IE50" s="643"/>
      <c r="IF50" s="643"/>
      <c r="IG50" s="643"/>
      <c r="IH50" s="643"/>
      <c r="II50" s="643"/>
      <c r="IJ50" s="643"/>
      <c r="IK50" s="643"/>
      <c r="IL50" s="643"/>
      <c r="IM50" s="643"/>
      <c r="IN50" s="643"/>
      <c r="IO50" s="643"/>
      <c r="IP50" s="643"/>
      <c r="IQ50" s="643"/>
      <c r="IR50" s="643"/>
      <c r="IS50" s="643"/>
      <c r="IT50" s="643"/>
      <c r="IU50" s="643"/>
      <c r="IV50" s="643"/>
      <c r="IW50" s="643"/>
      <c r="IX50" s="643"/>
      <c r="IY50" s="643"/>
    </row>
    <row r="51" spans="1:259" s="279" customFormat="1" ht="409.5">
      <c r="A51" s="621">
        <f>IF(B51&lt;&gt;"", COUNTA($B$2:B51), "")</f>
        <v>50</v>
      </c>
      <c r="B51" s="621" t="str">
        <f t="shared" si="3"/>
        <v>Closed</v>
      </c>
      <c r="C51" s="627">
        <v>45443</v>
      </c>
      <c r="D51" s="622">
        <v>45705</v>
      </c>
      <c r="E51" s="621" t="s">
        <v>1029</v>
      </c>
      <c r="F51" s="626" t="str">
        <f>IF(ISNUMBER(SEARCH("RFNCR", E51)), "Request for NCR", IF(ISNUMBER(SEARCH("NCR", E51)), "Non-Conformance Report", ""))</f>
        <v>Non-Conformance Report</v>
      </c>
      <c r="G51" s="621" t="s">
        <v>1045</v>
      </c>
      <c r="H51" s="621" t="str" cm="1">
        <f t="array" ref="H51">_xlfn.IFS(
    G51="CDWE", "TNI - Transportation &amp; Installation",
    G51="Seaway7", "CTI - Cable T&amp;I",
    G51="LS Cable", "EXC - Export Cable",
    G51="Hellenic", "IAC - Inter Array Cable",
    TRUE, "")</f>
        <v>TNI - Transportation &amp; Installation</v>
      </c>
      <c r="I51" s="453" t="s">
        <v>1529</v>
      </c>
      <c r="J51" s="623" t="s">
        <v>1522</v>
      </c>
      <c r="K51" s="624" t="s">
        <v>1523</v>
      </c>
      <c r="L51" s="453" t="s">
        <v>1524</v>
      </c>
      <c r="M51" s="621" t="s">
        <v>1525</v>
      </c>
      <c r="N51" s="621" t="s">
        <v>1099</v>
      </c>
      <c r="O51" s="621" t="s">
        <v>1099</v>
      </c>
      <c r="P51" s="621" t="s">
        <v>1526</v>
      </c>
      <c r="Q51" s="623" t="s">
        <v>1100</v>
      </c>
      <c r="R51" s="621" t="s">
        <v>1101</v>
      </c>
      <c r="S51" s="621" t="s">
        <v>1102</v>
      </c>
      <c r="T51" s="621" t="s">
        <v>2633</v>
      </c>
      <c r="U51" s="453" t="s">
        <v>2634</v>
      </c>
      <c r="V51" s="453" t="s">
        <v>2635</v>
      </c>
      <c r="W51" s="621" t="s">
        <v>1527</v>
      </c>
      <c r="X51" s="453" t="s">
        <v>1528</v>
      </c>
      <c r="Y51" s="453" t="s">
        <v>2636</v>
      </c>
      <c r="Z51" s="453" t="s">
        <v>2637</v>
      </c>
      <c r="AA51" s="621" t="s">
        <v>1449</v>
      </c>
      <c r="AB51" s="453" t="s">
        <v>2638</v>
      </c>
      <c r="AC51" s="621" t="s">
        <v>1105</v>
      </c>
      <c r="AD51" s="621" t="s">
        <v>110</v>
      </c>
      <c r="AE51" s="621" t="s">
        <v>110</v>
      </c>
      <c r="AF51" s="621" t="s">
        <v>1105</v>
      </c>
      <c r="AG51" s="621" t="s">
        <v>1105</v>
      </c>
      <c r="AI51" s="455" t="str">
        <f t="shared" si="4"/>
        <v>May-2024</v>
      </c>
    </row>
    <row r="52" spans="1:259" s="279" customFormat="1" ht="150">
      <c r="A52" s="621">
        <f>IF(B52&lt;&gt;"", COUNTA($B$2:B52), "")</f>
        <v>51</v>
      </c>
      <c r="B52" s="621" t="str">
        <f t="shared" si="3"/>
        <v>Closed</v>
      </c>
      <c r="C52" s="627">
        <v>45456</v>
      </c>
      <c r="D52" s="622" t="s">
        <v>148</v>
      </c>
      <c r="E52" s="621" t="s">
        <v>1530</v>
      </c>
      <c r="F52" s="621" t="s">
        <v>1094</v>
      </c>
      <c r="G52" s="621" t="s">
        <v>1045</v>
      </c>
      <c r="H52" s="621" t="str" cm="1">
        <f t="array" ref="H52">_xlfn.IFS(
    G52="CDWE", "TNI - Transportation &amp; Installation",
    G52="Seaway7", "CTI - Cable T&amp;I",
    G52="LS Cable", "EXC - Export Cable",
    G52="Hellenic", "IAC - Inter Array Cable",
    TRUE, "")</f>
        <v>TNI - Transportation &amp; Installation</v>
      </c>
      <c r="I52" s="453" t="s">
        <v>1539</v>
      </c>
      <c r="J52" s="623" t="s">
        <v>1531</v>
      </c>
      <c r="K52" s="624" t="s">
        <v>1532</v>
      </c>
      <c r="L52" s="453" t="s">
        <v>1533</v>
      </c>
      <c r="M52" s="621" t="s">
        <v>1534</v>
      </c>
      <c r="N52" s="621" t="s">
        <v>1118</v>
      </c>
      <c r="O52" s="621" t="s">
        <v>1118</v>
      </c>
      <c r="P52" s="621" t="s">
        <v>1535</v>
      </c>
      <c r="Q52" s="623" t="s">
        <v>1100</v>
      </c>
      <c r="R52" s="621" t="s">
        <v>1120</v>
      </c>
      <c r="S52" s="621" t="s">
        <v>311</v>
      </c>
      <c r="T52" s="621" t="s">
        <v>1536</v>
      </c>
      <c r="U52" s="453" t="s">
        <v>1493</v>
      </c>
      <c r="V52" s="623" t="s">
        <v>1046</v>
      </c>
      <c r="W52" s="621" t="s">
        <v>1546</v>
      </c>
      <c r="X52" s="453" t="s">
        <v>1547</v>
      </c>
      <c r="Y52" s="453" t="s">
        <v>1046</v>
      </c>
      <c r="Z52" s="628" t="s">
        <v>1046</v>
      </c>
      <c r="AA52" s="621" t="s">
        <v>1122</v>
      </c>
      <c r="AB52" s="621" t="s">
        <v>1538</v>
      </c>
      <c r="AC52" s="621" t="s">
        <v>110</v>
      </c>
      <c r="AD52" s="621" t="s">
        <v>110</v>
      </c>
      <c r="AE52" s="621" t="s">
        <v>110</v>
      </c>
      <c r="AF52" s="621" t="s">
        <v>1105</v>
      </c>
      <c r="AG52" s="621" t="s">
        <v>1105</v>
      </c>
      <c r="AI52" s="455" t="str">
        <f t="shared" si="4"/>
        <v>Jun-2024</v>
      </c>
    </row>
    <row r="53" spans="1:259" s="279" customFormat="1" ht="128.1" customHeight="1">
      <c r="A53" s="621">
        <f>IF(B53&lt;&gt;"", COUNTA($B$2:B53), "")</f>
        <v>52</v>
      </c>
      <c r="B53" s="621" t="str">
        <f t="shared" si="3"/>
        <v>Closed</v>
      </c>
      <c r="C53" s="627">
        <v>45170</v>
      </c>
      <c r="D53" s="622" t="s">
        <v>148</v>
      </c>
      <c r="E53" s="621" t="s">
        <v>1472</v>
      </c>
      <c r="F53" s="621" t="s">
        <v>1146</v>
      </c>
      <c r="G53" s="621" t="s">
        <v>1454</v>
      </c>
      <c r="H53" s="621" t="str" cm="1">
        <f t="array" ref="H53">_xlfn.IFS(
    G53="CDWE", "TNI - Transportation &amp; Installation",
    G53="Seaway7", "CTI - Cable T&amp;I",
    G53="LS Cable", "EXC - Export Cable",
    G53="Hellenic", "IAC - Inter Array Cable",
    TRUE, "")</f>
        <v>CTI - Cable T&amp;I</v>
      </c>
      <c r="I53" s="453" t="s">
        <v>1479</v>
      </c>
      <c r="J53" s="623" t="s">
        <v>1473</v>
      </c>
      <c r="K53" s="623" t="s">
        <v>1474</v>
      </c>
      <c r="L53" s="453" t="s">
        <v>1475</v>
      </c>
      <c r="M53" s="621" t="s">
        <v>1476</v>
      </c>
      <c r="N53" s="621" t="s">
        <v>1477</v>
      </c>
      <c r="O53" s="621" t="s">
        <v>1467</v>
      </c>
      <c r="P53" s="621" t="s">
        <v>1478</v>
      </c>
      <c r="Q53" s="623" t="s">
        <v>1100</v>
      </c>
      <c r="R53" s="621" t="s">
        <v>1046</v>
      </c>
      <c r="S53" s="621"/>
      <c r="T53" s="621" t="s">
        <v>1046</v>
      </c>
      <c r="U53" s="621" t="s">
        <v>1046</v>
      </c>
      <c r="V53" s="621" t="s">
        <v>1046</v>
      </c>
      <c r="W53" s="621" t="s">
        <v>1046</v>
      </c>
      <c r="X53" s="621" t="s">
        <v>1046</v>
      </c>
      <c r="Y53" s="621" t="s">
        <v>1046</v>
      </c>
      <c r="Z53" s="621" t="s">
        <v>1046</v>
      </c>
      <c r="AA53" s="621" t="s">
        <v>1046</v>
      </c>
      <c r="AB53" s="621" t="s">
        <v>1046</v>
      </c>
      <c r="AC53" s="621" t="s">
        <v>1046</v>
      </c>
      <c r="AD53" s="621" t="s">
        <v>1046</v>
      </c>
      <c r="AE53" s="621" t="s">
        <v>1046</v>
      </c>
      <c r="AF53" s="621" t="s">
        <v>1105</v>
      </c>
      <c r="AG53" s="621" t="s">
        <v>1105</v>
      </c>
      <c r="AI53" s="455" t="str">
        <f t="shared" si="4"/>
        <v>Sep-2023</v>
      </c>
    </row>
    <row r="54" spans="1:259" s="279" customFormat="1" ht="165">
      <c r="A54" s="621">
        <f>IF(B54&lt;&gt;"", COUNTA($B$2:B54), "")</f>
        <v>53</v>
      </c>
      <c r="B54" s="621" t="str">
        <f t="shared" si="3"/>
        <v>Closed</v>
      </c>
      <c r="C54" s="627">
        <v>45170</v>
      </c>
      <c r="D54" s="622" t="s">
        <v>148</v>
      </c>
      <c r="E54" s="621" t="s">
        <v>1480</v>
      </c>
      <c r="F54" s="621" t="s">
        <v>1146</v>
      </c>
      <c r="G54" s="621" t="s">
        <v>1454</v>
      </c>
      <c r="H54" s="621" t="str" cm="1">
        <f t="array" ref="H54">_xlfn.IFS(
    G54="CDWE", "TNI - Transportation &amp; Installation",
    G54="Seaway7", "CTI - Cable T&amp;I",
    G54="LS Cable", "EXC - Export Cable",
    G54="Hellenic", "IAC - Inter Array Cable",
    TRUE, "")</f>
        <v>CTI - Cable T&amp;I</v>
      </c>
      <c r="I54" s="453" t="s">
        <v>1485</v>
      </c>
      <c r="J54" s="623" t="s">
        <v>1481</v>
      </c>
      <c r="K54" s="623" t="s">
        <v>1474</v>
      </c>
      <c r="L54" s="453" t="s">
        <v>1482</v>
      </c>
      <c r="M54" s="621" t="s">
        <v>1483</v>
      </c>
      <c r="N54" s="621" t="s">
        <v>1477</v>
      </c>
      <c r="O54" s="621" t="s">
        <v>1467</v>
      </c>
      <c r="P54" s="621" t="s">
        <v>1484</v>
      </c>
      <c r="Q54" s="623" t="s">
        <v>1100</v>
      </c>
      <c r="R54" s="621" t="s">
        <v>1046</v>
      </c>
      <c r="S54" s="621"/>
      <c r="T54" s="621" t="s">
        <v>1046</v>
      </c>
      <c r="U54" s="621" t="s">
        <v>1046</v>
      </c>
      <c r="V54" s="621" t="s">
        <v>1046</v>
      </c>
      <c r="W54" s="621" t="s">
        <v>1046</v>
      </c>
      <c r="X54" s="621" t="s">
        <v>1046</v>
      </c>
      <c r="Y54" s="621" t="s">
        <v>1046</v>
      </c>
      <c r="Z54" s="621" t="s">
        <v>1046</v>
      </c>
      <c r="AA54" s="621" t="s">
        <v>1046</v>
      </c>
      <c r="AB54" s="621" t="s">
        <v>1046</v>
      </c>
      <c r="AC54" s="621" t="s">
        <v>1046</v>
      </c>
      <c r="AD54" s="621" t="s">
        <v>1046</v>
      </c>
      <c r="AE54" s="621" t="s">
        <v>1046</v>
      </c>
      <c r="AF54" s="621" t="s">
        <v>1105</v>
      </c>
      <c r="AG54" s="621" t="s">
        <v>1105</v>
      </c>
      <c r="AI54" s="455" t="str">
        <f t="shared" si="4"/>
        <v>Sep-2023</v>
      </c>
    </row>
    <row r="55" spans="1:259" s="279" customFormat="1" ht="135">
      <c r="A55" s="621">
        <f>IF(B55&lt;&gt;"", COUNTA($B$2:B55), "")</f>
        <v>54</v>
      </c>
      <c r="B55" s="621" t="str">
        <f t="shared" si="3"/>
        <v>Closed</v>
      </c>
      <c r="C55" s="627">
        <v>45488</v>
      </c>
      <c r="D55" s="622" t="s">
        <v>148</v>
      </c>
      <c r="E55" s="621" t="s">
        <v>1558</v>
      </c>
      <c r="F55" s="621" t="s">
        <v>1094</v>
      </c>
      <c r="G55" s="621" t="s">
        <v>1045</v>
      </c>
      <c r="H55" s="621" t="str" cm="1">
        <f t="array" ref="H55">_xlfn.IFS(
    G55="CDWE", "TNI - Transportation &amp; Installation",
    G55="Seaway7", "CTI - Cable T&amp;I",
    G55="LS Cable", "EXC - Export Cable",
    G55="Hellenic", "IAC - Inter Array Cable",
    TRUE, "")</f>
        <v>TNI - Transportation &amp; Installation</v>
      </c>
      <c r="I55" s="453"/>
      <c r="J55" s="623" t="s">
        <v>1559</v>
      </c>
      <c r="K55" s="624" t="s">
        <v>1560</v>
      </c>
      <c r="L55" s="453" t="s">
        <v>1561</v>
      </c>
      <c r="M55" s="621" t="s">
        <v>1562</v>
      </c>
      <c r="N55" s="621" t="s">
        <v>1563</v>
      </c>
      <c r="O55" s="621" t="s">
        <v>1563</v>
      </c>
      <c r="P55" s="621" t="s">
        <v>1564</v>
      </c>
      <c r="Q55" s="623" t="s">
        <v>1100</v>
      </c>
      <c r="R55" s="621" t="s">
        <v>1101</v>
      </c>
      <c r="S55" s="621" t="s">
        <v>1102</v>
      </c>
      <c r="T55" s="621" t="s">
        <v>1565</v>
      </c>
      <c r="U55" s="453" t="s">
        <v>1566</v>
      </c>
      <c r="V55" s="623" t="s">
        <v>1567</v>
      </c>
      <c r="W55" s="621" t="s">
        <v>1045</v>
      </c>
      <c r="X55" s="453" t="s">
        <v>1568</v>
      </c>
      <c r="Y55" s="453" t="s">
        <v>1569</v>
      </c>
      <c r="Z55" s="628" t="s">
        <v>1570</v>
      </c>
      <c r="AA55" s="621" t="s">
        <v>1571</v>
      </c>
      <c r="AB55" s="621" t="s">
        <v>1572</v>
      </c>
      <c r="AC55" s="621" t="s">
        <v>110</v>
      </c>
      <c r="AD55" s="621" t="s">
        <v>110</v>
      </c>
      <c r="AE55" s="621" t="s">
        <v>110</v>
      </c>
      <c r="AF55" s="621" t="s">
        <v>1105</v>
      </c>
      <c r="AG55" s="621" t="s">
        <v>1105</v>
      </c>
      <c r="AI55" s="455" t="str">
        <f t="shared" si="4"/>
        <v>Jul-2024</v>
      </c>
    </row>
    <row r="56" spans="1:259" s="279" customFormat="1" ht="225">
      <c r="A56" s="621">
        <f>IF(B56&lt;&gt;"", COUNTA($B$2:B56), "")</f>
        <v>55</v>
      </c>
      <c r="B56" s="637" t="str">
        <f t="shared" si="3"/>
        <v>Opening</v>
      </c>
      <c r="C56" s="627">
        <v>45456</v>
      </c>
      <c r="D56" s="622" t="s">
        <v>2519</v>
      </c>
      <c r="E56" s="637" t="s">
        <v>3052</v>
      </c>
      <c r="F56" s="637" t="s">
        <v>1146</v>
      </c>
      <c r="G56" s="637" t="s">
        <v>1454</v>
      </c>
      <c r="H56" s="637" t="str" cm="1">
        <f t="array" ref="H56">_xlfn.IFS(
    G56="CDWE", "TNI - Transportation &amp; Installation",
    G56="Seaway7", "CTI - Cable T&amp;I",
    G56="LS Cable", "EXC - Export Cable",
    G56="Hellenic", "IAC - Inter Array Cable",
    TRUE, "")</f>
        <v>CTI - Cable T&amp;I</v>
      </c>
      <c r="I56" s="828" t="s">
        <v>3053</v>
      </c>
      <c r="J56" s="638" t="s">
        <v>2539</v>
      </c>
      <c r="K56" s="639" t="s">
        <v>1519</v>
      </c>
      <c r="L56" s="639" t="s">
        <v>1520</v>
      </c>
      <c r="M56" s="637" t="s">
        <v>1489</v>
      </c>
      <c r="N56" s="637" t="s">
        <v>1466</v>
      </c>
      <c r="O56" s="637" t="s">
        <v>1467</v>
      </c>
      <c r="P56" s="637" t="s">
        <v>1521</v>
      </c>
      <c r="Q56" s="638" t="s">
        <v>1151</v>
      </c>
      <c r="R56" s="637" t="s">
        <v>1046</v>
      </c>
      <c r="S56" s="637"/>
      <c r="T56" s="637" t="s">
        <v>1046</v>
      </c>
      <c r="U56" s="639" t="s">
        <v>2634</v>
      </c>
      <c r="V56" s="639" t="s">
        <v>2635</v>
      </c>
      <c r="W56" s="637" t="s">
        <v>1527</v>
      </c>
      <c r="X56" s="637" t="s">
        <v>1528</v>
      </c>
      <c r="Y56" s="639" t="s">
        <v>2636</v>
      </c>
      <c r="Z56" s="639" t="s">
        <v>2637</v>
      </c>
      <c r="AA56" s="637" t="s">
        <v>1046</v>
      </c>
      <c r="AB56" s="637" t="s">
        <v>1046</v>
      </c>
      <c r="AC56" s="637" t="s">
        <v>1046</v>
      </c>
      <c r="AD56" s="637" t="s">
        <v>1046</v>
      </c>
      <c r="AE56" s="637" t="s">
        <v>1046</v>
      </c>
      <c r="AF56" s="637" t="s">
        <v>110</v>
      </c>
      <c r="AG56" s="637" t="s">
        <v>110</v>
      </c>
      <c r="AI56" s="455" t="str">
        <f t="shared" si="4"/>
        <v>Jun-2024</v>
      </c>
    </row>
    <row r="57" spans="1:259" s="279" customFormat="1" ht="362.45" customHeight="1">
      <c r="A57" s="621">
        <f>IF(B57&lt;&gt;"", COUNTA($B$2:B57), "")</f>
        <v>56</v>
      </c>
      <c r="B57" s="653" t="str">
        <f t="shared" si="3"/>
        <v>Opening</v>
      </c>
      <c r="C57" s="627">
        <v>45813</v>
      </c>
      <c r="D57" s="626" t="s">
        <v>2519</v>
      </c>
      <c r="E57" s="626" t="s">
        <v>3005</v>
      </c>
      <c r="F57" s="626" t="s">
        <v>1146</v>
      </c>
      <c r="G57" s="626" t="s">
        <v>1454</v>
      </c>
      <c r="H57" s="626" t="str" cm="1">
        <f t="array" ref="H57">_xlfn.IFS(
    G57="CDWE", "TNI - Transportation &amp; Installation",
    G57="Seaway7", "CTI - Cable T&amp;I",
    G57="LS Cable", "EXC - Export Cable",
    G57="Hellenic", "IAC - Inter Array Cable",
    TRUE, "")</f>
        <v>CTI - Cable T&amp;I</v>
      </c>
      <c r="I57" s="641" t="s">
        <v>3147</v>
      </c>
      <c r="J57" s="641" t="s">
        <v>3006</v>
      </c>
      <c r="K57" s="641" t="s">
        <v>3007</v>
      </c>
      <c r="L57" s="642" t="s">
        <v>3008</v>
      </c>
      <c r="M57" s="642" t="s">
        <v>3009</v>
      </c>
      <c r="N57" s="641" t="s">
        <v>2473</v>
      </c>
      <c r="O57" s="641" t="s">
        <v>2473</v>
      </c>
      <c r="P57" s="626" t="s">
        <v>1046</v>
      </c>
      <c r="Q57" s="626" t="s">
        <v>1046</v>
      </c>
      <c r="R57" s="626" t="s">
        <v>1046</v>
      </c>
      <c r="S57" s="641" t="s">
        <v>1102</v>
      </c>
      <c r="T57" s="626" t="s">
        <v>1046</v>
      </c>
      <c r="U57" s="626" t="s">
        <v>1046</v>
      </c>
      <c r="V57" s="626" t="s">
        <v>1046</v>
      </c>
      <c r="W57" s="626" t="s">
        <v>1046</v>
      </c>
      <c r="X57" s="626" t="s">
        <v>1046</v>
      </c>
      <c r="Y57" s="626" t="s">
        <v>1046</v>
      </c>
      <c r="Z57" s="626" t="s">
        <v>1046</v>
      </c>
      <c r="AA57" s="621" t="s">
        <v>1046</v>
      </c>
      <c r="AB57" s="621" t="s">
        <v>1046</v>
      </c>
      <c r="AC57" s="621" t="s">
        <v>110</v>
      </c>
      <c r="AD57" s="621" t="s">
        <v>110</v>
      </c>
      <c r="AE57" s="621" t="s">
        <v>110</v>
      </c>
      <c r="AF57" s="621" t="s">
        <v>110</v>
      </c>
      <c r="AG57" s="621" t="s">
        <v>110</v>
      </c>
      <c r="AH57" s="643"/>
      <c r="AI57" s="455" t="str">
        <f t="shared" si="4"/>
        <v>Jun-2025</v>
      </c>
      <c r="AJ57" s="643"/>
      <c r="AK57" s="643"/>
      <c r="AL57" s="643"/>
      <c r="AM57" s="643"/>
      <c r="AN57" s="643"/>
      <c r="AO57" s="643"/>
      <c r="AP57" s="643"/>
      <c r="AQ57" s="643"/>
      <c r="AR57" s="643"/>
      <c r="AS57" s="643"/>
      <c r="AT57" s="643"/>
      <c r="AU57" s="643"/>
      <c r="AV57" s="643"/>
      <c r="AW57" s="643"/>
      <c r="AX57" s="643"/>
      <c r="AY57" s="643"/>
      <c r="AZ57" s="643"/>
      <c r="BA57" s="643"/>
      <c r="BB57" s="643"/>
      <c r="BC57" s="643"/>
      <c r="BD57" s="643"/>
      <c r="BE57" s="643"/>
      <c r="BF57" s="643"/>
      <c r="BG57" s="643"/>
      <c r="BH57" s="643"/>
      <c r="BI57" s="643"/>
      <c r="BJ57" s="643"/>
      <c r="BK57" s="643"/>
      <c r="BL57" s="643"/>
      <c r="BM57" s="643"/>
      <c r="BN57" s="643"/>
      <c r="BO57" s="643"/>
      <c r="BP57" s="643"/>
      <c r="BQ57" s="643"/>
      <c r="BR57" s="643"/>
      <c r="BS57" s="643"/>
      <c r="BT57" s="643"/>
      <c r="BU57" s="643"/>
      <c r="BV57" s="643"/>
      <c r="BW57" s="643"/>
      <c r="BX57" s="643"/>
      <c r="BY57" s="643"/>
      <c r="BZ57" s="643"/>
      <c r="CA57" s="643"/>
      <c r="CB57" s="643"/>
      <c r="CC57" s="643"/>
      <c r="CD57" s="643"/>
      <c r="CE57" s="643"/>
      <c r="CF57" s="643"/>
      <c r="CG57" s="643"/>
      <c r="CH57" s="643"/>
      <c r="CI57" s="643"/>
      <c r="CJ57" s="643"/>
      <c r="CK57" s="643"/>
      <c r="CL57" s="643"/>
      <c r="CM57" s="643"/>
      <c r="CN57" s="643"/>
      <c r="CO57" s="643"/>
      <c r="CP57" s="643"/>
      <c r="CQ57" s="643"/>
      <c r="CR57" s="643"/>
      <c r="CS57" s="643"/>
      <c r="CT57" s="643"/>
      <c r="CU57" s="643"/>
      <c r="CV57" s="643"/>
      <c r="CW57" s="643"/>
      <c r="CX57" s="643"/>
      <c r="CY57" s="643"/>
      <c r="CZ57" s="643"/>
      <c r="DA57" s="643"/>
      <c r="DB57" s="643"/>
      <c r="DC57" s="643"/>
      <c r="DD57" s="643"/>
      <c r="DE57" s="643"/>
      <c r="DF57" s="643"/>
      <c r="DG57" s="643"/>
      <c r="DH57" s="643"/>
      <c r="DI57" s="643"/>
      <c r="DJ57" s="643"/>
      <c r="DK57" s="643"/>
      <c r="DL57" s="643"/>
      <c r="DM57" s="643"/>
      <c r="DN57" s="643"/>
      <c r="DO57" s="643"/>
      <c r="DP57" s="643"/>
      <c r="DQ57" s="643"/>
      <c r="DR57" s="643"/>
      <c r="DS57" s="643"/>
      <c r="DT57" s="643"/>
      <c r="DU57" s="643"/>
      <c r="DV57" s="643"/>
      <c r="DW57" s="643"/>
      <c r="DX57" s="643"/>
      <c r="DY57" s="643"/>
      <c r="DZ57" s="643"/>
      <c r="EA57" s="643"/>
      <c r="EB57" s="643"/>
      <c r="EC57" s="643"/>
      <c r="ED57" s="643"/>
      <c r="EE57" s="643"/>
      <c r="EF57" s="643"/>
      <c r="EG57" s="643"/>
      <c r="EH57" s="643"/>
      <c r="EI57" s="643"/>
      <c r="EJ57" s="643"/>
      <c r="EK57" s="643"/>
      <c r="EL57" s="643"/>
      <c r="EM57" s="643"/>
      <c r="EN57" s="643"/>
      <c r="EO57" s="643"/>
      <c r="EP57" s="643"/>
      <c r="EQ57" s="643"/>
      <c r="ER57" s="643"/>
      <c r="ES57" s="643"/>
      <c r="ET57" s="643"/>
      <c r="EU57" s="643"/>
      <c r="EV57" s="643"/>
      <c r="EW57" s="643"/>
      <c r="EX57" s="643"/>
      <c r="EY57" s="643"/>
      <c r="EZ57" s="643"/>
      <c r="FA57" s="643"/>
      <c r="FB57" s="643"/>
      <c r="FC57" s="643"/>
      <c r="FD57" s="643"/>
      <c r="FE57" s="643"/>
      <c r="FF57" s="643"/>
      <c r="FG57" s="643"/>
      <c r="FH57" s="643"/>
      <c r="FI57" s="643"/>
      <c r="FJ57" s="643"/>
      <c r="FK57" s="643"/>
      <c r="FL57" s="643"/>
      <c r="FM57" s="643"/>
      <c r="FN57" s="643"/>
      <c r="FO57" s="643"/>
      <c r="FP57" s="643"/>
      <c r="FQ57" s="643"/>
      <c r="FR57" s="643"/>
      <c r="FS57" s="643"/>
      <c r="FT57" s="643"/>
      <c r="FU57" s="643"/>
      <c r="FV57" s="643"/>
      <c r="FW57" s="643"/>
      <c r="FX57" s="643"/>
      <c r="FY57" s="643"/>
      <c r="FZ57" s="643"/>
      <c r="GA57" s="643"/>
      <c r="GB57" s="643"/>
      <c r="GC57" s="643"/>
      <c r="GD57" s="643"/>
      <c r="GE57" s="643"/>
      <c r="GF57" s="643"/>
      <c r="GG57" s="643"/>
      <c r="GH57" s="643"/>
      <c r="GI57" s="643"/>
      <c r="GJ57" s="643"/>
      <c r="GK57" s="643"/>
      <c r="GL57" s="643"/>
      <c r="GM57" s="643"/>
      <c r="GN57" s="643"/>
      <c r="GO57" s="643"/>
      <c r="GP57" s="643"/>
      <c r="GQ57" s="643"/>
      <c r="GR57" s="643"/>
      <c r="GS57" s="643"/>
      <c r="GT57" s="643"/>
      <c r="GU57" s="643"/>
      <c r="GV57" s="643"/>
      <c r="GW57" s="643"/>
      <c r="GX57" s="643"/>
      <c r="GY57" s="643"/>
      <c r="GZ57" s="643"/>
      <c r="HA57" s="643"/>
      <c r="HB57" s="643"/>
      <c r="HC57" s="643"/>
      <c r="HD57" s="643"/>
      <c r="HE57" s="643"/>
      <c r="HF57" s="643"/>
      <c r="HG57" s="643"/>
      <c r="HH57" s="643"/>
      <c r="HI57" s="643"/>
      <c r="HJ57" s="643"/>
      <c r="HK57" s="643"/>
      <c r="HL57" s="643"/>
      <c r="HM57" s="643"/>
      <c r="HN57" s="643"/>
      <c r="HO57" s="643"/>
      <c r="HP57" s="643"/>
      <c r="HQ57" s="643"/>
      <c r="HR57" s="643"/>
      <c r="HS57" s="643"/>
      <c r="HT57" s="643"/>
      <c r="HU57" s="643"/>
      <c r="HV57" s="643"/>
      <c r="HW57" s="643"/>
      <c r="HX57" s="643"/>
      <c r="HY57" s="643"/>
      <c r="HZ57" s="643"/>
      <c r="IA57" s="643"/>
      <c r="IB57" s="643"/>
      <c r="IC57" s="643"/>
      <c r="ID57" s="643"/>
      <c r="IE57" s="643"/>
      <c r="IF57" s="643"/>
      <c r="IG57" s="643"/>
      <c r="IH57" s="643"/>
      <c r="II57" s="643"/>
      <c r="IJ57" s="643"/>
      <c r="IK57" s="643"/>
      <c r="IL57" s="643"/>
      <c r="IM57" s="643"/>
      <c r="IN57" s="643"/>
      <c r="IO57" s="643"/>
      <c r="IP57" s="643"/>
      <c r="IQ57" s="643"/>
      <c r="IR57" s="643"/>
      <c r="IS57" s="643"/>
      <c r="IT57" s="643"/>
      <c r="IU57" s="643"/>
      <c r="IV57" s="643"/>
      <c r="IW57" s="643"/>
      <c r="IX57" s="643"/>
      <c r="IY57" s="643"/>
    </row>
    <row r="58" spans="1:259" s="279" customFormat="1" ht="135">
      <c r="A58" s="621">
        <f>IF(B58&lt;&gt;"", COUNTA($B$2:B58), "")</f>
        <v>57</v>
      </c>
      <c r="B58" s="621" t="str">
        <f t="shared" si="3"/>
        <v>Closed</v>
      </c>
      <c r="C58" s="627">
        <v>45497</v>
      </c>
      <c r="D58" s="622" t="s">
        <v>148</v>
      </c>
      <c r="E58" s="621" t="s">
        <v>1588</v>
      </c>
      <c r="F58" s="621" t="s">
        <v>1094</v>
      </c>
      <c r="G58" s="621" t="s">
        <v>1161</v>
      </c>
      <c r="H58" s="621" t="str" cm="1">
        <f t="array" ref="H58">_xlfn.IFS(
    G58="CDWE", "TNI - Transportation &amp; Installation",
    G58="Seaway7", "CTI - Cable T&amp;I",
    G58="LS Cable", "EXC - Export Cable",
    G58="Hellenic", "IAC - Inter Array Cable",
    TRUE, "")</f>
        <v>EXC - Export Cable</v>
      </c>
      <c r="I58" s="456"/>
      <c r="J58" s="634" t="s">
        <v>1589</v>
      </c>
      <c r="K58" s="623" t="s">
        <v>1590</v>
      </c>
      <c r="L58" s="453" t="s">
        <v>1591</v>
      </c>
      <c r="M58" s="621" t="s">
        <v>1592</v>
      </c>
      <c r="N58" s="621" t="s">
        <v>1593</v>
      </c>
      <c r="O58" s="621" t="s">
        <v>1593</v>
      </c>
      <c r="P58" s="621" t="s">
        <v>148</v>
      </c>
      <c r="Q58" s="621" t="s">
        <v>1100</v>
      </c>
      <c r="R58" s="621" t="s">
        <v>1270</v>
      </c>
      <c r="S58" s="621" t="s">
        <v>1102</v>
      </c>
      <c r="T58" s="621" t="s">
        <v>148</v>
      </c>
      <c r="U58" s="453" t="s">
        <v>1602</v>
      </c>
      <c r="V58" s="621" t="s">
        <v>1603</v>
      </c>
      <c r="W58" s="621" t="s">
        <v>1604</v>
      </c>
      <c r="X58" s="453" t="s">
        <v>1605</v>
      </c>
      <c r="Y58" s="453" t="s">
        <v>1606</v>
      </c>
      <c r="Z58" s="623" t="s">
        <v>1607</v>
      </c>
      <c r="AA58" s="621" t="s">
        <v>1594</v>
      </c>
      <c r="AB58" s="621" t="s">
        <v>110</v>
      </c>
      <c r="AC58" s="621" t="s">
        <v>110</v>
      </c>
      <c r="AD58" s="621" t="s">
        <v>110</v>
      </c>
      <c r="AE58" s="621" t="s">
        <v>110</v>
      </c>
      <c r="AF58" s="621" t="s">
        <v>1105</v>
      </c>
      <c r="AG58" s="621" t="s">
        <v>1105</v>
      </c>
      <c r="AI58" s="455" t="str">
        <f t="shared" si="4"/>
        <v>Jul-2024</v>
      </c>
    </row>
    <row r="59" spans="1:259" s="279" customFormat="1" ht="135">
      <c r="A59" s="621">
        <f>IF(B59&lt;&gt;"", COUNTA($B$2:B59), "")</f>
        <v>58</v>
      </c>
      <c r="B59" s="621" t="str">
        <f t="shared" si="3"/>
        <v>Closed</v>
      </c>
      <c r="C59" s="627">
        <v>45503</v>
      </c>
      <c r="D59" s="622" t="s">
        <v>148</v>
      </c>
      <c r="E59" s="621" t="s">
        <v>2396</v>
      </c>
      <c r="F59" s="621" t="s">
        <v>1094</v>
      </c>
      <c r="G59" s="621" t="s">
        <v>2435</v>
      </c>
      <c r="H59" s="621" t="str" cm="1">
        <f t="array" ref="H59">_xlfn.IFS(
    G59="CDWE", "TNI - Transportation &amp; Installation",
    G59="Seaway7", "CTI - Cable T&amp;I",
    G59="LS Cable", "EXC - Export Cable",
    G59="Hellenic", "IAC - Inter Array Cable",
    TRUE, "")</f>
        <v/>
      </c>
      <c r="I59" s="456" t="s">
        <v>1610</v>
      </c>
      <c r="J59" s="621" t="s">
        <v>1595</v>
      </c>
      <c r="K59" s="621" t="s">
        <v>1387</v>
      </c>
      <c r="L59" s="453" t="s">
        <v>1596</v>
      </c>
      <c r="M59" s="621" t="s">
        <v>1597</v>
      </c>
      <c r="N59" s="621" t="s">
        <v>1598</v>
      </c>
      <c r="O59" s="621" t="s">
        <v>1599</v>
      </c>
      <c r="P59" s="621" t="s">
        <v>1600</v>
      </c>
      <c r="Q59" s="621" t="s">
        <v>1100</v>
      </c>
      <c r="R59" s="623" t="s">
        <v>1179</v>
      </c>
      <c r="S59" s="623" t="s">
        <v>1102</v>
      </c>
      <c r="T59" s="623" t="s">
        <v>1601</v>
      </c>
      <c r="U59" s="453" t="s">
        <v>1602</v>
      </c>
      <c r="V59" s="623" t="s">
        <v>1603</v>
      </c>
      <c r="W59" s="621" t="s">
        <v>1604</v>
      </c>
      <c r="X59" s="453" t="s">
        <v>1605</v>
      </c>
      <c r="Y59" s="453" t="s">
        <v>1606</v>
      </c>
      <c r="Z59" s="623" t="s">
        <v>1607</v>
      </c>
      <c r="AA59" s="621" t="s">
        <v>1608</v>
      </c>
      <c r="AB59" s="623" t="s">
        <v>1609</v>
      </c>
      <c r="AC59" s="621" t="s">
        <v>110</v>
      </c>
      <c r="AD59" s="621" t="s">
        <v>110</v>
      </c>
      <c r="AE59" s="621" t="s">
        <v>110</v>
      </c>
      <c r="AF59" s="621" t="s">
        <v>1105</v>
      </c>
      <c r="AG59" s="621" t="s">
        <v>1105</v>
      </c>
      <c r="AI59" s="455" t="str">
        <f>TEXT(C59,"mmm-yyyy")</f>
        <v>Jul-2024</v>
      </c>
    </row>
    <row r="60" spans="1:259" s="279" customFormat="1" ht="255">
      <c r="A60" s="621">
        <f>IF(B60&lt;&gt;"", COUNTA($B$2:B60), "")</f>
        <v>59</v>
      </c>
      <c r="B60" s="621" t="str">
        <f t="shared" si="3"/>
        <v>Closed</v>
      </c>
      <c r="C60" s="627">
        <v>45506</v>
      </c>
      <c r="D60" s="622" t="s">
        <v>148</v>
      </c>
      <c r="E60" s="621" t="s">
        <v>1611</v>
      </c>
      <c r="F60" s="621" t="s">
        <v>1094</v>
      </c>
      <c r="G60" s="621" t="s">
        <v>1161</v>
      </c>
      <c r="H60" s="621" t="str" cm="1">
        <f t="array" ref="H60">_xlfn.IFS(
    G60="CDWE", "TNI - Transportation &amp; Installation",
    G60="Seaway7", "CTI - Cable T&amp;I",
    G60="LS Cable", "EXC - Export Cable",
    G60="Hellenic", "IAC - Inter Array Cable",
    TRUE, "")</f>
        <v>EXC - Export Cable</v>
      </c>
      <c r="I60" s="456"/>
      <c r="J60" s="634" t="s">
        <v>1612</v>
      </c>
      <c r="K60" s="621" t="s">
        <v>1613</v>
      </c>
      <c r="L60" s="453" t="s">
        <v>1614</v>
      </c>
      <c r="M60" s="621" t="s">
        <v>1615</v>
      </c>
      <c r="N60" s="621" t="s">
        <v>1593</v>
      </c>
      <c r="O60" s="621" t="s">
        <v>1593</v>
      </c>
      <c r="P60" s="621" t="s">
        <v>148</v>
      </c>
      <c r="Q60" s="621" t="s">
        <v>1100</v>
      </c>
      <c r="R60" s="623" t="s">
        <v>1179</v>
      </c>
      <c r="S60" s="621" t="s">
        <v>1102</v>
      </c>
      <c r="T60" s="621" t="s">
        <v>1616</v>
      </c>
      <c r="U60" s="453" t="s">
        <v>1623</v>
      </c>
      <c r="V60" s="623" t="s">
        <v>1624</v>
      </c>
      <c r="W60" s="621" t="s">
        <v>1122</v>
      </c>
      <c r="X60" s="453" t="s">
        <v>1625</v>
      </c>
      <c r="Y60" s="453" t="s">
        <v>1626</v>
      </c>
      <c r="Z60" s="623" t="s">
        <v>1624</v>
      </c>
      <c r="AA60" s="621" t="s">
        <v>1594</v>
      </c>
      <c r="AB60" s="621" t="s">
        <v>1617</v>
      </c>
      <c r="AC60" s="621" t="s">
        <v>110</v>
      </c>
      <c r="AD60" s="621" t="s">
        <v>110</v>
      </c>
      <c r="AE60" s="621" t="s">
        <v>110</v>
      </c>
      <c r="AF60" s="621" t="s">
        <v>1105</v>
      </c>
      <c r="AG60" s="621" t="s">
        <v>1105</v>
      </c>
      <c r="AI60" s="455" t="str">
        <f t="shared" ref="AI60:AI99" si="5">IF(C60&lt;&gt;0,TEXT(C60,"mmm-yyyy"),"")</f>
        <v>Aug-2024</v>
      </c>
    </row>
    <row r="61" spans="1:259" ht="255">
      <c r="A61" s="621">
        <f>IF(B61&lt;&gt;"", COUNTA($B$2:B61), "")</f>
        <v>60</v>
      </c>
      <c r="B61" s="621" t="str">
        <f t="shared" si="3"/>
        <v>Closed</v>
      </c>
      <c r="C61" s="627">
        <v>45507</v>
      </c>
      <c r="D61" s="622" t="s">
        <v>148</v>
      </c>
      <c r="E61" s="626" t="s">
        <v>1048</v>
      </c>
      <c r="F61" s="621" t="s">
        <v>1094</v>
      </c>
      <c r="G61" s="626" t="s">
        <v>1045</v>
      </c>
      <c r="H61" s="626" t="str" cm="1">
        <f t="array" ref="H61">_xlfn.IFS(
    G61="CDWE", "TNI - Transportation &amp; Installation",
    G61="Seaway7", "CTI - Cable T&amp;I",
    G61="LS Cable", "EXC - Export Cable",
    G61="Hellenic", "IAC - Inter Array Cable",
    TRUE, "")</f>
        <v>TNI - Transportation &amp; Installation</v>
      </c>
      <c r="I61" s="641"/>
      <c r="J61" s="641" t="s">
        <v>1618</v>
      </c>
      <c r="K61" s="641" t="s">
        <v>148</v>
      </c>
      <c r="L61" s="642" t="s">
        <v>1619</v>
      </c>
      <c r="M61" s="626" t="s">
        <v>1620</v>
      </c>
      <c r="N61" s="641" t="s">
        <v>1118</v>
      </c>
      <c r="O61" s="641" t="s">
        <v>1118</v>
      </c>
      <c r="P61" s="626" t="s">
        <v>1621</v>
      </c>
      <c r="Q61" s="641" t="s">
        <v>1100</v>
      </c>
      <c r="R61" s="641" t="s">
        <v>1142</v>
      </c>
      <c r="S61" s="626" t="s">
        <v>1102</v>
      </c>
      <c r="T61" s="641" t="s">
        <v>1622</v>
      </c>
      <c r="U61" s="642" t="s">
        <v>1623</v>
      </c>
      <c r="V61" s="641" t="s">
        <v>1624</v>
      </c>
      <c r="W61" s="626" t="s">
        <v>1122</v>
      </c>
      <c r="X61" s="642" t="s">
        <v>1625</v>
      </c>
      <c r="Y61" s="642" t="s">
        <v>1626</v>
      </c>
      <c r="Z61" s="641" t="s">
        <v>1624</v>
      </c>
      <c r="AA61" s="641" t="s">
        <v>1537</v>
      </c>
      <c r="AB61" s="626" t="s">
        <v>1627</v>
      </c>
      <c r="AC61" s="626" t="s">
        <v>110</v>
      </c>
      <c r="AD61" s="626" t="s">
        <v>110</v>
      </c>
      <c r="AE61" s="626" t="s">
        <v>110</v>
      </c>
      <c r="AF61" s="626" t="s">
        <v>1105</v>
      </c>
      <c r="AG61" s="626" t="s">
        <v>1105</v>
      </c>
      <c r="AI61" s="455" t="str">
        <f t="shared" si="5"/>
        <v>Aug-2024</v>
      </c>
    </row>
    <row r="62" spans="1:259" s="455" customFormat="1" ht="409.5" customHeight="1">
      <c r="A62" s="621">
        <f>IF(B62&lt;&gt;"", COUNTA($B$2:B62), "")</f>
        <v>61</v>
      </c>
      <c r="B62" s="621" t="str">
        <f t="shared" si="3"/>
        <v>Closed</v>
      </c>
      <c r="C62" s="627">
        <v>45551</v>
      </c>
      <c r="D62" s="645">
        <v>45818</v>
      </c>
      <c r="E62" s="626" t="s">
        <v>2626</v>
      </c>
      <c r="F62" s="626" t="str">
        <f t="shared" ref="F62:F70" si="6">IF(ISNUMBER(SEARCH("RFNCR", E62)), "Request for NCR", IF(ISNUMBER(SEARCH("NCR", E62)), "Non-Conformance Report", ""))</f>
        <v>Non-Conformance Report</v>
      </c>
      <c r="G62" s="626" t="s">
        <v>1045</v>
      </c>
      <c r="H62" s="626" t="str" cm="1">
        <f t="array" ref="H62">_xlfn.IFS(
    G62="CDWE", "TNI - Transportation &amp; Installation",
    G62="Seaway7", "CTI - Cable T&amp;I",
    G62="LS Cable", "EXC - Export Cable",
    G62="Hellenic", "IAC - Inter Array Cable",
    TRUE, "")</f>
        <v>TNI - Transportation &amp; Installation</v>
      </c>
      <c r="I62" s="644" t="s">
        <v>3056</v>
      </c>
      <c r="J62" s="641" t="s">
        <v>3062</v>
      </c>
      <c r="K62" s="641" t="s">
        <v>3063</v>
      </c>
      <c r="L62" s="642" t="s">
        <v>3064</v>
      </c>
      <c r="M62" s="626" t="s">
        <v>3065</v>
      </c>
      <c r="N62" s="626" t="s">
        <v>3066</v>
      </c>
      <c r="O62" s="626" t="s">
        <v>1628</v>
      </c>
      <c r="P62" s="626" t="s">
        <v>3067</v>
      </c>
      <c r="Q62" s="626" t="s">
        <v>1100</v>
      </c>
      <c r="R62" s="626" t="s">
        <v>1101</v>
      </c>
      <c r="S62" s="626" t="s">
        <v>1102</v>
      </c>
      <c r="T62" s="626" t="s">
        <v>3068</v>
      </c>
      <c r="U62" s="641" t="s">
        <v>3069</v>
      </c>
      <c r="V62" s="626" t="s">
        <v>148</v>
      </c>
      <c r="W62" s="626" t="s">
        <v>148</v>
      </c>
      <c r="X62" s="626" t="s">
        <v>3070</v>
      </c>
      <c r="Y62" s="626" t="s">
        <v>3071</v>
      </c>
      <c r="Z62" s="626" t="s">
        <v>3072</v>
      </c>
      <c r="AA62" s="626" t="s">
        <v>148</v>
      </c>
      <c r="AB62" s="626" t="s">
        <v>3073</v>
      </c>
      <c r="AC62" s="626" t="s">
        <v>110</v>
      </c>
      <c r="AD62" s="626" t="s">
        <v>110</v>
      </c>
      <c r="AE62" s="626" t="s">
        <v>110</v>
      </c>
      <c r="AF62" s="626" t="s">
        <v>1105</v>
      </c>
      <c r="AG62" s="621" t="s">
        <v>1105</v>
      </c>
      <c r="AI62" s="455" t="str">
        <f t="shared" si="5"/>
        <v>Sep-2024</v>
      </c>
    </row>
    <row r="63" spans="1:259" ht="330">
      <c r="A63" s="621">
        <f>IF(B63&lt;&gt;"", COUNTA($B$2:B63), "")</f>
        <v>62</v>
      </c>
      <c r="B63" s="637" t="str">
        <f t="shared" si="3"/>
        <v>Closed</v>
      </c>
      <c r="C63" s="627">
        <v>45559</v>
      </c>
      <c r="D63" s="645">
        <v>45706</v>
      </c>
      <c r="E63" s="646" t="s">
        <v>1630</v>
      </c>
      <c r="F63" s="626" t="str">
        <f t="shared" si="6"/>
        <v>Non-Conformance Report</v>
      </c>
      <c r="G63" s="646" t="s">
        <v>1045</v>
      </c>
      <c r="H63" s="646" t="str" cm="1">
        <f t="array" ref="H63">_xlfn.IFS(
    G63="CDWE", "TNI - Transportation &amp; Installation",
    G63="Seaway7", "CTI - Cable T&amp;I",
    G63="LS Cable", "EXC - Export Cable",
    G63="Hellenic", "IAC - Inter Array Cable",
    TRUE, "")</f>
        <v>TNI - Transportation &amp; Installation</v>
      </c>
      <c r="I63" s="453" t="s">
        <v>3057</v>
      </c>
      <c r="J63" s="647" t="s">
        <v>1631</v>
      </c>
      <c r="K63" s="647" t="s">
        <v>1632</v>
      </c>
      <c r="L63" s="648" t="s">
        <v>2643</v>
      </c>
      <c r="M63" s="647" t="s">
        <v>1633</v>
      </c>
      <c r="N63" s="647" t="s">
        <v>1634</v>
      </c>
      <c r="O63" s="647" t="s">
        <v>1634</v>
      </c>
      <c r="P63" s="646" t="s">
        <v>1633</v>
      </c>
      <c r="Q63" s="647" t="s">
        <v>1100</v>
      </c>
      <c r="R63" s="647" t="s">
        <v>1120</v>
      </c>
      <c r="S63" s="647" t="s">
        <v>1102</v>
      </c>
      <c r="T63" s="647" t="s">
        <v>1635</v>
      </c>
      <c r="U63" s="648" t="s">
        <v>1636</v>
      </c>
      <c r="V63" s="647" t="s">
        <v>1637</v>
      </c>
      <c r="W63" s="647" t="s">
        <v>1634</v>
      </c>
      <c r="X63" s="648" t="s">
        <v>2644</v>
      </c>
      <c r="Y63" s="648" t="s">
        <v>2645</v>
      </c>
      <c r="Z63" s="647" t="s">
        <v>1638</v>
      </c>
      <c r="AA63" s="647" t="s">
        <v>1634</v>
      </c>
      <c r="AB63" s="646" t="s">
        <v>2646</v>
      </c>
      <c r="AC63" s="646" t="s">
        <v>110</v>
      </c>
      <c r="AD63" s="646" t="s">
        <v>110</v>
      </c>
      <c r="AE63" s="646" t="s">
        <v>110</v>
      </c>
      <c r="AF63" s="646" t="s">
        <v>1105</v>
      </c>
      <c r="AG63" s="637" t="s">
        <v>1105</v>
      </c>
      <c r="AI63" s="455" t="str">
        <f t="shared" si="5"/>
        <v>Sep-2024</v>
      </c>
    </row>
    <row r="64" spans="1:259" ht="390">
      <c r="A64" s="621">
        <f>IF(B64&lt;&gt;"", COUNTA($B$2:B64), "")</f>
        <v>63</v>
      </c>
      <c r="B64" s="630" t="str">
        <f t="shared" si="3"/>
        <v>Closed</v>
      </c>
      <c r="C64" s="627">
        <v>45576</v>
      </c>
      <c r="D64" s="627">
        <v>45862</v>
      </c>
      <c r="E64" s="649" t="s">
        <v>1639</v>
      </c>
      <c r="F64" s="626" t="str">
        <f t="shared" si="6"/>
        <v>Non-Conformance Report</v>
      </c>
      <c r="G64" s="649" t="s">
        <v>1045</v>
      </c>
      <c r="H64" s="649" t="str" cm="1">
        <f t="array" ref="H64">_xlfn.IFS(
    G64="CDWE", "TNI - Transportation &amp; Installation",
    G64="Seaway7", "CTI - Cable T&amp;I",
    G64="LS Cable", "EXC - Export Cable",
    G64="Hellenic", "IAC - Inter Array Cable",
    TRUE, "")</f>
        <v>TNI - Transportation &amp; Installation</v>
      </c>
      <c r="I64" s="453" t="s">
        <v>148</v>
      </c>
      <c r="J64" s="650" t="s">
        <v>1640</v>
      </c>
      <c r="K64" s="650" t="s">
        <v>3184</v>
      </c>
      <c r="L64" s="651" t="s">
        <v>3185</v>
      </c>
      <c r="M64" s="650" t="s">
        <v>1641</v>
      </c>
      <c r="N64" s="650" t="s">
        <v>3066</v>
      </c>
      <c r="O64" s="650" t="s">
        <v>1628</v>
      </c>
      <c r="P64" s="649" t="s">
        <v>3186</v>
      </c>
      <c r="Q64" s="650" t="s">
        <v>1100</v>
      </c>
      <c r="R64" s="650" t="s">
        <v>1101</v>
      </c>
      <c r="S64" s="649" t="s">
        <v>1102</v>
      </c>
      <c r="T64" s="650" t="s">
        <v>1643</v>
      </c>
      <c r="U64" s="651" t="s">
        <v>3100</v>
      </c>
      <c r="V64" s="650" t="s">
        <v>31</v>
      </c>
      <c r="W64" s="650" t="s">
        <v>31</v>
      </c>
      <c r="X64" s="651" t="s">
        <v>3187</v>
      </c>
      <c r="Y64" s="651" t="s">
        <v>3071</v>
      </c>
      <c r="Z64" s="650" t="s">
        <v>3072</v>
      </c>
      <c r="AA64" s="649" t="s">
        <v>3188</v>
      </c>
      <c r="AB64" s="649" t="s">
        <v>3189</v>
      </c>
      <c r="AC64" s="649" t="s">
        <v>110</v>
      </c>
      <c r="AD64" s="649" t="s">
        <v>110</v>
      </c>
      <c r="AE64" s="649" t="s">
        <v>110</v>
      </c>
      <c r="AF64" s="649" t="s">
        <v>1105</v>
      </c>
      <c r="AG64" s="630" t="s">
        <v>1105</v>
      </c>
      <c r="AI64" s="455" t="str">
        <f t="shared" si="5"/>
        <v>Oct-2024</v>
      </c>
    </row>
    <row r="65" spans="1:37" ht="408.95" customHeight="1">
      <c r="A65" s="621">
        <f>IF(B65&lt;&gt;"", COUNTA($B$2:B65), "")</f>
        <v>64</v>
      </c>
      <c r="B65" s="621" t="str">
        <f t="shared" si="3"/>
        <v>Closed</v>
      </c>
      <c r="C65" s="627">
        <v>45576</v>
      </c>
      <c r="D65" s="627">
        <v>45848</v>
      </c>
      <c r="E65" s="626" t="s">
        <v>1645</v>
      </c>
      <c r="F65" s="626" t="str">
        <f t="shared" si="6"/>
        <v>Non-Conformance Report</v>
      </c>
      <c r="G65" s="626" t="s">
        <v>1045</v>
      </c>
      <c r="H65" s="626" t="str" cm="1">
        <f t="array" ref="H65">_xlfn.IFS(
    G65="CDWE", "TNI - Transportation &amp; Installation",
    G65="Seaway7", "CTI - Cable T&amp;I",
    G65="LS Cable", "EXC - Export Cable",
    G65="Hellenic", "IAC - Inter Array Cable",
    TRUE, "")</f>
        <v>TNI - Transportation &amp; Installation</v>
      </c>
      <c r="I65" s="453" t="s">
        <v>148</v>
      </c>
      <c r="J65" s="641" t="s">
        <v>3094</v>
      </c>
      <c r="K65" s="641" t="s">
        <v>3095</v>
      </c>
      <c r="L65" s="641" t="s">
        <v>3096</v>
      </c>
      <c r="M65" s="641" t="s">
        <v>3097</v>
      </c>
      <c r="N65" s="641" t="s">
        <v>3098</v>
      </c>
      <c r="O65" s="641" t="s">
        <v>1628</v>
      </c>
      <c r="P65" s="641" t="s">
        <v>3099</v>
      </c>
      <c r="Q65" s="641" t="s">
        <v>1100</v>
      </c>
      <c r="R65" s="641" t="s">
        <v>1101</v>
      </c>
      <c r="S65" s="626" t="s">
        <v>1102</v>
      </c>
      <c r="T65" s="641" t="s">
        <v>1643</v>
      </c>
      <c r="U65" s="642" t="s">
        <v>3100</v>
      </c>
      <c r="V65" s="641" t="s">
        <v>148</v>
      </c>
      <c r="W65" s="641" t="s">
        <v>148</v>
      </c>
      <c r="X65" s="642" t="s">
        <v>3101</v>
      </c>
      <c r="Y65" s="641" t="s">
        <v>3102</v>
      </c>
      <c r="Z65" s="641" t="s">
        <v>3103</v>
      </c>
      <c r="AA65" s="626" t="s">
        <v>148</v>
      </c>
      <c r="AB65" s="641" t="s">
        <v>3104</v>
      </c>
      <c r="AC65" s="626" t="s">
        <v>110</v>
      </c>
      <c r="AD65" s="626" t="s">
        <v>110</v>
      </c>
      <c r="AE65" s="626" t="s">
        <v>110</v>
      </c>
      <c r="AF65" s="626" t="s">
        <v>1105</v>
      </c>
      <c r="AG65" s="621" t="s">
        <v>1105</v>
      </c>
      <c r="AI65" s="455" t="str">
        <f t="shared" si="5"/>
        <v>Oct-2024</v>
      </c>
    </row>
    <row r="66" spans="1:37" ht="405">
      <c r="A66" s="621">
        <f>IF(B66&lt;&gt;"", COUNTA($B$2:B66), "")</f>
        <v>65</v>
      </c>
      <c r="B66" s="621" t="str">
        <f t="shared" si="3"/>
        <v>Closed</v>
      </c>
      <c r="C66" s="627">
        <v>45576</v>
      </c>
      <c r="D66" s="627">
        <v>45848</v>
      </c>
      <c r="E66" s="626" t="s">
        <v>1646</v>
      </c>
      <c r="F66" s="626" t="str">
        <f t="shared" si="6"/>
        <v>Non-Conformance Report</v>
      </c>
      <c r="G66" s="626" t="s">
        <v>1045</v>
      </c>
      <c r="H66" s="626" t="str" cm="1">
        <f t="array" ref="H66">_xlfn.IFS(
    G66="CDWE", "TNI - Transportation &amp; Installation",
    G66="Seaway7", "CTI - Cable T&amp;I",
    G66="LS Cable", "EXC - Export Cable",
    G66="Hellenic", "IAC - Inter Array Cable",
    TRUE, "")</f>
        <v>TNI - Transportation &amp; Installation</v>
      </c>
      <c r="I66" s="453" t="s">
        <v>148</v>
      </c>
      <c r="J66" s="641" t="s">
        <v>1647</v>
      </c>
      <c r="K66" s="641" t="s">
        <v>3105</v>
      </c>
      <c r="L66" s="642" t="s">
        <v>3106</v>
      </c>
      <c r="M66" s="641" t="s">
        <v>1648</v>
      </c>
      <c r="N66" s="641" t="s">
        <v>1628</v>
      </c>
      <c r="O66" s="641" t="s">
        <v>1628</v>
      </c>
      <c r="P66" s="641" t="s">
        <v>3107</v>
      </c>
      <c r="Q66" s="641" t="s">
        <v>1100</v>
      </c>
      <c r="R66" s="641" t="s">
        <v>1101</v>
      </c>
      <c r="S66" s="626" t="s">
        <v>1102</v>
      </c>
      <c r="T66" s="641" t="s">
        <v>1643</v>
      </c>
      <c r="U66" s="641" t="s">
        <v>3108</v>
      </c>
      <c r="V66" s="641" t="s">
        <v>148</v>
      </c>
      <c r="W66" s="641" t="s">
        <v>148</v>
      </c>
      <c r="X66" s="642" t="s">
        <v>3109</v>
      </c>
      <c r="Y66" s="641" t="s">
        <v>3102</v>
      </c>
      <c r="Z66" s="641" t="s">
        <v>3103</v>
      </c>
      <c r="AA66" s="626" t="s">
        <v>148</v>
      </c>
      <c r="AB66" s="641" t="s">
        <v>3110</v>
      </c>
      <c r="AC66" s="626" t="s">
        <v>110</v>
      </c>
      <c r="AD66" s="626" t="s">
        <v>110</v>
      </c>
      <c r="AE66" s="626" t="s">
        <v>110</v>
      </c>
      <c r="AF66" s="626" t="s">
        <v>1105</v>
      </c>
      <c r="AG66" s="621" t="s">
        <v>1105</v>
      </c>
      <c r="AI66" s="455" t="str">
        <f t="shared" si="5"/>
        <v>Oct-2024</v>
      </c>
    </row>
    <row r="67" spans="1:37" ht="409.5" customHeight="1">
      <c r="A67" s="621">
        <f>IF(B67&lt;&gt;"", COUNTA($B$2:B67), "")</f>
        <v>66</v>
      </c>
      <c r="B67" s="621" t="str">
        <f t="shared" si="3"/>
        <v>Closed</v>
      </c>
      <c r="C67" s="627">
        <v>45576</v>
      </c>
      <c r="D67" s="627">
        <v>45848</v>
      </c>
      <c r="E67" s="626" t="s">
        <v>1649</v>
      </c>
      <c r="F67" s="626" t="str">
        <f t="shared" si="6"/>
        <v>Non-Conformance Report</v>
      </c>
      <c r="G67" s="626" t="s">
        <v>1045</v>
      </c>
      <c r="H67" s="626" t="str" cm="1">
        <f t="array" ref="H67">_xlfn.IFS(
    G67="CDWE", "TNI - Transportation &amp; Installation",
    G67="Seaway7", "CTI - Cable T&amp;I",
    G67="LS Cable", "EXC - Export Cable",
    G67="Hellenic", "IAC - Inter Array Cable",
    TRUE, "")</f>
        <v>TNI - Transportation &amp; Installation</v>
      </c>
      <c r="I67" s="453" t="s">
        <v>148</v>
      </c>
      <c r="J67" s="641" t="s">
        <v>3119</v>
      </c>
      <c r="K67" s="641" t="s">
        <v>3120</v>
      </c>
      <c r="L67" s="642" t="s">
        <v>3121</v>
      </c>
      <c r="M67" s="641" t="s">
        <v>1650</v>
      </c>
      <c r="N67" s="641" t="s">
        <v>1628</v>
      </c>
      <c r="O67" s="641" t="s">
        <v>1628</v>
      </c>
      <c r="P67" s="641" t="s">
        <v>3122</v>
      </c>
      <c r="Q67" s="641" t="s">
        <v>1100</v>
      </c>
      <c r="R67" s="641" t="s">
        <v>1101</v>
      </c>
      <c r="S67" s="626" t="s">
        <v>1102</v>
      </c>
      <c r="T67" s="641" t="s">
        <v>1643</v>
      </c>
      <c r="U67" s="641" t="s">
        <v>3108</v>
      </c>
      <c r="V67" s="641" t="s">
        <v>148</v>
      </c>
      <c r="W67" s="641" t="s">
        <v>148</v>
      </c>
      <c r="X67" s="642" t="s">
        <v>3123</v>
      </c>
      <c r="Y67" s="641" t="s">
        <v>3102</v>
      </c>
      <c r="Z67" s="641" t="s">
        <v>3103</v>
      </c>
      <c r="AA67" s="626" t="s">
        <v>148</v>
      </c>
      <c r="AB67" s="641" t="s">
        <v>3124</v>
      </c>
      <c r="AC67" s="626" t="s">
        <v>110</v>
      </c>
      <c r="AD67" s="626" t="s">
        <v>110</v>
      </c>
      <c r="AE67" s="626" t="s">
        <v>110</v>
      </c>
      <c r="AF67" s="626" t="s">
        <v>1105</v>
      </c>
      <c r="AG67" s="621" t="s">
        <v>1105</v>
      </c>
      <c r="AI67" s="455" t="str">
        <f t="shared" si="5"/>
        <v>Oct-2024</v>
      </c>
    </row>
    <row r="68" spans="1:37" ht="261.95" customHeight="1">
      <c r="A68" s="621">
        <f>IF(B68&lt;&gt;"", COUNTA($B$2:B68), "")</f>
        <v>67</v>
      </c>
      <c r="B68" s="621" t="str">
        <f t="shared" si="3"/>
        <v>Closed</v>
      </c>
      <c r="C68" s="627">
        <v>45579</v>
      </c>
      <c r="D68" s="627">
        <v>45848</v>
      </c>
      <c r="E68" s="626" t="s">
        <v>1651</v>
      </c>
      <c r="F68" s="626" t="str">
        <f t="shared" si="6"/>
        <v>Non-Conformance Report</v>
      </c>
      <c r="G68" s="626" t="s">
        <v>1045</v>
      </c>
      <c r="H68" s="626" t="str" cm="1">
        <f t="array" ref="H68">_xlfn.IFS(
    G68="CDWE", "TNI - Transportation &amp; Installation",
    G68="Seaway7", "CTI - Cable T&amp;I",
    G68="LS Cable", "EXC - Export Cable",
    G68="Hellenic", "IAC - Inter Array Cable",
    TRUE, "")</f>
        <v>TNI - Transportation &amp; Installation</v>
      </c>
      <c r="I68" s="453" t="s">
        <v>148</v>
      </c>
      <c r="J68" s="641" t="s">
        <v>1652</v>
      </c>
      <c r="K68" s="641" t="s">
        <v>3125</v>
      </c>
      <c r="L68" s="641" t="s">
        <v>3126</v>
      </c>
      <c r="M68" s="641" t="s">
        <v>1653</v>
      </c>
      <c r="N68" s="641" t="s">
        <v>1654</v>
      </c>
      <c r="O68" s="641" t="s">
        <v>1654</v>
      </c>
      <c r="P68" s="641" t="s">
        <v>3127</v>
      </c>
      <c r="Q68" s="641" t="s">
        <v>1100</v>
      </c>
      <c r="R68" s="641" t="s">
        <v>1101</v>
      </c>
      <c r="S68" s="626" t="s">
        <v>1102</v>
      </c>
      <c r="T68" s="641" t="s">
        <v>1643</v>
      </c>
      <c r="U68" s="641" t="s">
        <v>3128</v>
      </c>
      <c r="V68" s="641" t="s">
        <v>148</v>
      </c>
      <c r="W68" s="641" t="s">
        <v>148</v>
      </c>
      <c r="X68" s="641" t="s">
        <v>3129</v>
      </c>
      <c r="Y68" s="642" t="s">
        <v>3130</v>
      </c>
      <c r="Z68" s="626" t="s">
        <v>148</v>
      </c>
      <c r="AA68" s="626" t="s">
        <v>148</v>
      </c>
      <c r="AB68" s="642" t="s">
        <v>3131</v>
      </c>
      <c r="AC68" s="626" t="s">
        <v>110</v>
      </c>
      <c r="AD68" s="626" t="s">
        <v>110</v>
      </c>
      <c r="AE68" s="626" t="s">
        <v>110</v>
      </c>
      <c r="AF68" s="626" t="s">
        <v>1105</v>
      </c>
      <c r="AG68" s="621" t="s">
        <v>1105</v>
      </c>
      <c r="AI68" s="455" t="str">
        <f t="shared" si="5"/>
        <v>Oct-2024</v>
      </c>
    </row>
    <row r="69" spans="1:37" ht="405">
      <c r="A69" s="621">
        <f>IF(B69&lt;&gt;"", COUNTA($B$2:B69), "")</f>
        <v>68</v>
      </c>
      <c r="B69" s="621" t="str">
        <f t="shared" si="3"/>
        <v>Closed</v>
      </c>
      <c r="C69" s="627">
        <v>45589</v>
      </c>
      <c r="D69" s="645">
        <v>45702</v>
      </c>
      <c r="E69" s="626" t="s">
        <v>2559</v>
      </c>
      <c r="F69" s="626" t="str">
        <f t="shared" si="6"/>
        <v>Non-Conformance Report</v>
      </c>
      <c r="G69" s="626" t="s">
        <v>1045</v>
      </c>
      <c r="H69" s="626"/>
      <c r="I69" s="640" t="s">
        <v>2629</v>
      </c>
      <c r="J69" s="641" t="s">
        <v>2560</v>
      </c>
      <c r="K69" s="641" t="s">
        <v>2561</v>
      </c>
      <c r="L69" s="642" t="s">
        <v>2562</v>
      </c>
      <c r="M69" s="641" t="s">
        <v>2563</v>
      </c>
      <c r="N69" s="641" t="s">
        <v>2564</v>
      </c>
      <c r="O69" s="641" t="s">
        <v>2564</v>
      </c>
      <c r="P69" s="641" t="s">
        <v>2565</v>
      </c>
      <c r="Q69" s="641" t="s">
        <v>1100</v>
      </c>
      <c r="R69" s="641" t="s">
        <v>1120</v>
      </c>
      <c r="S69" s="641" t="s">
        <v>1102</v>
      </c>
      <c r="T69" s="641" t="s">
        <v>2630</v>
      </c>
      <c r="U69" s="652" t="s">
        <v>2566</v>
      </c>
      <c r="V69" s="641" t="s">
        <v>2631</v>
      </c>
      <c r="W69" s="641" t="s">
        <v>2564</v>
      </c>
      <c r="X69" s="642" t="s">
        <v>2567</v>
      </c>
      <c r="Y69" s="642" t="s">
        <v>2568</v>
      </c>
      <c r="Z69" s="642" t="s">
        <v>2632</v>
      </c>
      <c r="AA69" s="641" t="s">
        <v>1045</v>
      </c>
      <c r="AB69" s="642" t="s">
        <v>148</v>
      </c>
      <c r="AC69" s="626" t="s">
        <v>110</v>
      </c>
      <c r="AD69" s="626" t="s">
        <v>110</v>
      </c>
      <c r="AE69" s="626" t="s">
        <v>110</v>
      </c>
      <c r="AF69" s="626" t="s">
        <v>1105</v>
      </c>
      <c r="AG69" s="621" t="s">
        <v>1105</v>
      </c>
      <c r="AI69" s="455" t="str">
        <f t="shared" si="5"/>
        <v>Oct-2024</v>
      </c>
    </row>
    <row r="70" spans="1:37" ht="250.5" customHeight="1">
      <c r="A70" s="621">
        <f>IF(B70&lt;&gt;"", COUNTA($B$2:B70), "")</f>
        <v>69</v>
      </c>
      <c r="B70" s="621" t="str">
        <f t="shared" si="3"/>
        <v>Closed</v>
      </c>
      <c r="C70" s="627">
        <v>45589</v>
      </c>
      <c r="D70" s="627">
        <v>45747</v>
      </c>
      <c r="E70" s="626" t="s">
        <v>1655</v>
      </c>
      <c r="F70" s="626" t="str">
        <f t="shared" si="6"/>
        <v>Request for NCR</v>
      </c>
      <c r="G70" s="626" t="s">
        <v>1045</v>
      </c>
      <c r="H70" s="626" t="str" cm="1">
        <f t="array" ref="H70">_xlfn.IFS(
    G70="CDWE", "TNI - Transportation &amp; Installation",
    G70="Seaway7", "CTI - Cable T&amp;I",
    G70="LS Cable", "EXC - Export Cable",
    G70="Hellenic", "IAC - Inter Array Cable",
    TRUE, "")</f>
        <v>TNI - Transportation &amp; Installation</v>
      </c>
      <c r="I70" s="453" t="s">
        <v>2815</v>
      </c>
      <c r="J70" s="641" t="s">
        <v>1656</v>
      </c>
      <c r="K70" s="641" t="s">
        <v>1657</v>
      </c>
      <c r="L70" s="642" t="s">
        <v>1658</v>
      </c>
      <c r="M70" s="641" t="s">
        <v>1659</v>
      </c>
      <c r="N70" s="641" t="s">
        <v>1660</v>
      </c>
      <c r="O70" s="641" t="s">
        <v>1467</v>
      </c>
      <c r="P70" s="641" t="s">
        <v>1659</v>
      </c>
      <c r="Q70" s="641" t="s">
        <v>1100</v>
      </c>
      <c r="R70" s="641" t="s">
        <v>1142</v>
      </c>
      <c r="S70" s="641" t="s">
        <v>1657</v>
      </c>
      <c r="T70" s="641" t="s">
        <v>1046</v>
      </c>
      <c r="U70" s="642" t="s">
        <v>2742</v>
      </c>
      <c r="V70" s="641" t="s">
        <v>2743</v>
      </c>
      <c r="W70" s="641" t="s">
        <v>2679</v>
      </c>
      <c r="X70" s="642" t="s">
        <v>2744</v>
      </c>
      <c r="Y70" s="642" t="s">
        <v>2745</v>
      </c>
      <c r="Z70" s="642" t="s">
        <v>2746</v>
      </c>
      <c r="AA70" s="641" t="s">
        <v>1046</v>
      </c>
      <c r="AB70" s="642" t="s">
        <v>1046</v>
      </c>
      <c r="AC70" s="626" t="s">
        <v>110</v>
      </c>
      <c r="AD70" s="626" t="s">
        <v>110</v>
      </c>
      <c r="AE70" s="626" t="s">
        <v>110</v>
      </c>
      <c r="AF70" s="626" t="s">
        <v>1105</v>
      </c>
      <c r="AG70" s="621" t="s">
        <v>1105</v>
      </c>
      <c r="AI70" s="455" t="str">
        <f t="shared" si="5"/>
        <v>Oct-2024</v>
      </c>
    </row>
    <row r="71" spans="1:37" ht="161.1" customHeight="1">
      <c r="A71" s="621">
        <f>IF(B71&lt;&gt;"", COUNTA($B$2:B71), "")</f>
        <v>70</v>
      </c>
      <c r="B71" s="653" t="str">
        <f t="shared" si="3"/>
        <v>Closed</v>
      </c>
      <c r="C71" s="627">
        <v>45819</v>
      </c>
      <c r="D71" s="627">
        <v>45834</v>
      </c>
      <c r="E71" s="626" t="s">
        <v>3074</v>
      </c>
      <c r="F71" s="626" t="s">
        <v>1094</v>
      </c>
      <c r="G71" s="626" t="s">
        <v>1454</v>
      </c>
      <c r="H71" s="626" t="str" cm="1">
        <f t="array" ref="H71">_xlfn.IFS(
    G71="CDWE", "TNI - Transportation &amp; Installation",
    G71="Seaway7", "CTI - Cable T&amp;I",
    G71="LS Cable", "EXC - Export Cable",
    G71="Hellenic", "IAC - Inter Array Cable",
    TRUE, "")</f>
        <v>CTI - Cable T&amp;I</v>
      </c>
      <c r="I71" s="641"/>
      <c r="J71" s="641" t="s">
        <v>3030</v>
      </c>
      <c r="K71" s="641" t="s">
        <v>3031</v>
      </c>
      <c r="L71" s="642" t="s">
        <v>3032</v>
      </c>
      <c r="M71" s="641" t="s">
        <v>2976</v>
      </c>
      <c r="N71" s="641" t="s">
        <v>3033</v>
      </c>
      <c r="O71" s="641" t="s">
        <v>2820</v>
      </c>
      <c r="P71" s="626" t="s">
        <v>3034</v>
      </c>
      <c r="Q71" s="641" t="s">
        <v>1100</v>
      </c>
      <c r="R71" s="641" t="s">
        <v>1142</v>
      </c>
      <c r="S71" s="641" t="s">
        <v>3035</v>
      </c>
      <c r="T71" s="641" t="s">
        <v>3036</v>
      </c>
      <c r="U71" s="642" t="s">
        <v>3037</v>
      </c>
      <c r="V71" s="641" t="s">
        <v>3038</v>
      </c>
      <c r="W71" s="641" t="s">
        <v>2951</v>
      </c>
      <c r="X71" s="642" t="s">
        <v>3075</v>
      </c>
      <c r="Y71" s="642" t="s">
        <v>3039</v>
      </c>
      <c r="Z71" s="641" t="s">
        <v>3040</v>
      </c>
      <c r="AA71" s="641" t="s">
        <v>3041</v>
      </c>
      <c r="AB71" s="642" t="s">
        <v>3042</v>
      </c>
      <c r="AC71" s="626" t="s">
        <v>110</v>
      </c>
      <c r="AD71" s="626" t="s">
        <v>110</v>
      </c>
      <c r="AE71" s="626" t="s">
        <v>110</v>
      </c>
      <c r="AF71" s="626" t="s">
        <v>1105</v>
      </c>
      <c r="AG71" s="621" t="s">
        <v>1105</v>
      </c>
      <c r="AI71" s="455" t="str">
        <f t="shared" si="5"/>
        <v>Jun-2025</v>
      </c>
    </row>
    <row r="72" spans="1:37" ht="225">
      <c r="A72" s="621">
        <f>IF(B72&lt;&gt;"", COUNTA($B$2:B72), "")</f>
        <v>71</v>
      </c>
      <c r="B72" s="621" t="str">
        <f t="shared" si="3"/>
        <v>Closed</v>
      </c>
      <c r="C72" s="627">
        <v>45590</v>
      </c>
      <c r="D72" s="627">
        <v>45693</v>
      </c>
      <c r="E72" s="626" t="s">
        <v>1061</v>
      </c>
      <c r="F72" s="626" t="s">
        <v>1094</v>
      </c>
      <c r="G72" s="626" t="s">
        <v>1161</v>
      </c>
      <c r="H72" s="626" t="str" cm="1">
        <f t="array" ref="H72">_xlfn.IFS(
    G72="CDWE", "TNI - Transportation &amp; Installation",
    G72="Seaway7", "CTI - Cable T&amp;I",
    G72="LS Cable", "EXC - Export Cable",
    G72="Hellenic", "IAC - Inter Array Cable",
    TRUE, "")</f>
        <v>EXC - Export Cable</v>
      </c>
      <c r="I72" s="640"/>
      <c r="J72" s="641" t="s">
        <v>2371</v>
      </c>
      <c r="K72" s="641" t="s">
        <v>1163</v>
      </c>
      <c r="L72" s="642" t="s">
        <v>2372</v>
      </c>
      <c r="M72" s="641" t="s">
        <v>1165</v>
      </c>
      <c r="N72" s="641" t="s">
        <v>1165</v>
      </c>
      <c r="O72" s="641" t="s">
        <v>1165</v>
      </c>
      <c r="P72" s="641" t="s">
        <v>2373</v>
      </c>
      <c r="Q72" s="621" t="s">
        <v>1100</v>
      </c>
      <c r="R72" s="641" t="s">
        <v>1142</v>
      </c>
      <c r="S72" s="641" t="s">
        <v>1180</v>
      </c>
      <c r="T72" s="641" t="s">
        <v>1180</v>
      </c>
      <c r="U72" s="642" t="s">
        <v>2509</v>
      </c>
      <c r="V72" s="641" t="s">
        <v>2667</v>
      </c>
      <c r="W72" s="641" t="s">
        <v>1165</v>
      </c>
      <c r="X72" s="642" t="s">
        <v>2668</v>
      </c>
      <c r="Y72" s="642" t="s">
        <v>2510</v>
      </c>
      <c r="Z72" s="642" t="s">
        <v>2511</v>
      </c>
      <c r="AA72" s="641" t="s">
        <v>1165</v>
      </c>
      <c r="AB72" s="642" t="s">
        <v>110</v>
      </c>
      <c r="AC72" s="626" t="s">
        <v>2587</v>
      </c>
      <c r="AD72" s="626" t="s">
        <v>110</v>
      </c>
      <c r="AE72" s="626" t="s">
        <v>110</v>
      </c>
      <c r="AF72" s="626" t="s">
        <v>1105</v>
      </c>
      <c r="AG72" s="621" t="s">
        <v>1105</v>
      </c>
      <c r="AI72" s="455" t="str">
        <f t="shared" si="5"/>
        <v>Oct-2024</v>
      </c>
    </row>
    <row r="73" spans="1:37" ht="225">
      <c r="A73" s="621">
        <f>IF(B73&lt;&gt;"", COUNTA($B$2:B73), "")</f>
        <v>72</v>
      </c>
      <c r="B73" s="621" t="str">
        <f t="shared" ref="B73:B100" si="7">IF(AND(AF73="Yes",AG73="Yes"),"Closed","Opening")</f>
        <v>Closed</v>
      </c>
      <c r="C73" s="627">
        <v>45593</v>
      </c>
      <c r="D73" s="627">
        <v>45712</v>
      </c>
      <c r="E73" s="626" t="s">
        <v>2374</v>
      </c>
      <c r="F73" s="626" t="s">
        <v>1094</v>
      </c>
      <c r="G73" s="626" t="s">
        <v>1161</v>
      </c>
      <c r="H73" s="626" t="str" cm="1">
        <f t="array" ref="H73">_xlfn.IFS(
    G73="CDWE", "TNI - Transportation &amp; Installation",
    G73="Seaway7", "CTI - Cable T&amp;I",
    G73="LS Cable", "EXC - Export Cable",
    G73="Hellenic", "IAC - Inter Array Cable",
    TRUE, "")</f>
        <v>EXC - Export Cable</v>
      </c>
      <c r="I73" s="640" t="s">
        <v>3059</v>
      </c>
      <c r="J73" s="641" t="s">
        <v>2375</v>
      </c>
      <c r="K73" s="641" t="s">
        <v>1163</v>
      </c>
      <c r="L73" s="642" t="s">
        <v>2376</v>
      </c>
      <c r="M73" s="641" t="s">
        <v>1165</v>
      </c>
      <c r="N73" s="641" t="s">
        <v>1165</v>
      </c>
      <c r="O73" s="641" t="s">
        <v>1165</v>
      </c>
      <c r="P73" s="641" t="s">
        <v>2377</v>
      </c>
      <c r="Q73" s="621" t="s">
        <v>1100</v>
      </c>
      <c r="R73" s="641" t="s">
        <v>1142</v>
      </c>
      <c r="S73" s="642" t="s">
        <v>1102</v>
      </c>
      <c r="T73" s="641" t="s">
        <v>2508</v>
      </c>
      <c r="U73" s="641" t="s">
        <v>2509</v>
      </c>
      <c r="V73" s="642" t="s">
        <v>2667</v>
      </c>
      <c r="W73" s="642" t="s">
        <v>1165</v>
      </c>
      <c r="X73" s="641" t="s">
        <v>2668</v>
      </c>
      <c r="Y73" s="642" t="s">
        <v>2510</v>
      </c>
      <c r="Z73" s="642" t="s">
        <v>2511</v>
      </c>
      <c r="AA73" s="626" t="s">
        <v>1165</v>
      </c>
      <c r="AB73" s="626" t="s">
        <v>2669</v>
      </c>
      <c r="AC73" s="626" t="s">
        <v>110</v>
      </c>
      <c r="AD73" s="626" t="s">
        <v>110</v>
      </c>
      <c r="AE73" s="626" t="s">
        <v>110</v>
      </c>
      <c r="AF73" s="626" t="s">
        <v>1105</v>
      </c>
      <c r="AG73" s="626" t="s">
        <v>1105</v>
      </c>
      <c r="AI73" s="455" t="str">
        <f t="shared" si="5"/>
        <v>Oct-2024</v>
      </c>
    </row>
    <row r="74" spans="1:37" ht="408.95" customHeight="1">
      <c r="A74" s="621">
        <f>IF(B74&lt;&gt;"", COUNTA($B$2:B74), "")</f>
        <v>73</v>
      </c>
      <c r="B74" s="621" t="str">
        <f t="shared" si="7"/>
        <v>Closed</v>
      </c>
      <c r="C74" s="627">
        <v>45608</v>
      </c>
      <c r="D74" s="645">
        <v>45677</v>
      </c>
      <c r="E74" s="626" t="s">
        <v>2457</v>
      </c>
      <c r="F74" s="626" t="str">
        <f>IF(ISNUMBER(SEARCH("RFNCR", E74)), "Request for NCR", IF(ISNUMBER(SEARCH("NCR", E74)), "Non-Conformance Report", ""))</f>
        <v>Non-Conformance Report</v>
      </c>
      <c r="G74" s="626" t="s">
        <v>1045</v>
      </c>
      <c r="H74" s="626" t="str" cm="1">
        <f t="array" ref="H74">_xlfn.IFS(
    G74="CDWE", "TNI - Transportation &amp; Installation",
    G74="Seaway7", "CTI - Cable T&amp;I",
    G74="LS Cable", "EXC - Export Cable",
    G74="Hellenic", "IAC - Inter Array Cable",
    TRUE, "")</f>
        <v>TNI - Transportation &amp; Installation</v>
      </c>
      <c r="I74" s="640" t="s">
        <v>2575</v>
      </c>
      <c r="J74" s="641" t="s">
        <v>2459</v>
      </c>
      <c r="K74" s="641" t="s">
        <v>2460</v>
      </c>
      <c r="L74" s="642" t="s">
        <v>2463</v>
      </c>
      <c r="M74" s="641" t="s">
        <v>2461</v>
      </c>
      <c r="N74" s="641" t="s">
        <v>2462</v>
      </c>
      <c r="O74" s="641" t="s">
        <v>2462</v>
      </c>
      <c r="P74" s="641" t="s">
        <v>2461</v>
      </c>
      <c r="Q74" s="641" t="s">
        <v>1100</v>
      </c>
      <c r="R74" s="641" t="s">
        <v>1101</v>
      </c>
      <c r="S74" s="642" t="s">
        <v>1102</v>
      </c>
      <c r="T74" s="641" t="s">
        <v>1643</v>
      </c>
      <c r="U74" s="641" t="s">
        <v>1046</v>
      </c>
      <c r="V74" s="642" t="s">
        <v>1046</v>
      </c>
      <c r="W74" s="642" t="s">
        <v>1046</v>
      </c>
      <c r="X74" s="642" t="s">
        <v>1046</v>
      </c>
      <c r="Y74" s="641" t="s">
        <v>1046</v>
      </c>
      <c r="Z74" s="642" t="s">
        <v>1046</v>
      </c>
      <c r="AA74" s="626" t="s">
        <v>2573</v>
      </c>
      <c r="AB74" s="626" t="s">
        <v>2574</v>
      </c>
      <c r="AC74" s="626" t="s">
        <v>110</v>
      </c>
      <c r="AD74" s="626" t="s">
        <v>110</v>
      </c>
      <c r="AE74" s="621" t="s">
        <v>110</v>
      </c>
      <c r="AF74" s="626" t="s">
        <v>1105</v>
      </c>
      <c r="AG74" s="626" t="s">
        <v>1105</v>
      </c>
      <c r="AI74" s="455" t="str">
        <f t="shared" si="5"/>
        <v>Nov-2024</v>
      </c>
    </row>
    <row r="75" spans="1:37" ht="386.45" customHeight="1">
      <c r="A75" s="621">
        <f>IF(B75&lt;&gt;"", COUNTA($B$2:B75), "")</f>
        <v>74</v>
      </c>
      <c r="B75" s="621" t="str">
        <f t="shared" si="7"/>
        <v>Closed</v>
      </c>
      <c r="C75" s="825">
        <v>45931</v>
      </c>
      <c r="D75" s="626" t="s">
        <v>2519</v>
      </c>
      <c r="E75" s="626" t="s">
        <v>4114</v>
      </c>
      <c r="F75" s="626" t="s">
        <v>1094</v>
      </c>
      <c r="G75" s="626" t="s">
        <v>1454</v>
      </c>
      <c r="H75" s="626" t="str" cm="1">
        <f t="array" ref="H75">_xlfn.IFS(
    G73="CDWE", "TNI - Transportation &amp; Installation",
    G73="Seaway7", "CTI - Cable T&amp;I",
    G73="LS Cable", "EXC - Export Cable",
    G73="Hellenic", "IAC - Inter Array Cable",
    TRUE, "")</f>
        <v>EXC - Export Cable</v>
      </c>
      <c r="I75" s="641"/>
      <c r="J75" s="641" t="s">
        <v>4116</v>
      </c>
      <c r="K75" s="641" t="s">
        <v>4115</v>
      </c>
      <c r="L75" s="642" t="s">
        <v>4623</v>
      </c>
      <c r="M75" s="641" t="s">
        <v>4117</v>
      </c>
      <c r="N75" s="641" t="s">
        <v>4118</v>
      </c>
      <c r="O75" s="641" t="s">
        <v>2951</v>
      </c>
      <c r="P75" s="626" t="s">
        <v>4119</v>
      </c>
      <c r="Q75" s="641" t="s">
        <v>1100</v>
      </c>
      <c r="R75" s="641" t="s">
        <v>1120</v>
      </c>
      <c r="S75" s="641" t="s">
        <v>4624</v>
      </c>
      <c r="T75" s="641" t="s">
        <v>4120</v>
      </c>
      <c r="U75" s="642" t="s">
        <v>4120</v>
      </c>
      <c r="V75" s="626" t="s">
        <v>4625</v>
      </c>
      <c r="W75" s="626" t="s">
        <v>4626</v>
      </c>
      <c r="X75" s="642" t="s">
        <v>4627</v>
      </c>
      <c r="Y75" s="642" t="s">
        <v>4628</v>
      </c>
      <c r="Z75" s="641" t="s">
        <v>4629</v>
      </c>
      <c r="AA75" s="641" t="s">
        <v>4630</v>
      </c>
      <c r="AB75" s="642" t="s">
        <v>4631</v>
      </c>
      <c r="AC75" s="626" t="s">
        <v>110</v>
      </c>
      <c r="AD75" s="626" t="s">
        <v>110</v>
      </c>
      <c r="AE75" s="626" t="s">
        <v>110</v>
      </c>
      <c r="AF75" s="626" t="s">
        <v>1105</v>
      </c>
      <c r="AG75" s="621" t="s">
        <v>1105</v>
      </c>
      <c r="AI75" s="455" t="str">
        <f t="shared" si="5"/>
        <v>Oct-2025</v>
      </c>
    </row>
    <row r="76" spans="1:37" ht="90">
      <c r="A76" s="621">
        <f>IF(B76&lt;&gt;"", COUNTA($B$2:B76), "")</f>
        <v>75</v>
      </c>
      <c r="B76" s="621" t="str">
        <f t="shared" si="7"/>
        <v>Closed</v>
      </c>
      <c r="C76" s="627">
        <v>45643</v>
      </c>
      <c r="D76" s="627">
        <v>45747</v>
      </c>
      <c r="E76" s="621" t="s">
        <v>2533</v>
      </c>
      <c r="F76" s="621" t="s">
        <v>1094</v>
      </c>
      <c r="G76" s="621" t="s">
        <v>1161</v>
      </c>
      <c r="H76" s="626" t="str" cm="1">
        <f t="array" ref="H76">_xlfn.IFS(
    G76="CDWE", "TNI - Transportation &amp; Installation",
    G76="Seaway7", "CTI - Cable T&amp;I",
    G76="LS Cable", "EXC - Export Cable",
    G76="Hellenic", "IAC - Inter Array Cable",
    TRUE, "")</f>
        <v>EXC - Export Cable</v>
      </c>
      <c r="I76" s="453" t="s">
        <v>3060</v>
      </c>
      <c r="J76" s="623" t="s">
        <v>2534</v>
      </c>
      <c r="K76" s="623" t="s">
        <v>2536</v>
      </c>
      <c r="L76" s="453" t="s">
        <v>2535</v>
      </c>
      <c r="M76" s="623" t="s">
        <v>2537</v>
      </c>
      <c r="N76" s="623" t="s">
        <v>1477</v>
      </c>
      <c r="O76" s="623" t="s">
        <v>1477</v>
      </c>
      <c r="P76" s="621" t="s">
        <v>2537</v>
      </c>
      <c r="Q76" s="621" t="s">
        <v>1100</v>
      </c>
      <c r="R76" s="623" t="s">
        <v>1270</v>
      </c>
      <c r="S76" s="623" t="s">
        <v>1102</v>
      </c>
      <c r="T76" s="623" t="s">
        <v>2757</v>
      </c>
      <c r="U76" s="453" t="s">
        <v>2543</v>
      </c>
      <c r="V76" s="623" t="s">
        <v>38</v>
      </c>
      <c r="W76" s="623" t="s">
        <v>2544</v>
      </c>
      <c r="X76" s="453" t="s">
        <v>2545</v>
      </c>
      <c r="Y76" s="453" t="s">
        <v>2546</v>
      </c>
      <c r="Z76" s="623" t="s">
        <v>2546</v>
      </c>
      <c r="AA76" s="623" t="s">
        <v>2538</v>
      </c>
      <c r="AB76" s="453" t="s">
        <v>2758</v>
      </c>
      <c r="AC76" s="621" t="s">
        <v>110</v>
      </c>
      <c r="AD76" s="621" t="s">
        <v>110</v>
      </c>
      <c r="AE76" s="621" t="s">
        <v>110</v>
      </c>
      <c r="AF76" s="621" t="s">
        <v>1105</v>
      </c>
      <c r="AG76" s="621" t="s">
        <v>1105</v>
      </c>
      <c r="AI76" s="455" t="str">
        <f t="shared" si="5"/>
        <v>Dec-2024</v>
      </c>
    </row>
    <row r="77" spans="1:37" ht="345">
      <c r="A77" s="621">
        <f>IF(B77&lt;&gt;"", COUNTA($B$2:B77), "")</f>
        <v>76</v>
      </c>
      <c r="B77" s="621" t="str">
        <f t="shared" si="7"/>
        <v>Closed</v>
      </c>
      <c r="C77" s="627">
        <v>45639</v>
      </c>
      <c r="D77" s="627">
        <v>45866</v>
      </c>
      <c r="E77" s="626" t="s">
        <v>2541</v>
      </c>
      <c r="F77" s="626" t="s">
        <v>1094</v>
      </c>
      <c r="G77" s="626" t="s">
        <v>1045</v>
      </c>
      <c r="H77" s="626" t="str" cm="1">
        <f t="array" ref="H77">_xlfn.IFS(
    G77="CDWE", "TNI - Transportation &amp; Installation",
    G77="Seaway7", "CTI - Cable T&amp;I",
    G77="LS Cable", "EXC - Export Cable",
    G77="Hellenic", "IAC - Inter Array Cable",
    TRUE, "")</f>
        <v>TNI - Transportation &amp; Installation</v>
      </c>
      <c r="I77" s="453" t="s">
        <v>148</v>
      </c>
      <c r="J77" s="641" t="s">
        <v>2542</v>
      </c>
      <c r="K77" s="641" t="s">
        <v>3216</v>
      </c>
      <c r="L77" s="642" t="s">
        <v>3217</v>
      </c>
      <c r="M77" s="641" t="s">
        <v>3218</v>
      </c>
      <c r="N77" s="641" t="s">
        <v>1629</v>
      </c>
      <c r="O77" s="641" t="s">
        <v>1629</v>
      </c>
      <c r="P77" s="626" t="s">
        <v>3219</v>
      </c>
      <c r="Q77" s="641" t="s">
        <v>1100</v>
      </c>
      <c r="R77" s="641" t="s">
        <v>1101</v>
      </c>
      <c r="S77" s="626" t="s">
        <v>148</v>
      </c>
      <c r="T77" s="641" t="s">
        <v>3220</v>
      </c>
      <c r="U77" s="642" t="s">
        <v>148</v>
      </c>
      <c r="V77" s="641" t="s">
        <v>148</v>
      </c>
      <c r="W77" s="641" t="s">
        <v>148</v>
      </c>
      <c r="X77" s="642" t="s">
        <v>3221</v>
      </c>
      <c r="Y77" s="642" t="s">
        <v>3222</v>
      </c>
      <c r="Z77" s="641" t="s">
        <v>3223</v>
      </c>
      <c r="AA77" s="641" t="s">
        <v>2544</v>
      </c>
      <c r="AB77" s="642" t="s">
        <v>3224</v>
      </c>
      <c r="AC77" s="626" t="s">
        <v>110</v>
      </c>
      <c r="AD77" s="626" t="s">
        <v>110</v>
      </c>
      <c r="AE77" s="626" t="s">
        <v>110</v>
      </c>
      <c r="AF77" s="626" t="s">
        <v>1105</v>
      </c>
      <c r="AG77" s="621" t="s">
        <v>1105</v>
      </c>
      <c r="AI77" s="455" t="str">
        <f t="shared" si="5"/>
        <v>Dec-2024</v>
      </c>
    </row>
    <row r="78" spans="1:37" ht="180">
      <c r="A78" s="621">
        <f>IF(B78&lt;&gt;"", COUNTA($B$2:B78), "")</f>
        <v>77</v>
      </c>
      <c r="B78" s="621" t="str">
        <f t="shared" si="7"/>
        <v>Closed</v>
      </c>
      <c r="C78" s="627">
        <v>45729</v>
      </c>
      <c r="D78" s="627" t="s">
        <v>2519</v>
      </c>
      <c r="E78" s="626" t="s">
        <v>2681</v>
      </c>
      <c r="F78" s="626" t="s">
        <v>1094</v>
      </c>
      <c r="G78" s="626" t="s">
        <v>1161</v>
      </c>
      <c r="H78" s="626" t="str" cm="1">
        <f t="array" ref="H78">_xlfn.IFS(
    G78="CDWE", "TNI - Transportation &amp; Installation",
    G78="Seaway7", "CTI - Cable T&amp;I",
    G78="LS Cable", "EXC - Export Cable",
    G78="Hellenic", "IAC - Inter Array Cable",
    TRUE, "")</f>
        <v>EXC - Export Cable</v>
      </c>
      <c r="I78" s="453" t="s">
        <v>148</v>
      </c>
      <c r="J78" s="642" t="s">
        <v>2682</v>
      </c>
      <c r="K78" s="642" t="s">
        <v>2683</v>
      </c>
      <c r="L78" s="642" t="s">
        <v>2684</v>
      </c>
      <c r="M78" s="641" t="s">
        <v>2685</v>
      </c>
      <c r="N78" s="641" t="s">
        <v>2686</v>
      </c>
      <c r="O78" s="641" t="s">
        <v>2686</v>
      </c>
      <c r="P78" s="626" t="s">
        <v>2687</v>
      </c>
      <c r="Q78" s="621" t="s">
        <v>1100</v>
      </c>
      <c r="R78" s="641" t="s">
        <v>1120</v>
      </c>
      <c r="S78" s="641" t="s">
        <v>1102</v>
      </c>
      <c r="T78" s="626" t="s">
        <v>2893</v>
      </c>
      <c r="U78" s="642" t="s">
        <v>2894</v>
      </c>
      <c r="V78" s="642" t="s">
        <v>2895</v>
      </c>
      <c r="W78" s="641" t="s">
        <v>1165</v>
      </c>
      <c r="X78" s="642" t="s">
        <v>2896</v>
      </c>
      <c r="Y78" s="642" t="s">
        <v>2897</v>
      </c>
      <c r="Z78" s="642" t="s">
        <v>2898</v>
      </c>
      <c r="AA78" s="626" t="s">
        <v>1165</v>
      </c>
      <c r="AB78" s="642" t="s">
        <v>2899</v>
      </c>
      <c r="AC78" s="626" t="s">
        <v>110</v>
      </c>
      <c r="AD78" s="626" t="s">
        <v>110</v>
      </c>
      <c r="AE78" s="626" t="s">
        <v>110</v>
      </c>
      <c r="AF78" s="626" t="s">
        <v>1105</v>
      </c>
      <c r="AG78" s="621" t="s">
        <v>1105</v>
      </c>
      <c r="AI78" s="455" t="str">
        <f t="shared" si="5"/>
        <v>Mar-2025</v>
      </c>
    </row>
    <row r="79" spans="1:37" ht="80.45" customHeight="1">
      <c r="A79" s="621">
        <f>IF(B79&lt;&gt;"", COUNTA($B$2:B79), "")</f>
        <v>78</v>
      </c>
      <c r="B79" s="621" t="str">
        <f t="shared" si="7"/>
        <v>Closed</v>
      </c>
      <c r="C79" s="627">
        <v>45735</v>
      </c>
      <c r="D79" s="627">
        <v>45789</v>
      </c>
      <c r="E79" s="626" t="s">
        <v>2711</v>
      </c>
      <c r="F79" s="626" t="s">
        <v>1094</v>
      </c>
      <c r="G79" s="626" t="s">
        <v>1161</v>
      </c>
      <c r="H79" s="626" t="str" cm="1">
        <f t="array" ref="H79">_xlfn.IFS(
    G79="CDWE", "TNI - Transportation &amp; Installation",
    G79="Seaway7", "CTI - Cable T&amp;I",
    G79="LS Cable", "EXC - Export Cable",
    G79="Hellenic", "IAC - Inter Array Cable",
    TRUE, "")</f>
        <v>EXC - Export Cable</v>
      </c>
      <c r="I79" s="453" t="s">
        <v>148</v>
      </c>
      <c r="J79" s="641" t="s">
        <v>2712</v>
      </c>
      <c r="K79" s="642" t="s">
        <v>2713</v>
      </c>
      <c r="L79" s="642" t="s">
        <v>2714</v>
      </c>
      <c r="M79" s="626" t="s">
        <v>2715</v>
      </c>
      <c r="N79" s="626" t="s">
        <v>2716</v>
      </c>
      <c r="O79" s="626" t="s">
        <v>2716</v>
      </c>
      <c r="P79" s="626" t="s">
        <v>2717</v>
      </c>
      <c r="Q79" s="623" t="s">
        <v>1100</v>
      </c>
      <c r="R79" s="641" t="s">
        <v>1120</v>
      </c>
      <c r="S79" s="641" t="s">
        <v>1102</v>
      </c>
      <c r="T79" s="642" t="s">
        <v>2718</v>
      </c>
      <c r="U79" s="642" t="s">
        <v>2719</v>
      </c>
      <c r="V79" s="642" t="s">
        <v>2720</v>
      </c>
      <c r="W79" s="641" t="s">
        <v>1514</v>
      </c>
      <c r="X79" s="642" t="s">
        <v>2721</v>
      </c>
      <c r="Y79" s="642" t="s">
        <v>2722</v>
      </c>
      <c r="Z79" s="642" t="s">
        <v>2941</v>
      </c>
      <c r="AA79" s="626" t="s">
        <v>1514</v>
      </c>
      <c r="AB79" s="642" t="s">
        <v>2942</v>
      </c>
      <c r="AC79" s="626" t="s">
        <v>110</v>
      </c>
      <c r="AD79" s="626" t="s">
        <v>110</v>
      </c>
      <c r="AE79" s="626" t="s">
        <v>110</v>
      </c>
      <c r="AF79" s="626" t="s">
        <v>1105</v>
      </c>
      <c r="AG79" s="621" t="s">
        <v>1105</v>
      </c>
      <c r="AI79" s="455" t="str">
        <f t="shared" si="5"/>
        <v>Mar-2025</v>
      </c>
    </row>
    <row r="80" spans="1:37" ht="150">
      <c r="A80" s="621">
        <f>IF(B80&lt;&gt;"", COUNTA($B$2:B80), "")</f>
        <v>79</v>
      </c>
      <c r="B80" s="621" t="str">
        <f t="shared" si="7"/>
        <v>Closed</v>
      </c>
      <c r="C80" s="627">
        <v>45733</v>
      </c>
      <c r="D80" s="626" t="s">
        <v>2519</v>
      </c>
      <c r="E80" s="654" t="s">
        <v>2724</v>
      </c>
      <c r="F80" s="621" t="s">
        <v>1094</v>
      </c>
      <c r="G80" s="621" t="s">
        <v>2725</v>
      </c>
      <c r="H80" s="621" t="str" cm="1">
        <f t="array" ref="H80">_xlfn.IFS(
    G80="CDWE", "TNI - Transportation &amp; Installation",
    G80="Seaway7", "CTI - Cable T&amp;I",
    G80="LS Cable", "EXC - Export Cable",
    G80="Hellenic", "IAC - Inter Array Cable",
    G80="BMS", "BMS - Rockbag T&amp;I",
    TRUE, "")</f>
        <v>BMS - Rockbag T&amp;I</v>
      </c>
      <c r="I80" s="453" t="s">
        <v>148</v>
      </c>
      <c r="J80" s="621" t="s">
        <v>2726</v>
      </c>
      <c r="K80" s="453" t="s">
        <v>2728</v>
      </c>
      <c r="L80" s="623" t="s">
        <v>2729</v>
      </c>
      <c r="M80" s="621" t="s">
        <v>2730</v>
      </c>
      <c r="N80" s="621" t="s">
        <v>2731</v>
      </c>
      <c r="O80" s="621" t="s">
        <v>2732</v>
      </c>
      <c r="P80" s="621" t="s">
        <v>2730</v>
      </c>
      <c r="Q80" s="621" t="s">
        <v>1100</v>
      </c>
      <c r="R80" s="623" t="s">
        <v>1101</v>
      </c>
      <c r="S80" s="621" t="s">
        <v>1102</v>
      </c>
      <c r="T80" s="453" t="s">
        <v>2733</v>
      </c>
      <c r="U80" s="453"/>
      <c r="V80" s="453"/>
      <c r="W80" s="621"/>
      <c r="X80" s="453"/>
      <c r="Y80" s="453"/>
      <c r="Z80" s="453"/>
      <c r="AA80" s="621" t="s">
        <v>2734</v>
      </c>
      <c r="AB80" s="453" t="s">
        <v>2814</v>
      </c>
      <c r="AC80" s="626" t="s">
        <v>110</v>
      </c>
      <c r="AD80" s="626" t="s">
        <v>110</v>
      </c>
      <c r="AE80" s="626" t="s">
        <v>110</v>
      </c>
      <c r="AF80" s="626" t="s">
        <v>1105</v>
      </c>
      <c r="AG80" s="621" t="s">
        <v>1105</v>
      </c>
      <c r="AH80" s="279"/>
      <c r="AI80" s="455" t="str">
        <f t="shared" si="5"/>
        <v>Mar-2025</v>
      </c>
      <c r="AJ80" s="279"/>
      <c r="AK80" s="279"/>
    </row>
    <row r="81" spans="1:259" s="632" customFormat="1" ht="104.45" customHeight="1">
      <c r="A81" s="621">
        <f>IF(B81&lt;&gt;"", COUNTA($B$2:B81), "")</f>
        <v>80</v>
      </c>
      <c r="B81" s="621" t="str">
        <f t="shared" si="7"/>
        <v>Closed</v>
      </c>
      <c r="C81" s="627">
        <v>45470</v>
      </c>
      <c r="D81" s="622" t="s">
        <v>148</v>
      </c>
      <c r="E81" s="621" t="s">
        <v>1548</v>
      </c>
      <c r="F81" s="621" t="s">
        <v>1094</v>
      </c>
      <c r="G81" s="621" t="s">
        <v>1454</v>
      </c>
      <c r="H81" s="621" t="str" cm="1">
        <f t="array" ref="H81">_xlfn.IFS(
    G81="CDWE", "TNI - Transportation &amp; Installation",
    G81="Seaway7", "CTI - Cable T&amp;I",
    G81="LS Cable", "EXC - Export Cable",
    G81="Hellenic", "IAC - Inter Array Cable",
    TRUE, "")</f>
        <v>CTI - Cable T&amp;I</v>
      </c>
      <c r="I81" s="456"/>
      <c r="J81" s="623" t="s">
        <v>1549</v>
      </c>
      <c r="K81" s="453" t="s">
        <v>1550</v>
      </c>
      <c r="L81" s="453" t="s">
        <v>1551</v>
      </c>
      <c r="M81" s="621" t="s">
        <v>1552</v>
      </c>
      <c r="N81" s="621" t="s">
        <v>1553</v>
      </c>
      <c r="O81" s="621" t="s">
        <v>1492</v>
      </c>
      <c r="P81" s="621" t="s">
        <v>1554</v>
      </c>
      <c r="Q81" s="623" t="s">
        <v>1100</v>
      </c>
      <c r="R81" s="621" t="s">
        <v>1120</v>
      </c>
      <c r="S81" s="621" t="s">
        <v>311</v>
      </c>
      <c r="T81" s="453" t="s">
        <v>1555</v>
      </c>
      <c r="U81" s="621" t="s">
        <v>1566</v>
      </c>
      <c r="V81" s="621" t="s">
        <v>1567</v>
      </c>
      <c r="W81" s="453" t="s">
        <v>1045</v>
      </c>
      <c r="X81" s="453" t="s">
        <v>1568</v>
      </c>
      <c r="Y81" s="621" t="s">
        <v>1569</v>
      </c>
      <c r="Z81" s="621" t="s">
        <v>1570</v>
      </c>
      <c r="AA81" s="621" t="s">
        <v>1556</v>
      </c>
      <c r="AB81" s="621" t="s">
        <v>1557</v>
      </c>
      <c r="AC81" s="621" t="s">
        <v>110</v>
      </c>
      <c r="AD81" s="621" t="s">
        <v>110</v>
      </c>
      <c r="AE81" s="621" t="s">
        <v>110</v>
      </c>
      <c r="AF81" s="621" t="s">
        <v>1105</v>
      </c>
      <c r="AG81" s="621" t="s">
        <v>1105</v>
      </c>
      <c r="AH81" s="279"/>
      <c r="AI81" s="455" t="str">
        <f t="shared" si="5"/>
        <v>Jun-2024</v>
      </c>
      <c r="AJ81" s="279"/>
      <c r="AK81" s="279"/>
      <c r="AL81" s="279"/>
      <c r="AM81" s="279"/>
      <c r="AN81" s="279"/>
      <c r="AO81" s="279"/>
      <c r="AP81" s="279"/>
      <c r="AQ81" s="279"/>
      <c r="AR81" s="279"/>
      <c r="AS81" s="279"/>
      <c r="AT81" s="279"/>
      <c r="AU81" s="279"/>
      <c r="AV81" s="279"/>
      <c r="AW81" s="279"/>
      <c r="AX81" s="279"/>
      <c r="AY81" s="279"/>
      <c r="AZ81" s="279"/>
      <c r="BA81" s="279"/>
      <c r="BB81" s="279"/>
      <c r="BC81" s="279"/>
      <c r="BD81" s="279"/>
      <c r="BE81" s="279"/>
      <c r="BF81" s="279"/>
      <c r="BG81" s="279"/>
      <c r="BH81" s="279"/>
      <c r="BI81" s="279"/>
      <c r="BJ81" s="279"/>
      <c r="BK81" s="279"/>
      <c r="BL81" s="279"/>
      <c r="BM81" s="279"/>
      <c r="BN81" s="279"/>
      <c r="BO81" s="279"/>
      <c r="BP81" s="279"/>
      <c r="BQ81" s="279"/>
      <c r="BR81" s="279"/>
      <c r="BS81" s="279"/>
      <c r="BT81" s="279"/>
      <c r="BU81" s="279"/>
      <c r="BV81" s="279"/>
      <c r="BW81" s="279"/>
      <c r="BX81" s="279"/>
      <c r="BY81" s="279"/>
      <c r="BZ81" s="279"/>
      <c r="CA81" s="279"/>
      <c r="CB81" s="279"/>
      <c r="CC81" s="279"/>
      <c r="CD81" s="279"/>
      <c r="CE81" s="279"/>
      <c r="CF81" s="279"/>
      <c r="CG81" s="279"/>
      <c r="CH81" s="279"/>
      <c r="CI81" s="279"/>
      <c r="CJ81" s="279"/>
      <c r="CK81" s="279"/>
      <c r="CL81" s="279"/>
      <c r="CM81" s="279"/>
      <c r="CN81" s="279"/>
      <c r="CO81" s="279"/>
      <c r="CP81" s="279"/>
      <c r="CQ81" s="279"/>
      <c r="CR81" s="279"/>
      <c r="CS81" s="279"/>
      <c r="CT81" s="279"/>
      <c r="CU81" s="279"/>
      <c r="CV81" s="279"/>
      <c r="CW81" s="279"/>
      <c r="CX81" s="279"/>
      <c r="CY81" s="279"/>
      <c r="CZ81" s="279"/>
      <c r="DA81" s="279"/>
      <c r="DB81" s="279"/>
      <c r="DC81" s="279"/>
      <c r="DD81" s="279"/>
      <c r="DE81" s="279"/>
      <c r="DF81" s="279"/>
      <c r="DG81" s="279"/>
      <c r="DH81" s="279"/>
      <c r="DI81" s="279"/>
      <c r="DJ81" s="279"/>
      <c r="DK81" s="279"/>
      <c r="DL81" s="279"/>
      <c r="DM81" s="279"/>
      <c r="DN81" s="279"/>
      <c r="DO81" s="279"/>
      <c r="DP81" s="279"/>
      <c r="DQ81" s="279"/>
      <c r="DR81" s="279"/>
      <c r="DS81" s="279"/>
      <c r="DT81" s="279"/>
      <c r="DU81" s="279"/>
      <c r="DV81" s="279"/>
      <c r="DW81" s="279"/>
      <c r="DX81" s="279"/>
      <c r="DY81" s="279"/>
      <c r="DZ81" s="279"/>
      <c r="EA81" s="279"/>
      <c r="EB81" s="279"/>
      <c r="EC81" s="279"/>
      <c r="ED81" s="279"/>
      <c r="EE81" s="279"/>
      <c r="EF81" s="279"/>
      <c r="EG81" s="279"/>
      <c r="EH81" s="279"/>
      <c r="EI81" s="279"/>
      <c r="EJ81" s="279"/>
      <c r="EK81" s="279"/>
      <c r="EL81" s="279"/>
      <c r="EM81" s="279"/>
      <c r="EN81" s="279"/>
      <c r="EO81" s="279"/>
      <c r="EP81" s="279"/>
      <c r="EQ81" s="279"/>
      <c r="ER81" s="279"/>
      <c r="ES81" s="279"/>
      <c r="ET81" s="279"/>
      <c r="EU81" s="279"/>
      <c r="EV81" s="279"/>
      <c r="EW81" s="279"/>
      <c r="EX81" s="279"/>
      <c r="EY81" s="279"/>
      <c r="EZ81" s="279"/>
      <c r="FA81" s="279"/>
      <c r="FB81" s="279"/>
      <c r="FC81" s="279"/>
      <c r="FD81" s="279"/>
      <c r="FE81" s="279"/>
      <c r="FF81" s="279"/>
      <c r="FG81" s="279"/>
      <c r="FH81" s="279"/>
      <c r="FI81" s="279"/>
      <c r="FJ81" s="279"/>
      <c r="FK81" s="279"/>
      <c r="FL81" s="279"/>
      <c r="FM81" s="279"/>
      <c r="FN81" s="279"/>
      <c r="FO81" s="279"/>
      <c r="FP81" s="279"/>
      <c r="FQ81" s="279"/>
      <c r="FR81" s="279"/>
      <c r="FS81" s="279"/>
      <c r="FT81" s="279"/>
      <c r="FU81" s="279"/>
      <c r="FV81" s="279"/>
      <c r="FW81" s="279"/>
      <c r="FX81" s="279"/>
      <c r="FY81" s="279"/>
      <c r="FZ81" s="279"/>
      <c r="GA81" s="279"/>
      <c r="GB81" s="279"/>
      <c r="GC81" s="279"/>
      <c r="GD81" s="279"/>
      <c r="GE81" s="279"/>
      <c r="GF81" s="279"/>
      <c r="GG81" s="279"/>
      <c r="GH81" s="279"/>
      <c r="GI81" s="279"/>
      <c r="GJ81" s="279"/>
      <c r="GK81" s="279"/>
      <c r="GL81" s="279"/>
      <c r="GM81" s="279"/>
      <c r="GN81" s="279"/>
      <c r="GO81" s="279"/>
      <c r="GP81" s="279"/>
      <c r="GQ81" s="279"/>
      <c r="GR81" s="279"/>
      <c r="GS81" s="279"/>
      <c r="GT81" s="279"/>
      <c r="GU81" s="279"/>
      <c r="GV81" s="279"/>
      <c r="GW81" s="279"/>
      <c r="GX81" s="279"/>
      <c r="GY81" s="279"/>
      <c r="GZ81" s="279"/>
      <c r="HA81" s="279"/>
      <c r="HB81" s="279"/>
      <c r="HC81" s="279"/>
      <c r="HD81" s="279"/>
      <c r="HE81" s="279"/>
      <c r="HF81" s="279"/>
      <c r="HG81" s="279"/>
      <c r="HH81" s="279"/>
      <c r="HI81" s="279"/>
      <c r="HJ81" s="279"/>
      <c r="HK81" s="279"/>
      <c r="HL81" s="279"/>
      <c r="HM81" s="279"/>
      <c r="HN81" s="279"/>
      <c r="HO81" s="279"/>
      <c r="HP81" s="279"/>
      <c r="HQ81" s="279"/>
      <c r="HR81" s="279"/>
      <c r="HS81" s="279"/>
      <c r="HT81" s="279"/>
      <c r="HU81" s="279"/>
      <c r="HV81" s="279"/>
      <c r="HW81" s="279"/>
      <c r="HX81" s="279"/>
      <c r="HY81" s="279"/>
      <c r="HZ81" s="279"/>
      <c r="IA81" s="279"/>
      <c r="IB81" s="279"/>
      <c r="IC81" s="279"/>
      <c r="ID81" s="279"/>
      <c r="IE81" s="279"/>
      <c r="IF81" s="279"/>
      <c r="IG81" s="279"/>
      <c r="IH81" s="279"/>
      <c r="II81" s="279"/>
      <c r="IJ81" s="279"/>
      <c r="IK81" s="279"/>
      <c r="IL81" s="279"/>
      <c r="IM81" s="279"/>
      <c r="IN81" s="279"/>
      <c r="IO81" s="279"/>
      <c r="IP81" s="279"/>
      <c r="IQ81" s="279"/>
      <c r="IR81" s="279"/>
      <c r="IS81" s="279"/>
      <c r="IT81" s="279"/>
      <c r="IU81" s="279"/>
      <c r="IV81" s="279"/>
      <c r="IW81" s="279"/>
      <c r="IX81" s="279"/>
      <c r="IY81" s="279"/>
    </row>
    <row r="82" spans="1:259" ht="151.5" customHeight="1">
      <c r="A82" s="621">
        <f>IF(B82&lt;&gt;"", COUNTA($B$2:B82), "")</f>
        <v>81</v>
      </c>
      <c r="B82" s="621" t="str">
        <f t="shared" si="7"/>
        <v>Closed</v>
      </c>
      <c r="C82" s="627">
        <v>45748</v>
      </c>
      <c r="D82" s="627">
        <v>45849</v>
      </c>
      <c r="E82" s="626" t="s">
        <v>2782</v>
      </c>
      <c r="F82" s="626" t="s">
        <v>1094</v>
      </c>
      <c r="G82" s="626" t="s">
        <v>1045</v>
      </c>
      <c r="H82" s="626" t="str" cm="1">
        <f t="array" ref="H82">_xlfn.IFS(
    G82="CDWE", "TNI - Transportation &amp; Installation",
    G82="Seaway7", "CTI - Cable T&amp;I",
    G82="LS Cable", "EXC - Export Cable",
    G82="Hellenic", "IAC - Inter Array Cable",
    TRUE, "")</f>
        <v>TNI - Transportation &amp; Installation</v>
      </c>
      <c r="I82" s="642" t="s">
        <v>148</v>
      </c>
      <c r="J82" s="641" t="s">
        <v>3112</v>
      </c>
      <c r="K82" s="641" t="s">
        <v>3111</v>
      </c>
      <c r="L82" s="641" t="s">
        <v>2783</v>
      </c>
      <c r="M82" s="641" t="s">
        <v>2784</v>
      </c>
      <c r="N82" s="641" t="s">
        <v>1629</v>
      </c>
      <c r="O82" s="626" t="s">
        <v>1629</v>
      </c>
      <c r="P82" s="641" t="s">
        <v>2785</v>
      </c>
      <c r="Q82" s="641" t="s">
        <v>1100</v>
      </c>
      <c r="R82" s="641" t="s">
        <v>1142</v>
      </c>
      <c r="S82" s="626" t="s">
        <v>1102</v>
      </c>
      <c r="T82" s="642" t="s">
        <v>2786</v>
      </c>
      <c r="U82" s="641" t="s">
        <v>3113</v>
      </c>
      <c r="V82" s="641" t="s">
        <v>3114</v>
      </c>
      <c r="W82" s="641" t="s">
        <v>1644</v>
      </c>
      <c r="X82" s="641" t="s">
        <v>3115</v>
      </c>
      <c r="Y82" s="641" t="s">
        <v>3116</v>
      </c>
      <c r="Z82" s="641" t="s">
        <v>3117</v>
      </c>
      <c r="AA82" s="641" t="s">
        <v>1644</v>
      </c>
      <c r="AB82" s="626" t="s">
        <v>3118</v>
      </c>
      <c r="AC82" s="626" t="s">
        <v>110</v>
      </c>
      <c r="AD82" s="626" t="s">
        <v>110</v>
      </c>
      <c r="AE82" s="626" t="s">
        <v>110</v>
      </c>
      <c r="AF82" s="621" t="s">
        <v>1105</v>
      </c>
      <c r="AG82" s="621" t="s">
        <v>1105</v>
      </c>
      <c r="AI82" s="455" t="str">
        <f t="shared" si="5"/>
        <v>Apr-2025</v>
      </c>
    </row>
    <row r="83" spans="1:259" ht="165">
      <c r="A83" s="621">
        <f>IF(B83&lt;&gt;"", COUNTA($B$2:B83), "")</f>
        <v>82</v>
      </c>
      <c r="B83" s="621" t="str">
        <f t="shared" si="7"/>
        <v>Closed</v>
      </c>
      <c r="C83" s="627">
        <v>45776</v>
      </c>
      <c r="D83" s="627">
        <v>45777</v>
      </c>
      <c r="E83" s="626" t="s">
        <v>2919</v>
      </c>
      <c r="F83" s="626" t="s">
        <v>1094</v>
      </c>
      <c r="G83" s="626" t="s">
        <v>1045</v>
      </c>
      <c r="H83" s="626" t="str" cm="1">
        <f t="array" ref="H83">_xlfn.IFS(
    G83="CDWE", "TNI - Transportation &amp; Installation",
    G83="Seaway7", "CTI - Cable T&amp;I",
    G83="LS Cable", "EXC - Export Cable",
    G83="Hellenic", "IAC - Inter Array Cable",
    TRUE, "")</f>
        <v>TNI - Transportation &amp; Installation</v>
      </c>
      <c r="I83" s="641" t="s">
        <v>2892</v>
      </c>
      <c r="J83" s="641" t="s">
        <v>2920</v>
      </c>
      <c r="K83" s="641" t="s">
        <v>2921</v>
      </c>
      <c r="L83" s="642" t="s">
        <v>2922</v>
      </c>
      <c r="M83" s="641" t="s">
        <v>2923</v>
      </c>
      <c r="N83" s="641" t="s">
        <v>2924</v>
      </c>
      <c r="O83" s="641" t="s">
        <v>2924</v>
      </c>
      <c r="P83" s="626" t="s">
        <v>2923</v>
      </c>
      <c r="Q83" s="641" t="s">
        <v>1100</v>
      </c>
      <c r="R83" s="641" t="s">
        <v>1142</v>
      </c>
      <c r="S83" s="641" t="s">
        <v>1102</v>
      </c>
      <c r="T83" s="641" t="s">
        <v>2925</v>
      </c>
      <c r="U83" s="642" t="s">
        <v>2926</v>
      </c>
      <c r="V83" s="641" t="s">
        <v>2927</v>
      </c>
      <c r="W83" s="641" t="s">
        <v>2928</v>
      </c>
      <c r="X83" s="642" t="s">
        <v>2929</v>
      </c>
      <c r="Y83" s="642" t="s">
        <v>2930</v>
      </c>
      <c r="Z83" s="641" t="s">
        <v>2931</v>
      </c>
      <c r="AA83" s="641" t="s">
        <v>2924</v>
      </c>
      <c r="AB83" s="642" t="s">
        <v>2932</v>
      </c>
      <c r="AC83" s="626" t="s">
        <v>110</v>
      </c>
      <c r="AD83" s="626" t="s">
        <v>110</v>
      </c>
      <c r="AE83" s="626" t="s">
        <v>110</v>
      </c>
      <c r="AF83" s="626" t="s">
        <v>1105</v>
      </c>
      <c r="AG83" s="621" t="s">
        <v>1105</v>
      </c>
      <c r="AI83" s="455" t="str">
        <f t="shared" si="5"/>
        <v>Apr-2025</v>
      </c>
    </row>
    <row r="84" spans="1:259" ht="75">
      <c r="A84" s="626">
        <f>IF(B84&lt;&gt;"", COUNTA($B$2:B84), "")</f>
        <v>83</v>
      </c>
      <c r="B84" s="626" t="str">
        <f t="shared" si="7"/>
        <v>Closed</v>
      </c>
      <c r="C84" s="627">
        <v>45757</v>
      </c>
      <c r="D84" s="627">
        <v>45804</v>
      </c>
      <c r="E84" s="626" t="s">
        <v>2805</v>
      </c>
      <c r="F84" s="626" t="s">
        <v>1094</v>
      </c>
      <c r="G84" s="626" t="s">
        <v>1161</v>
      </c>
      <c r="H84" s="626" t="str" cm="1">
        <f t="array" ref="H84">_xlfn.IFS(
    G84="CDWE", "TNI - Transportation &amp; Installation",
    G84="Seaway7", "CTI - Cable T&amp;I",
    G84="LS Cable", "EXC - Export Cable",
    G84="Hellenic", "IAC - Inter Array Cable",
    TRUE, "")</f>
        <v>EXC - Export Cable</v>
      </c>
      <c r="I84" s="640" t="s">
        <v>2807</v>
      </c>
      <c r="J84" s="641" t="s">
        <v>2806</v>
      </c>
      <c r="K84" s="642" t="s">
        <v>2914</v>
      </c>
      <c r="L84" s="642" t="s">
        <v>2915</v>
      </c>
      <c r="M84" s="626" t="s">
        <v>1165</v>
      </c>
      <c r="N84" s="626" t="s">
        <v>1165</v>
      </c>
      <c r="O84" s="626" t="s">
        <v>1165</v>
      </c>
      <c r="P84" s="626" t="s">
        <v>2808</v>
      </c>
      <c r="Q84" s="623" t="s">
        <v>1100</v>
      </c>
      <c r="R84" s="641" t="s">
        <v>1120</v>
      </c>
      <c r="S84" s="642" t="s">
        <v>1102</v>
      </c>
      <c r="T84" s="642" t="s">
        <v>2971</v>
      </c>
      <c r="U84" s="641" t="s">
        <v>2916</v>
      </c>
      <c r="V84" s="642" t="s">
        <v>2972</v>
      </c>
      <c r="W84" s="642" t="s">
        <v>1165</v>
      </c>
      <c r="X84" s="642" t="s">
        <v>2918</v>
      </c>
      <c r="Y84" s="642" t="s">
        <v>2917</v>
      </c>
      <c r="Z84" s="626" t="s">
        <v>2973</v>
      </c>
      <c r="AA84" s="626" t="s">
        <v>1165</v>
      </c>
      <c r="AB84" s="621" t="s">
        <v>2974</v>
      </c>
      <c r="AC84" s="621" t="s">
        <v>110</v>
      </c>
      <c r="AD84" s="621" t="s">
        <v>110</v>
      </c>
      <c r="AE84" s="621" t="s">
        <v>110</v>
      </c>
      <c r="AF84" s="621" t="s">
        <v>1105</v>
      </c>
      <c r="AG84" s="621" t="s">
        <v>1105</v>
      </c>
      <c r="AI84" s="455" t="str">
        <f t="shared" si="5"/>
        <v>Apr-2025</v>
      </c>
    </row>
    <row r="85" spans="1:259" ht="153" customHeight="1">
      <c r="A85" s="626">
        <f>IF(B85&lt;&gt;"", COUNTA($B$2:B85), "")</f>
        <v>84</v>
      </c>
      <c r="B85" s="626" t="str">
        <f t="shared" si="7"/>
        <v>Closed</v>
      </c>
      <c r="C85" s="627">
        <v>45761</v>
      </c>
      <c r="D85" s="627">
        <v>45853</v>
      </c>
      <c r="E85" s="626" t="s">
        <v>2809</v>
      </c>
      <c r="F85" s="626" t="s">
        <v>1094</v>
      </c>
      <c r="G85" s="626" t="s">
        <v>1161</v>
      </c>
      <c r="H85" s="626" t="str" cm="1">
        <f t="array" ref="H85">_xlfn.IFS(
    G85="CDWE", "TNI - Transportation &amp; Installation",
    G85="Seaway7", "CTI - Cable T&amp;I",
    G85="LS Cable", "EXC - Export Cable",
    G85="Hellenic", "IAC - Inter Array Cable",
    TRUE, "")</f>
        <v>EXC - Export Cable</v>
      </c>
      <c r="I85" s="641" t="s">
        <v>148</v>
      </c>
      <c r="J85" s="641" t="s">
        <v>2810</v>
      </c>
      <c r="K85" s="641" t="s">
        <v>3140</v>
      </c>
      <c r="L85" s="641" t="s">
        <v>3061</v>
      </c>
      <c r="M85" s="641" t="s">
        <v>2811</v>
      </c>
      <c r="N85" s="641" t="s">
        <v>2812</v>
      </c>
      <c r="O85" s="626" t="s">
        <v>2812</v>
      </c>
      <c r="P85" s="626" t="s">
        <v>2813</v>
      </c>
      <c r="Q85" s="641" t="s">
        <v>1100</v>
      </c>
      <c r="R85" s="641" t="s">
        <v>1101</v>
      </c>
      <c r="S85" s="626" t="s">
        <v>1102</v>
      </c>
      <c r="T85" s="641" t="s">
        <v>3148</v>
      </c>
      <c r="U85" s="641" t="s">
        <v>3141</v>
      </c>
      <c r="V85" s="641" t="s">
        <v>3149</v>
      </c>
      <c r="W85" s="641" t="s">
        <v>1514</v>
      </c>
      <c r="X85" s="641" t="s">
        <v>3142</v>
      </c>
      <c r="Y85" s="641" t="s">
        <v>3145</v>
      </c>
      <c r="Z85" s="641" t="s">
        <v>3146</v>
      </c>
      <c r="AA85" s="626" t="s">
        <v>1165</v>
      </c>
      <c r="AB85" s="623" t="s">
        <v>3144</v>
      </c>
      <c r="AC85" s="621" t="s">
        <v>110</v>
      </c>
      <c r="AD85" s="621" t="s">
        <v>110</v>
      </c>
      <c r="AE85" s="621" t="s">
        <v>110</v>
      </c>
      <c r="AF85" s="621" t="s">
        <v>1105</v>
      </c>
      <c r="AG85" s="621" t="s">
        <v>1105</v>
      </c>
      <c r="AI85" s="455" t="str">
        <f t="shared" si="5"/>
        <v>Apr-2025</v>
      </c>
      <c r="AJ85" s="455"/>
    </row>
    <row r="86" spans="1:259" ht="263.45" customHeight="1">
      <c r="A86" s="621">
        <f>IF(B86&lt;&gt;"", COUNTA($B$2:B86), "")</f>
        <v>85</v>
      </c>
      <c r="B86" s="621" t="str">
        <f t="shared" si="7"/>
        <v>Opening</v>
      </c>
      <c r="C86" s="627">
        <v>45875</v>
      </c>
      <c r="D86" s="626" t="s">
        <v>2519</v>
      </c>
      <c r="E86" s="626" t="s">
        <v>3240</v>
      </c>
      <c r="F86" s="626" t="s">
        <v>1146</v>
      </c>
      <c r="G86" s="626" t="s">
        <v>1454</v>
      </c>
      <c r="H86" s="626" t="str" cm="1">
        <f t="array" ref="H86">_xlfn.IFS(
    G86="CDWE", "TNI - Transportation &amp; Installation",
    G86="Seaway7", "CTI - Cable T&amp;I",
    G86="LS Cable", "EXC - Export Cable",
    G86="Hellenic", "IAC - Inter Array Cable",
    TRUE, "")</f>
        <v>CTI - Cable T&amp;I</v>
      </c>
      <c r="I86" s="641" t="s">
        <v>148</v>
      </c>
      <c r="J86" s="641" t="s">
        <v>3247</v>
      </c>
      <c r="K86" s="641" t="s">
        <v>148</v>
      </c>
      <c r="L86" s="642" t="s">
        <v>3248</v>
      </c>
      <c r="M86" s="641" t="s">
        <v>3249</v>
      </c>
      <c r="N86" s="641" t="s">
        <v>2473</v>
      </c>
      <c r="O86" s="641" t="s">
        <v>3250</v>
      </c>
      <c r="P86" s="626" t="s">
        <v>148</v>
      </c>
      <c r="Q86" s="641" t="s">
        <v>148</v>
      </c>
      <c r="R86" s="641" t="s">
        <v>148</v>
      </c>
      <c r="S86" s="641" t="s">
        <v>148</v>
      </c>
      <c r="T86" s="641" t="s">
        <v>148</v>
      </c>
      <c r="U86" s="626" t="s">
        <v>148</v>
      </c>
      <c r="V86" s="641" t="s">
        <v>148</v>
      </c>
      <c r="W86" s="641" t="s">
        <v>148</v>
      </c>
      <c r="X86" s="642" t="s">
        <v>148</v>
      </c>
      <c r="Y86" s="642" t="s">
        <v>148</v>
      </c>
      <c r="Z86" s="641" t="s">
        <v>148</v>
      </c>
      <c r="AA86" s="641" t="s">
        <v>148</v>
      </c>
      <c r="AB86" s="642" t="s">
        <v>148</v>
      </c>
      <c r="AC86" s="626" t="s">
        <v>110</v>
      </c>
      <c r="AD86" s="626" t="s">
        <v>110</v>
      </c>
      <c r="AE86" s="626" t="s">
        <v>110</v>
      </c>
      <c r="AF86" s="626" t="s">
        <v>110</v>
      </c>
      <c r="AG86" s="621" t="s">
        <v>110</v>
      </c>
      <c r="AI86" s="455" t="str">
        <f t="shared" si="5"/>
        <v>Aug-2025</v>
      </c>
    </row>
    <row r="87" spans="1:259" ht="157.5" customHeight="1">
      <c r="A87" s="621">
        <f>IF(B87&lt;&gt;"", COUNTA($B$2:B87), "")</f>
        <v>86</v>
      </c>
      <c r="B87" s="621" t="str">
        <f t="shared" si="7"/>
        <v>Closed</v>
      </c>
      <c r="C87" s="627">
        <v>45470</v>
      </c>
      <c r="D87" s="622">
        <v>45792</v>
      </c>
      <c r="E87" s="621" t="s">
        <v>1540</v>
      </c>
      <c r="F87" s="621" t="s">
        <v>1094</v>
      </c>
      <c r="G87" s="621" t="s">
        <v>1454</v>
      </c>
      <c r="H87" s="621" t="str" cm="1">
        <f t="array" ref="H87">_xlfn.IFS(
    G87="CDWE", "TNI - Transportation &amp; Installation",
    G87="Seaway7", "CTI - Cable T&amp;I",
    G87="LS Cable", "EXC - Export Cable",
    G87="Hellenic", "IAC - Inter Array Cable",
    TRUE, "")</f>
        <v>CTI - Cable T&amp;I</v>
      </c>
      <c r="I87" s="453" t="s">
        <v>3054</v>
      </c>
      <c r="J87" s="623" t="s">
        <v>1541</v>
      </c>
      <c r="K87" s="453" t="s">
        <v>1542</v>
      </c>
      <c r="L87" s="453" t="s">
        <v>1543</v>
      </c>
      <c r="M87" s="621" t="s">
        <v>1544</v>
      </c>
      <c r="N87" s="621" t="s">
        <v>1545</v>
      </c>
      <c r="O87" s="621" t="s">
        <v>1492</v>
      </c>
      <c r="P87" s="621" t="s">
        <v>31</v>
      </c>
      <c r="Q87" s="623" t="s">
        <v>1100</v>
      </c>
      <c r="R87" s="621" t="s">
        <v>1120</v>
      </c>
      <c r="S87" s="621" t="s">
        <v>1102</v>
      </c>
      <c r="T87" s="453" t="s">
        <v>2948</v>
      </c>
      <c r="U87" s="453" t="s">
        <v>2949</v>
      </c>
      <c r="V87" s="453" t="s">
        <v>2950</v>
      </c>
      <c r="W87" s="453" t="s">
        <v>2951</v>
      </c>
      <c r="X87" s="453" t="s">
        <v>2952</v>
      </c>
      <c r="Y87" s="453" t="s">
        <v>2953</v>
      </c>
      <c r="Z87" s="453" t="s">
        <v>2954</v>
      </c>
      <c r="AA87" s="621" t="s">
        <v>2955</v>
      </c>
      <c r="AB87" s="621" t="s">
        <v>2956</v>
      </c>
      <c r="AC87" s="621" t="s">
        <v>110</v>
      </c>
      <c r="AD87" s="621" t="s">
        <v>110</v>
      </c>
      <c r="AE87" s="621" t="s">
        <v>110</v>
      </c>
      <c r="AF87" s="455" t="s">
        <v>1105</v>
      </c>
      <c r="AG87" s="455" t="s">
        <v>1105</v>
      </c>
      <c r="AH87" s="279"/>
      <c r="AI87" s="455" t="str">
        <f t="shared" si="5"/>
        <v>Jun-2024</v>
      </c>
      <c r="AJ87" s="279"/>
      <c r="AK87" s="636" t="s">
        <v>2471</v>
      </c>
      <c r="AL87" s="279"/>
      <c r="AM87" s="279"/>
      <c r="AN87" s="279"/>
      <c r="AO87" s="279"/>
      <c r="AP87" s="279"/>
      <c r="AQ87" s="279"/>
      <c r="AR87" s="279"/>
      <c r="AS87" s="279"/>
      <c r="AT87" s="279"/>
      <c r="AU87" s="279"/>
      <c r="AV87" s="279"/>
      <c r="AW87" s="279"/>
      <c r="AX87" s="279"/>
      <c r="AY87" s="279"/>
      <c r="AZ87" s="279"/>
      <c r="BA87" s="279"/>
      <c r="BB87" s="279"/>
      <c r="BC87" s="279"/>
      <c r="BD87" s="279"/>
      <c r="BE87" s="279"/>
      <c r="BF87" s="279"/>
      <c r="BG87" s="279"/>
      <c r="BH87" s="279"/>
      <c r="BI87" s="279"/>
      <c r="BJ87" s="279"/>
      <c r="BK87" s="279"/>
      <c r="BL87" s="279"/>
      <c r="BM87" s="279"/>
      <c r="BN87" s="279"/>
      <c r="BO87" s="279"/>
      <c r="BP87" s="279"/>
      <c r="BQ87" s="279"/>
      <c r="BR87" s="279"/>
      <c r="BS87" s="279"/>
      <c r="BT87" s="279"/>
      <c r="BU87" s="279"/>
      <c r="BV87" s="279"/>
      <c r="BW87" s="279"/>
      <c r="BX87" s="279"/>
      <c r="BY87" s="279"/>
      <c r="BZ87" s="279"/>
      <c r="CA87" s="279"/>
      <c r="CB87" s="279"/>
      <c r="CC87" s="279"/>
      <c r="CD87" s="279"/>
      <c r="CE87" s="279"/>
      <c r="CF87" s="279"/>
      <c r="CG87" s="279"/>
      <c r="CH87" s="279"/>
      <c r="CI87" s="279"/>
      <c r="CJ87" s="279"/>
      <c r="CK87" s="279"/>
      <c r="CL87" s="279"/>
      <c r="CM87" s="279"/>
      <c r="CN87" s="279"/>
      <c r="CO87" s="279"/>
      <c r="CP87" s="279"/>
      <c r="CQ87" s="279"/>
      <c r="CR87" s="279"/>
      <c r="CS87" s="279"/>
      <c r="CT87" s="279"/>
      <c r="CU87" s="279"/>
      <c r="CV87" s="279"/>
      <c r="CW87" s="279"/>
      <c r="CX87" s="279"/>
      <c r="CY87" s="279"/>
      <c r="CZ87" s="279"/>
      <c r="DA87" s="279"/>
      <c r="DB87" s="279"/>
      <c r="DC87" s="279"/>
      <c r="DD87" s="279"/>
      <c r="DE87" s="279"/>
      <c r="DF87" s="279"/>
      <c r="DG87" s="279"/>
      <c r="DH87" s="279"/>
      <c r="DI87" s="279"/>
      <c r="DJ87" s="279"/>
      <c r="DK87" s="279"/>
      <c r="DL87" s="279"/>
      <c r="DM87" s="279"/>
      <c r="DN87" s="279"/>
      <c r="DO87" s="279"/>
      <c r="DP87" s="279"/>
      <c r="DQ87" s="279"/>
      <c r="DR87" s="279"/>
      <c r="DS87" s="279"/>
      <c r="DT87" s="279"/>
      <c r="DU87" s="279"/>
      <c r="DV87" s="279"/>
      <c r="DW87" s="279"/>
      <c r="DX87" s="279"/>
      <c r="DY87" s="279"/>
      <c r="DZ87" s="279"/>
      <c r="EA87" s="279"/>
      <c r="EB87" s="279"/>
      <c r="EC87" s="279"/>
      <c r="ED87" s="279"/>
      <c r="EE87" s="279"/>
      <c r="EF87" s="279"/>
      <c r="EG87" s="279"/>
      <c r="EH87" s="279"/>
      <c r="EI87" s="279"/>
      <c r="EJ87" s="279"/>
      <c r="EK87" s="279"/>
      <c r="EL87" s="279"/>
      <c r="EM87" s="279"/>
      <c r="EN87" s="279"/>
      <c r="EO87" s="279"/>
      <c r="EP87" s="279"/>
      <c r="EQ87" s="279"/>
      <c r="ER87" s="279"/>
      <c r="ES87" s="279"/>
      <c r="ET87" s="279"/>
      <c r="EU87" s="279"/>
      <c r="EV87" s="279"/>
      <c r="EW87" s="279"/>
      <c r="EX87" s="279"/>
      <c r="EY87" s="279"/>
      <c r="EZ87" s="279"/>
      <c r="FA87" s="279"/>
      <c r="FB87" s="279"/>
      <c r="FC87" s="279"/>
      <c r="FD87" s="279"/>
      <c r="FE87" s="279"/>
      <c r="FF87" s="279"/>
      <c r="FG87" s="279"/>
      <c r="FH87" s="279"/>
      <c r="FI87" s="279"/>
      <c r="FJ87" s="279"/>
      <c r="FK87" s="279"/>
      <c r="FL87" s="279"/>
      <c r="FM87" s="279"/>
      <c r="FN87" s="279"/>
      <c r="FO87" s="279"/>
      <c r="FP87" s="279"/>
      <c r="FQ87" s="279"/>
      <c r="FR87" s="279"/>
      <c r="FS87" s="279"/>
      <c r="FT87" s="279"/>
      <c r="FU87" s="279"/>
      <c r="FV87" s="279"/>
      <c r="FW87" s="279"/>
      <c r="FX87" s="279"/>
      <c r="FY87" s="279"/>
      <c r="FZ87" s="279"/>
      <c r="GA87" s="279"/>
      <c r="GB87" s="279"/>
      <c r="GC87" s="279"/>
      <c r="GD87" s="279"/>
      <c r="GE87" s="279"/>
      <c r="GF87" s="279"/>
      <c r="GG87" s="279"/>
      <c r="GH87" s="279"/>
      <c r="GI87" s="279"/>
      <c r="GJ87" s="279"/>
      <c r="GK87" s="279"/>
      <c r="GL87" s="279"/>
      <c r="GM87" s="279"/>
      <c r="GN87" s="279"/>
      <c r="GO87" s="279"/>
      <c r="GP87" s="279"/>
      <c r="GQ87" s="279"/>
      <c r="GR87" s="279"/>
      <c r="GS87" s="279"/>
      <c r="GT87" s="279"/>
      <c r="GU87" s="279"/>
      <c r="GV87" s="279"/>
      <c r="GW87" s="279"/>
      <c r="GX87" s="279"/>
      <c r="GY87" s="279"/>
      <c r="GZ87" s="279"/>
      <c r="HA87" s="279"/>
      <c r="HB87" s="279"/>
      <c r="HC87" s="279"/>
      <c r="HD87" s="279"/>
      <c r="HE87" s="279"/>
      <c r="HF87" s="279"/>
      <c r="HG87" s="279"/>
      <c r="HH87" s="279"/>
      <c r="HI87" s="279"/>
      <c r="HJ87" s="279"/>
      <c r="HK87" s="279"/>
      <c r="HL87" s="279"/>
      <c r="HM87" s="279"/>
      <c r="HN87" s="279"/>
      <c r="HO87" s="279"/>
      <c r="HP87" s="279"/>
      <c r="HQ87" s="279"/>
      <c r="HR87" s="279"/>
      <c r="HS87" s="279"/>
      <c r="HT87" s="279"/>
      <c r="HU87" s="279"/>
      <c r="HV87" s="279"/>
      <c r="HW87" s="279"/>
      <c r="HX87" s="279"/>
      <c r="HY87" s="279"/>
      <c r="HZ87" s="279"/>
      <c r="IA87" s="279"/>
      <c r="IB87" s="279"/>
      <c r="IC87" s="279"/>
      <c r="ID87" s="279"/>
      <c r="IE87" s="279"/>
      <c r="IF87" s="279"/>
      <c r="IG87" s="279"/>
      <c r="IH87" s="279"/>
      <c r="II87" s="279"/>
      <c r="IJ87" s="279"/>
      <c r="IK87" s="279"/>
      <c r="IL87" s="279"/>
      <c r="IM87" s="279"/>
      <c r="IN87" s="279"/>
      <c r="IO87" s="279"/>
      <c r="IP87" s="279"/>
      <c r="IQ87" s="279"/>
      <c r="IR87" s="279"/>
      <c r="IS87" s="279"/>
      <c r="IT87" s="279"/>
      <c r="IU87" s="279"/>
      <c r="IV87" s="279"/>
      <c r="IW87" s="279"/>
      <c r="IX87" s="279"/>
      <c r="IY87" s="279"/>
    </row>
    <row r="88" spans="1:259" ht="390">
      <c r="A88" s="621">
        <f>IF(B88&lt;&gt;"", COUNTA($B$2:B88), "")</f>
        <v>87</v>
      </c>
      <c r="B88" s="621" t="str">
        <f t="shared" si="7"/>
        <v>Opening</v>
      </c>
      <c r="C88" s="627">
        <v>45161</v>
      </c>
      <c r="D88" s="622" t="s">
        <v>2519</v>
      </c>
      <c r="E88" s="455" t="s">
        <v>1494</v>
      </c>
      <c r="F88" s="621" t="s">
        <v>1094</v>
      </c>
      <c r="G88" s="621" t="s">
        <v>1454</v>
      </c>
      <c r="H88" s="621" t="str" cm="1">
        <f t="array" ref="H88">_xlfn.IFS(
    G88="CDWE", "TNI - Transportation &amp; Installation",
    G88="Seaway7", "CTI - Cable T&amp;I",
    G88="LS Cable", "EXC - Export Cable",
    G88="Hellenic", "IAC - Inter Array Cable",
    TRUE, "")</f>
        <v>CTI - Cable T&amp;I</v>
      </c>
      <c r="I88" s="636" t="s">
        <v>3048</v>
      </c>
      <c r="J88" s="643" t="s">
        <v>1495</v>
      </c>
      <c r="K88" s="643" t="s">
        <v>1496</v>
      </c>
      <c r="L88" s="636" t="s">
        <v>1497</v>
      </c>
      <c r="M88" s="455" t="s">
        <v>1498</v>
      </c>
      <c r="N88" s="455" t="s">
        <v>1458</v>
      </c>
      <c r="O88" s="621" t="s">
        <v>1499</v>
      </c>
      <c r="P88" s="455" t="s">
        <v>1498</v>
      </c>
      <c r="Q88" s="643" t="s">
        <v>1151</v>
      </c>
      <c r="R88" s="455" t="s">
        <v>1120</v>
      </c>
      <c r="S88" s="455"/>
      <c r="T88" s="455" t="s">
        <v>1500</v>
      </c>
      <c r="U88" s="636" t="s">
        <v>1501</v>
      </c>
      <c r="V88" s="455" t="s">
        <v>1502</v>
      </c>
      <c r="W88" s="455" t="s">
        <v>1046</v>
      </c>
      <c r="X88" s="636" t="s">
        <v>1503</v>
      </c>
      <c r="Y88" s="636" t="s">
        <v>1504</v>
      </c>
      <c r="Z88" s="455" t="s">
        <v>1505</v>
      </c>
      <c r="AA88" s="455" t="s">
        <v>1506</v>
      </c>
      <c r="AB88" s="455" t="s">
        <v>1046</v>
      </c>
      <c r="AC88" s="455" t="s">
        <v>1105</v>
      </c>
      <c r="AD88" s="455" t="s">
        <v>110</v>
      </c>
      <c r="AE88" s="455" t="s">
        <v>110</v>
      </c>
      <c r="AF88" s="455" t="s">
        <v>110</v>
      </c>
      <c r="AG88" s="455" t="s">
        <v>110</v>
      </c>
      <c r="AH88" s="279"/>
      <c r="AI88" s="455" t="str">
        <f t="shared" si="5"/>
        <v>Aug-2023</v>
      </c>
      <c r="AJ88" s="279"/>
      <c r="AK88" s="279" t="s">
        <v>2467</v>
      </c>
      <c r="AL88" s="279"/>
      <c r="AM88" s="279"/>
      <c r="AN88" s="279"/>
      <c r="AO88" s="279"/>
      <c r="AP88" s="279"/>
      <c r="AQ88" s="279"/>
      <c r="AR88" s="279"/>
      <c r="AS88" s="279"/>
      <c r="AT88" s="279"/>
      <c r="AU88" s="279"/>
      <c r="AV88" s="279"/>
      <c r="AW88" s="279"/>
      <c r="AX88" s="279"/>
      <c r="AY88" s="279"/>
      <c r="AZ88" s="279"/>
      <c r="BA88" s="279"/>
      <c r="BB88" s="279"/>
      <c r="BC88" s="279"/>
      <c r="BD88" s="279"/>
      <c r="BE88" s="279"/>
      <c r="BF88" s="279"/>
      <c r="BG88" s="279"/>
      <c r="BH88" s="279"/>
      <c r="BI88" s="279"/>
      <c r="BJ88" s="279"/>
      <c r="BK88" s="279"/>
      <c r="BL88" s="279"/>
      <c r="BM88" s="279"/>
      <c r="BN88" s="279"/>
      <c r="BO88" s="279"/>
      <c r="BP88" s="279"/>
      <c r="BQ88" s="279"/>
      <c r="BR88" s="279"/>
      <c r="BS88" s="279"/>
      <c r="BT88" s="279"/>
      <c r="BU88" s="279"/>
      <c r="BV88" s="279"/>
      <c r="BW88" s="279"/>
      <c r="BX88" s="279"/>
      <c r="BY88" s="279"/>
      <c r="BZ88" s="279"/>
      <c r="CA88" s="279"/>
      <c r="CB88" s="279"/>
      <c r="CC88" s="279"/>
      <c r="CD88" s="279"/>
      <c r="CE88" s="279"/>
      <c r="CF88" s="279"/>
      <c r="CG88" s="279"/>
      <c r="CH88" s="279"/>
      <c r="CI88" s="279"/>
      <c r="CJ88" s="279"/>
      <c r="CK88" s="279"/>
      <c r="CL88" s="279"/>
      <c r="CM88" s="279"/>
      <c r="CN88" s="279"/>
      <c r="CO88" s="279"/>
      <c r="CP88" s="279"/>
      <c r="CQ88" s="279"/>
      <c r="CR88" s="279"/>
      <c r="CS88" s="279"/>
      <c r="CT88" s="279"/>
      <c r="CU88" s="279"/>
      <c r="CV88" s="279"/>
      <c r="CW88" s="279"/>
      <c r="CX88" s="279"/>
      <c r="CY88" s="279"/>
      <c r="CZ88" s="279"/>
      <c r="DA88" s="279"/>
      <c r="DB88" s="279"/>
      <c r="DC88" s="279"/>
      <c r="DD88" s="279"/>
      <c r="DE88" s="279"/>
      <c r="DF88" s="279"/>
      <c r="DG88" s="279"/>
      <c r="DH88" s="279"/>
      <c r="DI88" s="279"/>
      <c r="DJ88" s="279"/>
      <c r="DK88" s="279"/>
      <c r="DL88" s="279"/>
      <c r="DM88" s="279"/>
      <c r="DN88" s="279"/>
      <c r="DO88" s="279"/>
      <c r="DP88" s="279"/>
      <c r="DQ88" s="279"/>
      <c r="DR88" s="279"/>
      <c r="DS88" s="279"/>
      <c r="DT88" s="279"/>
      <c r="DU88" s="279"/>
      <c r="DV88" s="279"/>
      <c r="DW88" s="279"/>
      <c r="DX88" s="279"/>
      <c r="DY88" s="279"/>
      <c r="DZ88" s="279"/>
      <c r="EA88" s="279"/>
      <c r="EB88" s="279"/>
      <c r="EC88" s="279"/>
      <c r="ED88" s="279"/>
      <c r="EE88" s="279"/>
      <c r="EF88" s="279"/>
      <c r="EG88" s="279"/>
      <c r="EH88" s="279"/>
      <c r="EI88" s="279"/>
      <c r="EJ88" s="279"/>
      <c r="EK88" s="279"/>
      <c r="EL88" s="279"/>
      <c r="EM88" s="279"/>
      <c r="EN88" s="279"/>
      <c r="EO88" s="279"/>
      <c r="EP88" s="279"/>
      <c r="EQ88" s="279"/>
      <c r="ER88" s="279"/>
      <c r="ES88" s="279"/>
      <c r="ET88" s="279"/>
      <c r="EU88" s="279"/>
      <c r="EV88" s="279"/>
      <c r="EW88" s="279"/>
      <c r="EX88" s="279"/>
      <c r="EY88" s="279"/>
      <c r="EZ88" s="279"/>
      <c r="FA88" s="279"/>
      <c r="FB88" s="279"/>
      <c r="FC88" s="279"/>
      <c r="FD88" s="279"/>
      <c r="FE88" s="279"/>
      <c r="FF88" s="279"/>
      <c r="FG88" s="279"/>
      <c r="FH88" s="279"/>
      <c r="FI88" s="279"/>
      <c r="FJ88" s="279"/>
      <c r="FK88" s="279"/>
      <c r="FL88" s="279"/>
      <c r="FM88" s="279"/>
      <c r="FN88" s="279"/>
      <c r="FO88" s="279"/>
      <c r="FP88" s="279"/>
      <c r="FQ88" s="279"/>
      <c r="FR88" s="279"/>
      <c r="FS88" s="279"/>
      <c r="FT88" s="279"/>
      <c r="FU88" s="279"/>
      <c r="FV88" s="279"/>
      <c r="FW88" s="279"/>
      <c r="FX88" s="279"/>
      <c r="FY88" s="279"/>
      <c r="FZ88" s="279"/>
      <c r="GA88" s="279"/>
      <c r="GB88" s="279"/>
      <c r="GC88" s="279"/>
      <c r="GD88" s="279"/>
      <c r="GE88" s="279"/>
      <c r="GF88" s="279"/>
      <c r="GG88" s="279"/>
      <c r="GH88" s="279"/>
      <c r="GI88" s="279"/>
      <c r="GJ88" s="279"/>
      <c r="GK88" s="279"/>
      <c r="GL88" s="279"/>
      <c r="GM88" s="279"/>
      <c r="GN88" s="279"/>
      <c r="GO88" s="279"/>
      <c r="GP88" s="279"/>
      <c r="GQ88" s="279"/>
      <c r="GR88" s="279"/>
      <c r="GS88" s="279"/>
      <c r="GT88" s="279"/>
      <c r="GU88" s="279"/>
      <c r="GV88" s="279"/>
      <c r="GW88" s="279"/>
      <c r="GX88" s="279"/>
      <c r="GY88" s="279"/>
      <c r="GZ88" s="279"/>
      <c r="HA88" s="279"/>
      <c r="HB88" s="279"/>
      <c r="HC88" s="279"/>
      <c r="HD88" s="279"/>
      <c r="HE88" s="279"/>
      <c r="HF88" s="279"/>
      <c r="HG88" s="279"/>
      <c r="HH88" s="279"/>
      <c r="HI88" s="279"/>
      <c r="HJ88" s="279"/>
      <c r="HK88" s="279"/>
      <c r="HL88" s="279"/>
      <c r="HM88" s="279"/>
      <c r="HN88" s="279"/>
      <c r="HO88" s="279"/>
      <c r="HP88" s="279"/>
      <c r="HQ88" s="279"/>
      <c r="HR88" s="279"/>
      <c r="HS88" s="279"/>
      <c r="HT88" s="279"/>
      <c r="HU88" s="279"/>
      <c r="HV88" s="279"/>
      <c r="HW88" s="279"/>
      <c r="HX88" s="279"/>
      <c r="HY88" s="279"/>
      <c r="HZ88" s="279"/>
      <c r="IA88" s="279"/>
      <c r="IB88" s="279"/>
      <c r="IC88" s="279"/>
      <c r="ID88" s="279"/>
      <c r="IE88" s="279"/>
      <c r="IF88" s="279"/>
      <c r="IG88" s="279"/>
      <c r="IH88" s="279"/>
      <c r="II88" s="279"/>
      <c r="IJ88" s="279"/>
      <c r="IK88" s="279"/>
      <c r="IL88" s="279"/>
      <c r="IM88" s="279"/>
      <c r="IN88" s="279"/>
      <c r="IO88" s="279"/>
      <c r="IP88" s="279"/>
      <c r="IQ88" s="279"/>
      <c r="IR88" s="279"/>
      <c r="IS88" s="279"/>
      <c r="IT88" s="279"/>
      <c r="IU88" s="279"/>
      <c r="IV88" s="279"/>
      <c r="IW88" s="279"/>
      <c r="IX88" s="279"/>
      <c r="IY88" s="279"/>
    </row>
    <row r="89" spans="1:259" ht="330">
      <c r="A89" s="621">
        <f>IF(B89&lt;&gt;"", COUNTA($B$2:B89), "")</f>
        <v>88</v>
      </c>
      <c r="B89" s="621" t="str">
        <f t="shared" si="7"/>
        <v>Closed</v>
      </c>
      <c r="C89" s="627">
        <v>45216</v>
      </c>
      <c r="D89" s="622">
        <v>45611</v>
      </c>
      <c r="E89" s="621" t="s">
        <v>2482</v>
      </c>
      <c r="F89" s="621" t="s">
        <v>1094</v>
      </c>
      <c r="G89" s="621" t="s">
        <v>1454</v>
      </c>
      <c r="H89" s="621" t="str" cm="1">
        <f t="array" ref="H89">_xlfn.IFS(
    G89="CDWE", "TNI - Transportation &amp; Installation",
    G89="Seaway7", "CTI - Cable T&amp;I",
    G89="LS Cable", "EXC - Export Cable",
    G89="Hellenic", "IAC - Inter Array Cable",
    TRUE, "")</f>
        <v>CTI - Cable T&amp;I</v>
      </c>
      <c r="I89" s="456" t="s">
        <v>2483</v>
      </c>
      <c r="J89" s="623" t="s">
        <v>1455</v>
      </c>
      <c r="K89" s="623" t="s">
        <v>2484</v>
      </c>
      <c r="L89" s="453" t="s">
        <v>2485</v>
      </c>
      <c r="M89" s="621" t="s">
        <v>1456</v>
      </c>
      <c r="N89" s="621" t="s">
        <v>1457</v>
      </c>
      <c r="O89" s="621" t="s">
        <v>1458</v>
      </c>
      <c r="P89" s="455" t="s">
        <v>1459</v>
      </c>
      <c r="Q89" s="643" t="s">
        <v>1100</v>
      </c>
      <c r="R89" s="455" t="s">
        <v>1142</v>
      </c>
      <c r="S89" s="621" t="s">
        <v>1102</v>
      </c>
      <c r="T89" s="455" t="s">
        <v>1460</v>
      </c>
      <c r="U89" s="636" t="s">
        <v>2486</v>
      </c>
      <c r="V89" s="643" t="s">
        <v>2487</v>
      </c>
      <c r="W89" s="455" t="s">
        <v>1461</v>
      </c>
      <c r="X89" s="636" t="s">
        <v>2488</v>
      </c>
      <c r="Y89" s="636" t="s">
        <v>2489</v>
      </c>
      <c r="Z89" s="643" t="s">
        <v>2490</v>
      </c>
      <c r="AA89" s="621" t="s">
        <v>1458</v>
      </c>
      <c r="AB89" s="623" t="s">
        <v>2491</v>
      </c>
      <c r="AC89" s="455" t="s">
        <v>110</v>
      </c>
      <c r="AD89" s="455" t="s">
        <v>110</v>
      </c>
      <c r="AE89" s="455" t="s">
        <v>110</v>
      </c>
      <c r="AF89" s="455" t="s">
        <v>1105</v>
      </c>
      <c r="AG89" s="455" t="s">
        <v>1105</v>
      </c>
      <c r="AH89" s="279"/>
      <c r="AI89" s="455" t="str">
        <f t="shared" si="5"/>
        <v>Oct-2023</v>
      </c>
      <c r="AJ89" s="279"/>
      <c r="AK89" s="279"/>
      <c r="AL89" s="279"/>
      <c r="AM89" s="279"/>
      <c r="AN89" s="279"/>
      <c r="AO89" s="279"/>
      <c r="AP89" s="279"/>
      <c r="AQ89" s="279"/>
      <c r="AR89" s="279"/>
      <c r="AS89" s="279"/>
      <c r="AT89" s="279"/>
      <c r="AU89" s="279"/>
      <c r="AV89" s="279"/>
      <c r="AW89" s="279"/>
      <c r="AX89" s="279"/>
      <c r="AY89" s="279"/>
      <c r="AZ89" s="279"/>
      <c r="BA89" s="279"/>
      <c r="BB89" s="279"/>
      <c r="BC89" s="279"/>
      <c r="BD89" s="279"/>
      <c r="BE89" s="279"/>
      <c r="BF89" s="279"/>
      <c r="BG89" s="279"/>
      <c r="BH89" s="279"/>
      <c r="BI89" s="279"/>
      <c r="BJ89" s="279"/>
      <c r="BK89" s="279"/>
      <c r="BL89" s="279"/>
      <c r="BM89" s="279"/>
      <c r="BN89" s="279"/>
      <c r="BO89" s="279"/>
      <c r="BP89" s="279"/>
      <c r="BQ89" s="279"/>
      <c r="BR89" s="279"/>
      <c r="BS89" s="279"/>
      <c r="BT89" s="279"/>
      <c r="BU89" s="279"/>
      <c r="BV89" s="279"/>
      <c r="BW89" s="279"/>
      <c r="BX89" s="279"/>
      <c r="BY89" s="279"/>
      <c r="BZ89" s="279"/>
      <c r="CA89" s="279"/>
      <c r="CB89" s="279"/>
      <c r="CC89" s="279"/>
      <c r="CD89" s="279"/>
      <c r="CE89" s="279"/>
      <c r="CF89" s="279"/>
      <c r="CG89" s="279"/>
      <c r="CH89" s="279"/>
      <c r="CI89" s="279"/>
      <c r="CJ89" s="279"/>
      <c r="CK89" s="279"/>
      <c r="CL89" s="279"/>
      <c r="CM89" s="279"/>
      <c r="CN89" s="279"/>
      <c r="CO89" s="279"/>
      <c r="CP89" s="279"/>
      <c r="CQ89" s="279"/>
      <c r="CR89" s="279"/>
      <c r="CS89" s="279"/>
      <c r="CT89" s="279"/>
      <c r="CU89" s="279"/>
      <c r="CV89" s="279"/>
      <c r="CW89" s="279"/>
      <c r="CX89" s="279"/>
      <c r="CY89" s="279"/>
      <c r="CZ89" s="279"/>
      <c r="DA89" s="279"/>
      <c r="DB89" s="279"/>
      <c r="DC89" s="279"/>
      <c r="DD89" s="279"/>
      <c r="DE89" s="279"/>
      <c r="DF89" s="279"/>
      <c r="DG89" s="279"/>
      <c r="DH89" s="279"/>
      <c r="DI89" s="279"/>
      <c r="DJ89" s="279"/>
      <c r="DK89" s="279"/>
      <c r="DL89" s="279"/>
      <c r="DM89" s="279"/>
      <c r="DN89" s="279"/>
      <c r="DO89" s="279"/>
      <c r="DP89" s="279"/>
      <c r="DQ89" s="279"/>
      <c r="DR89" s="279"/>
      <c r="DS89" s="279"/>
      <c r="DT89" s="279"/>
      <c r="DU89" s="279"/>
      <c r="DV89" s="279"/>
      <c r="DW89" s="279"/>
      <c r="DX89" s="279"/>
      <c r="DY89" s="279"/>
      <c r="DZ89" s="279"/>
      <c r="EA89" s="279"/>
      <c r="EB89" s="279"/>
      <c r="EC89" s="279"/>
      <c r="ED89" s="279"/>
      <c r="EE89" s="279"/>
      <c r="EF89" s="279"/>
      <c r="EG89" s="279"/>
      <c r="EH89" s="279"/>
      <c r="EI89" s="279"/>
      <c r="EJ89" s="279"/>
      <c r="EK89" s="279"/>
      <c r="EL89" s="279"/>
      <c r="EM89" s="279"/>
      <c r="EN89" s="279"/>
      <c r="EO89" s="279"/>
      <c r="EP89" s="279"/>
      <c r="EQ89" s="279"/>
      <c r="ER89" s="279"/>
      <c r="ES89" s="279"/>
      <c r="ET89" s="279"/>
      <c r="EU89" s="279"/>
      <c r="EV89" s="279"/>
      <c r="EW89" s="279"/>
      <c r="EX89" s="279"/>
      <c r="EY89" s="279"/>
      <c r="EZ89" s="279"/>
      <c r="FA89" s="279"/>
      <c r="FB89" s="279"/>
      <c r="FC89" s="279"/>
      <c r="FD89" s="279"/>
      <c r="FE89" s="279"/>
      <c r="FF89" s="279"/>
      <c r="FG89" s="279"/>
      <c r="FH89" s="279"/>
      <c r="FI89" s="279"/>
      <c r="FJ89" s="279"/>
      <c r="FK89" s="279"/>
      <c r="FL89" s="279"/>
      <c r="FM89" s="279"/>
      <c r="FN89" s="279"/>
      <c r="FO89" s="279"/>
      <c r="FP89" s="279"/>
      <c r="FQ89" s="279"/>
      <c r="FR89" s="279"/>
      <c r="FS89" s="279"/>
      <c r="FT89" s="279"/>
      <c r="FU89" s="279"/>
      <c r="FV89" s="279"/>
      <c r="FW89" s="279"/>
      <c r="FX89" s="279"/>
      <c r="FY89" s="279"/>
      <c r="FZ89" s="279"/>
      <c r="GA89" s="279"/>
      <c r="GB89" s="279"/>
      <c r="GC89" s="279"/>
      <c r="GD89" s="279"/>
      <c r="GE89" s="279"/>
      <c r="GF89" s="279"/>
      <c r="GG89" s="279"/>
      <c r="GH89" s="279"/>
      <c r="GI89" s="279"/>
      <c r="GJ89" s="279"/>
      <c r="GK89" s="279"/>
      <c r="GL89" s="279"/>
      <c r="GM89" s="279"/>
      <c r="GN89" s="279"/>
      <c r="GO89" s="279"/>
      <c r="GP89" s="279"/>
      <c r="GQ89" s="279"/>
      <c r="GR89" s="279"/>
      <c r="GS89" s="279"/>
      <c r="GT89" s="279"/>
      <c r="GU89" s="279"/>
      <c r="GV89" s="279"/>
      <c r="GW89" s="279"/>
      <c r="GX89" s="279"/>
      <c r="GY89" s="279"/>
      <c r="GZ89" s="279"/>
      <c r="HA89" s="279"/>
      <c r="HB89" s="279"/>
      <c r="HC89" s="279"/>
      <c r="HD89" s="279"/>
      <c r="HE89" s="279"/>
      <c r="HF89" s="279"/>
      <c r="HG89" s="279"/>
      <c r="HH89" s="279"/>
      <c r="HI89" s="279"/>
      <c r="HJ89" s="279"/>
      <c r="HK89" s="279"/>
      <c r="HL89" s="279"/>
      <c r="HM89" s="279"/>
      <c r="HN89" s="279"/>
      <c r="HO89" s="279"/>
      <c r="HP89" s="279"/>
      <c r="HQ89" s="279"/>
      <c r="HR89" s="279"/>
      <c r="HS89" s="279"/>
      <c r="HT89" s="279"/>
      <c r="HU89" s="279"/>
      <c r="HV89" s="279"/>
      <c r="HW89" s="279"/>
      <c r="HX89" s="279"/>
      <c r="HY89" s="279"/>
      <c r="HZ89" s="279"/>
      <c r="IA89" s="279"/>
      <c r="IB89" s="279"/>
      <c r="IC89" s="279"/>
      <c r="ID89" s="279"/>
      <c r="IE89" s="279"/>
      <c r="IF89" s="279"/>
      <c r="IG89" s="279"/>
      <c r="IH89" s="279"/>
      <c r="II89" s="279"/>
      <c r="IJ89" s="279"/>
      <c r="IK89" s="279"/>
      <c r="IL89" s="279"/>
      <c r="IM89" s="279"/>
      <c r="IN89" s="279"/>
      <c r="IO89" s="279"/>
      <c r="IP89" s="279"/>
      <c r="IQ89" s="279"/>
      <c r="IR89" s="279"/>
      <c r="IS89" s="279"/>
      <c r="IT89" s="279"/>
      <c r="IU89" s="279"/>
      <c r="IV89" s="279"/>
      <c r="IW89" s="279"/>
      <c r="IX89" s="279"/>
      <c r="IY89" s="279"/>
    </row>
    <row r="90" spans="1:259" ht="135">
      <c r="A90" s="621">
        <f>IF(B90&lt;&gt;"", COUNTA($B$2:B90), "")</f>
        <v>89</v>
      </c>
      <c r="B90" s="621" t="str">
        <f t="shared" si="7"/>
        <v>Closed</v>
      </c>
      <c r="C90" s="627">
        <v>45160</v>
      </c>
      <c r="D90" s="622">
        <v>45610</v>
      </c>
      <c r="E90" s="455" t="s">
        <v>1517</v>
      </c>
      <c r="F90" s="621" t="s">
        <v>1094</v>
      </c>
      <c r="G90" s="621" t="s">
        <v>1454</v>
      </c>
      <c r="H90" s="621" t="str" cm="1">
        <f t="array" ref="H90">_xlfn.IFS(
    G90="CDWE", "TNI - Transportation &amp; Installation",
    G90="Seaway7", "CTI - Cable T&amp;I",
    G90="LS Cable", "EXC - Export Cable",
    G90="Hellenic", "IAC - Inter Array Cable",
    TRUE, "")</f>
        <v>CTI - Cable T&amp;I</v>
      </c>
      <c r="I90" s="831" t="s">
        <v>3050</v>
      </c>
      <c r="J90" s="643" t="s">
        <v>1518</v>
      </c>
      <c r="K90" s="643" t="s">
        <v>3051</v>
      </c>
      <c r="L90" s="636" t="s">
        <v>2495</v>
      </c>
      <c r="M90" s="455" t="s">
        <v>2496</v>
      </c>
      <c r="N90" s="455" t="s">
        <v>1458</v>
      </c>
      <c r="O90" s="455" t="s">
        <v>1499</v>
      </c>
      <c r="P90" s="455" t="s">
        <v>1468</v>
      </c>
      <c r="Q90" s="643" t="s">
        <v>1100</v>
      </c>
      <c r="R90" s="455" t="s">
        <v>1120</v>
      </c>
      <c r="S90" s="455" t="s">
        <v>1102</v>
      </c>
      <c r="T90" s="455" t="s">
        <v>2497</v>
      </c>
      <c r="U90" s="636" t="s">
        <v>2498</v>
      </c>
      <c r="V90" s="455" t="s">
        <v>2499</v>
      </c>
      <c r="W90" s="455" t="s">
        <v>2500</v>
      </c>
      <c r="X90" s="636" t="s">
        <v>2501</v>
      </c>
      <c r="Y90" s="636" t="s">
        <v>2502</v>
      </c>
      <c r="Z90" s="455" t="s">
        <v>2503</v>
      </c>
      <c r="AA90" s="455" t="s">
        <v>1506</v>
      </c>
      <c r="AB90" s="455" t="s">
        <v>2504</v>
      </c>
      <c r="AC90" s="455" t="s">
        <v>110</v>
      </c>
      <c r="AD90" s="455" t="s">
        <v>110</v>
      </c>
      <c r="AE90" s="455" t="s">
        <v>110</v>
      </c>
      <c r="AF90" s="455" t="s">
        <v>1105</v>
      </c>
      <c r="AG90" s="455" t="s">
        <v>1105</v>
      </c>
      <c r="AH90" s="279"/>
      <c r="AI90" s="455" t="str">
        <f t="shared" si="5"/>
        <v>Aug-2023</v>
      </c>
      <c r="AJ90" s="279" t="s">
        <v>2470</v>
      </c>
      <c r="AK90" s="279"/>
      <c r="AL90" s="279"/>
      <c r="AM90" s="279"/>
      <c r="AN90" s="279"/>
      <c r="AO90" s="279"/>
      <c r="AP90" s="279"/>
      <c r="AQ90" s="279"/>
      <c r="AR90" s="279"/>
      <c r="AS90" s="279"/>
      <c r="AT90" s="279"/>
      <c r="AU90" s="279"/>
      <c r="AV90" s="279"/>
      <c r="AW90" s="279"/>
      <c r="AX90" s="279"/>
      <c r="AY90" s="279"/>
      <c r="AZ90" s="279"/>
      <c r="BA90" s="279"/>
      <c r="BB90" s="279"/>
      <c r="BC90" s="279"/>
      <c r="BD90" s="279"/>
      <c r="BE90" s="279"/>
      <c r="BF90" s="279"/>
      <c r="BG90" s="279"/>
      <c r="BH90" s="279"/>
      <c r="BI90" s="279"/>
      <c r="BJ90" s="279"/>
      <c r="BK90" s="279"/>
      <c r="BL90" s="279"/>
      <c r="BM90" s="279"/>
      <c r="BN90" s="279"/>
      <c r="BO90" s="279"/>
      <c r="BP90" s="279"/>
      <c r="BQ90" s="279"/>
      <c r="BR90" s="279"/>
      <c r="BS90" s="279"/>
      <c r="BT90" s="279"/>
      <c r="BU90" s="279"/>
      <c r="BV90" s="279"/>
      <c r="BW90" s="279"/>
      <c r="BX90" s="279"/>
      <c r="BY90" s="279"/>
      <c r="BZ90" s="279"/>
      <c r="CA90" s="279"/>
      <c r="CB90" s="279"/>
      <c r="CC90" s="279"/>
      <c r="CD90" s="279"/>
      <c r="CE90" s="279"/>
      <c r="CF90" s="279"/>
      <c r="CG90" s="279"/>
      <c r="CH90" s="279"/>
      <c r="CI90" s="279"/>
      <c r="CJ90" s="279"/>
      <c r="CK90" s="279"/>
      <c r="CL90" s="279"/>
      <c r="CM90" s="279"/>
      <c r="CN90" s="279"/>
      <c r="CO90" s="279"/>
      <c r="CP90" s="279"/>
      <c r="CQ90" s="279"/>
      <c r="CR90" s="279"/>
      <c r="CS90" s="279"/>
      <c r="CT90" s="279"/>
      <c r="CU90" s="279"/>
      <c r="CV90" s="279"/>
      <c r="CW90" s="279"/>
      <c r="CX90" s="279"/>
      <c r="CY90" s="279"/>
      <c r="CZ90" s="279"/>
      <c r="DA90" s="279"/>
      <c r="DB90" s="279"/>
      <c r="DC90" s="279"/>
      <c r="DD90" s="279"/>
      <c r="DE90" s="279"/>
      <c r="DF90" s="279"/>
      <c r="DG90" s="279"/>
      <c r="DH90" s="279"/>
      <c r="DI90" s="279"/>
      <c r="DJ90" s="279"/>
      <c r="DK90" s="279"/>
      <c r="DL90" s="279"/>
      <c r="DM90" s="279"/>
      <c r="DN90" s="279"/>
      <c r="DO90" s="279"/>
      <c r="DP90" s="279"/>
      <c r="DQ90" s="279"/>
      <c r="DR90" s="279"/>
      <c r="DS90" s="279"/>
      <c r="DT90" s="279"/>
      <c r="DU90" s="279"/>
      <c r="DV90" s="279"/>
      <c r="DW90" s="279"/>
      <c r="DX90" s="279"/>
      <c r="DY90" s="279"/>
      <c r="DZ90" s="279"/>
      <c r="EA90" s="279"/>
      <c r="EB90" s="279"/>
      <c r="EC90" s="279"/>
      <c r="ED90" s="279"/>
      <c r="EE90" s="279"/>
      <c r="EF90" s="279"/>
      <c r="EG90" s="279"/>
      <c r="EH90" s="279"/>
      <c r="EI90" s="279"/>
      <c r="EJ90" s="279"/>
      <c r="EK90" s="279"/>
      <c r="EL90" s="279"/>
      <c r="EM90" s="279"/>
      <c r="EN90" s="279"/>
      <c r="EO90" s="279"/>
      <c r="EP90" s="279"/>
      <c r="EQ90" s="279"/>
      <c r="ER90" s="279"/>
      <c r="ES90" s="279"/>
      <c r="ET90" s="279"/>
      <c r="EU90" s="279"/>
      <c r="EV90" s="279"/>
      <c r="EW90" s="279"/>
      <c r="EX90" s="279"/>
      <c r="EY90" s="279"/>
      <c r="EZ90" s="279"/>
      <c r="FA90" s="279"/>
      <c r="FB90" s="279"/>
      <c r="FC90" s="279"/>
      <c r="FD90" s="279"/>
      <c r="FE90" s="279"/>
      <c r="FF90" s="279"/>
      <c r="FG90" s="279"/>
      <c r="FH90" s="279"/>
      <c r="FI90" s="279"/>
      <c r="FJ90" s="279"/>
      <c r="FK90" s="279"/>
      <c r="FL90" s="279"/>
      <c r="FM90" s="279"/>
      <c r="FN90" s="279"/>
      <c r="FO90" s="279"/>
      <c r="FP90" s="279"/>
      <c r="FQ90" s="279"/>
      <c r="FR90" s="279"/>
      <c r="FS90" s="279"/>
      <c r="FT90" s="279"/>
      <c r="FU90" s="279"/>
      <c r="FV90" s="279"/>
      <c r="FW90" s="279"/>
      <c r="FX90" s="279"/>
      <c r="FY90" s="279"/>
      <c r="FZ90" s="279"/>
      <c r="GA90" s="279"/>
      <c r="GB90" s="279"/>
      <c r="GC90" s="279"/>
      <c r="GD90" s="279"/>
      <c r="GE90" s="279"/>
      <c r="GF90" s="279"/>
      <c r="GG90" s="279"/>
      <c r="GH90" s="279"/>
      <c r="GI90" s="279"/>
      <c r="GJ90" s="279"/>
      <c r="GK90" s="279"/>
      <c r="GL90" s="279"/>
      <c r="GM90" s="279"/>
      <c r="GN90" s="279"/>
      <c r="GO90" s="279"/>
      <c r="GP90" s="279"/>
      <c r="GQ90" s="279"/>
      <c r="GR90" s="279"/>
      <c r="GS90" s="279"/>
      <c r="GT90" s="279"/>
      <c r="GU90" s="279"/>
      <c r="GV90" s="279"/>
      <c r="GW90" s="279"/>
      <c r="GX90" s="279"/>
      <c r="GY90" s="279"/>
      <c r="GZ90" s="279"/>
      <c r="HA90" s="279"/>
      <c r="HB90" s="279"/>
      <c r="HC90" s="279"/>
      <c r="HD90" s="279"/>
      <c r="HE90" s="279"/>
      <c r="HF90" s="279"/>
      <c r="HG90" s="279"/>
      <c r="HH90" s="279"/>
      <c r="HI90" s="279"/>
      <c r="HJ90" s="279"/>
      <c r="HK90" s="279"/>
      <c r="HL90" s="279"/>
      <c r="HM90" s="279"/>
      <c r="HN90" s="279"/>
      <c r="HO90" s="279"/>
      <c r="HP90" s="279"/>
      <c r="HQ90" s="279"/>
      <c r="HR90" s="279"/>
      <c r="HS90" s="279"/>
      <c r="HT90" s="279"/>
      <c r="HU90" s="279"/>
      <c r="HV90" s="279"/>
      <c r="HW90" s="279"/>
      <c r="HX90" s="279"/>
      <c r="HY90" s="279"/>
      <c r="HZ90" s="279"/>
      <c r="IA90" s="279"/>
      <c r="IB90" s="279"/>
      <c r="IC90" s="279"/>
      <c r="ID90" s="279"/>
      <c r="IE90" s="279"/>
      <c r="IF90" s="279"/>
      <c r="IG90" s="279"/>
      <c r="IH90" s="279"/>
      <c r="II90" s="279"/>
      <c r="IJ90" s="279"/>
      <c r="IK90" s="279"/>
      <c r="IL90" s="279"/>
      <c r="IM90" s="279"/>
      <c r="IN90" s="279"/>
      <c r="IO90" s="279"/>
      <c r="IP90" s="279"/>
      <c r="IQ90" s="279"/>
      <c r="IR90" s="279"/>
      <c r="IS90" s="279"/>
      <c r="IT90" s="279"/>
      <c r="IU90" s="279"/>
      <c r="IV90" s="279"/>
      <c r="IW90" s="279"/>
      <c r="IX90" s="279"/>
      <c r="IY90" s="279"/>
    </row>
    <row r="91" spans="1:259" ht="409.5" customHeight="1">
      <c r="A91" s="621">
        <f>IF(B91&lt;&gt;"", COUNTA($B$2:B91), "")</f>
        <v>90</v>
      </c>
      <c r="B91" s="621" t="str">
        <f t="shared" si="7"/>
        <v>Closed</v>
      </c>
      <c r="C91" s="627">
        <v>45833</v>
      </c>
      <c r="D91" s="627">
        <v>45891</v>
      </c>
      <c r="E91" s="626" t="s">
        <v>3080</v>
      </c>
      <c r="F91" s="626" t="s">
        <v>1094</v>
      </c>
      <c r="G91" s="626" t="s">
        <v>1045</v>
      </c>
      <c r="H91" s="626" t="str" cm="1">
        <f t="array" ref="H91">_xlfn.IFS(
    G91="CDWE", "TNI - Transportation &amp; Installation",
    G91="Seaway7", "CTI - Cable T&amp;I",
    G91="LS Cable", "EXC - Export Cable",
    G91="Hellenic", "IAC - Inter Array Cable",
    TRUE, "")</f>
        <v>TNI - Transportation &amp; Installation</v>
      </c>
      <c r="I91" s="655" t="s">
        <v>148</v>
      </c>
      <c r="J91" s="655" t="s">
        <v>3081</v>
      </c>
      <c r="K91" s="655" t="s">
        <v>3297</v>
      </c>
      <c r="L91" s="657" t="s">
        <v>3298</v>
      </c>
      <c r="M91" s="655" t="s">
        <v>3082</v>
      </c>
      <c r="N91" s="655" t="s">
        <v>3083</v>
      </c>
      <c r="O91" s="655" t="s">
        <v>3083</v>
      </c>
      <c r="P91" s="656" t="s">
        <v>3084</v>
      </c>
      <c r="Q91" s="655" t="s">
        <v>1100</v>
      </c>
      <c r="R91" s="655" t="s">
        <v>1101</v>
      </c>
      <c r="S91" s="656" t="s">
        <v>148</v>
      </c>
      <c r="T91" s="655" t="s">
        <v>1643</v>
      </c>
      <c r="U91" s="657" t="s">
        <v>3299</v>
      </c>
      <c r="V91" s="655" t="s">
        <v>3300</v>
      </c>
      <c r="W91" s="655" t="s">
        <v>3085</v>
      </c>
      <c r="X91" s="657" t="s">
        <v>3086</v>
      </c>
      <c r="Y91" s="657" t="s">
        <v>3301</v>
      </c>
      <c r="Z91" s="655" t="s">
        <v>148</v>
      </c>
      <c r="AA91" s="655" t="s">
        <v>148</v>
      </c>
      <c r="AB91" s="655" t="s">
        <v>3302</v>
      </c>
      <c r="AC91" s="656" t="s">
        <v>110</v>
      </c>
      <c r="AD91" s="656" t="s">
        <v>110</v>
      </c>
      <c r="AE91" s="656" t="s">
        <v>110</v>
      </c>
      <c r="AF91" s="656" t="s">
        <v>1105</v>
      </c>
      <c r="AG91" s="455" t="s">
        <v>1105</v>
      </c>
      <c r="AI91" s="455" t="str">
        <f t="shared" si="5"/>
        <v>Jun-2025</v>
      </c>
    </row>
    <row r="92" spans="1:259" ht="184.5" customHeight="1">
      <c r="A92" s="621">
        <f>IF(B92&lt;&gt;"", COUNTA($B$2:B92), "")</f>
        <v>91</v>
      </c>
      <c r="B92" s="621" t="str">
        <f t="shared" si="7"/>
        <v>Closed</v>
      </c>
      <c r="C92" s="627">
        <v>45841</v>
      </c>
      <c r="D92" s="627" t="s">
        <v>2519</v>
      </c>
      <c r="E92" s="626" t="s">
        <v>3087</v>
      </c>
      <c r="F92" s="626" t="s">
        <v>1094</v>
      </c>
      <c r="G92" s="626" t="s">
        <v>1045</v>
      </c>
      <c r="H92" s="626" t="str" cm="1">
        <f t="array" ref="H92">_xlfn.IFS(
    G92="CDWE", "TNI - Transportation &amp; Installation",
    G92="Seaway7", "CTI - Cable T&amp;I",
    G92="LS Cable", "EXC - Export Cable",
    G92="Hellenic", "IAC - Inter Array Cable",
    TRUE, "")</f>
        <v>TNI - Transportation &amp; Installation</v>
      </c>
      <c r="I92" s="655" t="s">
        <v>148</v>
      </c>
      <c r="J92" s="655" t="s">
        <v>3088</v>
      </c>
      <c r="K92" s="655" t="s">
        <v>3089</v>
      </c>
      <c r="L92" s="657" t="s">
        <v>3241</v>
      </c>
      <c r="M92" s="655" t="s">
        <v>3090</v>
      </c>
      <c r="N92" s="655" t="s">
        <v>1629</v>
      </c>
      <c r="O92" s="655" t="s">
        <v>1629</v>
      </c>
      <c r="P92" s="656" t="s">
        <v>3091</v>
      </c>
      <c r="Q92" s="655" t="s">
        <v>1100</v>
      </c>
      <c r="R92" s="655" t="s">
        <v>1142</v>
      </c>
      <c r="S92" s="656" t="s">
        <v>1102</v>
      </c>
      <c r="T92" s="655" t="s">
        <v>3242</v>
      </c>
      <c r="U92" s="655" t="s">
        <v>3232</v>
      </c>
      <c r="V92" s="655" t="s">
        <v>3243</v>
      </c>
      <c r="W92" s="655" t="s">
        <v>1629</v>
      </c>
      <c r="X92" s="657" t="s">
        <v>3244</v>
      </c>
      <c r="Y92" s="657" t="s">
        <v>3092</v>
      </c>
      <c r="Z92" s="655" t="s">
        <v>3245</v>
      </c>
      <c r="AA92" s="655" t="s">
        <v>1629</v>
      </c>
      <c r="AB92" s="655" t="s">
        <v>3246</v>
      </c>
      <c r="AC92" s="656" t="s">
        <v>110</v>
      </c>
      <c r="AD92" s="656" t="s">
        <v>110</v>
      </c>
      <c r="AE92" s="656" t="s">
        <v>110</v>
      </c>
      <c r="AF92" s="656" t="s">
        <v>1105</v>
      </c>
      <c r="AG92" s="455" t="s">
        <v>1105</v>
      </c>
      <c r="AI92" s="455" t="str">
        <f t="shared" si="5"/>
        <v>Jul-2025</v>
      </c>
    </row>
    <row r="93" spans="1:259" ht="120">
      <c r="A93" s="621">
        <f>IF(B93&lt;&gt;"", COUNTA($B$2:B93), "")</f>
        <v>92</v>
      </c>
      <c r="B93" s="653" t="str">
        <f t="shared" si="7"/>
        <v>Closed</v>
      </c>
      <c r="C93" s="627">
        <v>45777</v>
      </c>
      <c r="D93" s="627">
        <v>45932</v>
      </c>
      <c r="E93" s="626" t="s">
        <v>3259</v>
      </c>
      <c r="F93" s="656" t="s">
        <v>1094</v>
      </c>
      <c r="G93" s="626" t="s">
        <v>1454</v>
      </c>
      <c r="H93" s="626" t="str" cm="1">
        <f t="array" ref="H93">_xlfn.IFS(
    G93="CDWE", "TNI - Transportation &amp; Installation",
    G93="Seaway7", "CTI - Cable T&amp;I",
    G93="LS Cable", "EXC - Export Cable",
    G93="Hellenic", "IAC - Inter Array Cable",
    TRUE, "")</f>
        <v>CTI - Cable T&amp;I</v>
      </c>
      <c r="I93" s="655" t="s">
        <v>148</v>
      </c>
      <c r="J93" s="655" t="s">
        <v>2933</v>
      </c>
      <c r="K93" s="657" t="s">
        <v>2934</v>
      </c>
      <c r="L93" s="657" t="s">
        <v>2935</v>
      </c>
      <c r="M93" s="655" t="s">
        <v>2936</v>
      </c>
      <c r="N93" s="657" t="s">
        <v>2937</v>
      </c>
      <c r="O93" s="657" t="s">
        <v>1150</v>
      </c>
      <c r="P93" s="657" t="s">
        <v>4121</v>
      </c>
      <c r="Q93" s="655" t="s">
        <v>1100</v>
      </c>
      <c r="R93" s="655" t="s">
        <v>1101</v>
      </c>
      <c r="S93" s="655" t="s">
        <v>1102</v>
      </c>
      <c r="T93" s="655" t="s">
        <v>4122</v>
      </c>
      <c r="U93" s="655" t="s">
        <v>4123</v>
      </c>
      <c r="V93" s="655" t="s">
        <v>4124</v>
      </c>
      <c r="W93" s="643" t="s">
        <v>4125</v>
      </c>
      <c r="X93" s="643" t="s">
        <v>4126</v>
      </c>
      <c r="Y93" s="643" t="s">
        <v>4127</v>
      </c>
      <c r="Z93" s="643" t="s">
        <v>4124</v>
      </c>
      <c r="AA93" s="643" t="s">
        <v>4128</v>
      </c>
      <c r="AB93" s="643" t="s">
        <v>4122</v>
      </c>
      <c r="AC93" s="455" t="s">
        <v>110</v>
      </c>
      <c r="AD93" s="455" t="s">
        <v>110</v>
      </c>
      <c r="AE93" s="455" t="s">
        <v>110</v>
      </c>
      <c r="AF93" s="643" t="s">
        <v>1105</v>
      </c>
      <c r="AG93" s="643" t="s">
        <v>1105</v>
      </c>
      <c r="AI93" s="455" t="str">
        <f t="shared" si="5"/>
        <v>Apr-2025</v>
      </c>
    </row>
    <row r="94" spans="1:259" ht="95.1" customHeight="1">
      <c r="A94" s="621">
        <f>IF(B94&lt;&gt;"", COUNTA($B$2:B94), "")</f>
        <v>93</v>
      </c>
      <c r="B94" s="621" t="str">
        <f t="shared" si="7"/>
        <v>Closed</v>
      </c>
      <c r="C94" s="627">
        <v>45861</v>
      </c>
      <c r="D94" s="627">
        <v>45937</v>
      </c>
      <c r="E94" s="656" t="s">
        <v>3178</v>
      </c>
      <c r="F94" s="656" t="s">
        <v>1094</v>
      </c>
      <c r="G94" s="626" t="s">
        <v>1454</v>
      </c>
      <c r="H94" s="626" t="str" cm="1">
        <f t="array" ref="H94">_xlfn.IFS(
    G93="CDWE", "TNI - Transportation &amp; Installation",
    G93="Seaway7", "CTI - Cable T&amp;I",
    G93="LS Cable", "EXC - Export Cable",
    G93="Hellenic", "IAC - Inter Array Cable",
    TRUE, "")</f>
        <v>CTI - Cable T&amp;I</v>
      </c>
      <c r="I94" s="655" t="s">
        <v>148</v>
      </c>
      <c r="J94" s="655" t="s">
        <v>3179</v>
      </c>
      <c r="K94" s="655" t="s">
        <v>3180</v>
      </c>
      <c r="L94" s="657" t="s">
        <v>4129</v>
      </c>
      <c r="M94" s="655" t="s">
        <v>3181</v>
      </c>
      <c r="N94" s="655" t="s">
        <v>3182</v>
      </c>
      <c r="O94" s="655" t="s">
        <v>2820</v>
      </c>
      <c r="P94" s="656" t="s">
        <v>148</v>
      </c>
      <c r="Q94" s="655" t="s">
        <v>1100</v>
      </c>
      <c r="R94" s="655" t="s">
        <v>1101</v>
      </c>
      <c r="S94" s="655" t="s">
        <v>1102</v>
      </c>
      <c r="T94" s="656" t="s">
        <v>4130</v>
      </c>
      <c r="U94" s="656" t="s">
        <v>4131</v>
      </c>
      <c r="V94" s="656" t="s">
        <v>4132</v>
      </c>
      <c r="W94" s="656" t="s">
        <v>4133</v>
      </c>
      <c r="X94" s="657" t="s">
        <v>4134</v>
      </c>
      <c r="Y94" s="657" t="s">
        <v>4135</v>
      </c>
      <c r="Z94" s="657" t="s">
        <v>4135</v>
      </c>
      <c r="AA94" s="656" t="s">
        <v>1458</v>
      </c>
      <c r="AB94" s="656" t="s">
        <v>4130</v>
      </c>
      <c r="AC94" s="656" t="s">
        <v>110</v>
      </c>
      <c r="AD94" s="656" t="s">
        <v>110</v>
      </c>
      <c r="AE94" s="656" t="s">
        <v>110</v>
      </c>
      <c r="AF94" s="656" t="s">
        <v>1105</v>
      </c>
      <c r="AG94" s="455" t="s">
        <v>1105</v>
      </c>
      <c r="AI94" s="455" t="str">
        <f t="shared" si="5"/>
        <v>Jul-2025</v>
      </c>
    </row>
    <row r="95" spans="1:259" ht="409.5">
      <c r="A95" s="621">
        <f>IF(B95&lt;&gt;"", COUNTA($B$2:B95), "")</f>
        <v>94</v>
      </c>
      <c r="B95" s="621" t="str">
        <f t="shared" si="7"/>
        <v>Closed</v>
      </c>
      <c r="C95" s="627">
        <v>45866</v>
      </c>
      <c r="D95" s="627">
        <v>45889</v>
      </c>
      <c r="E95" s="656" t="s">
        <v>3230</v>
      </c>
      <c r="F95" s="656" t="s">
        <v>1094</v>
      </c>
      <c r="G95" s="656" t="s">
        <v>1045</v>
      </c>
      <c r="H95" s="694" t="str" cm="1">
        <f t="array" ref="H95">_xlfn.IFS(
    G94="CDWE", "TNI - Transportation &amp; Installation",
    G94="Seaway7", "CTI - Cable T&amp;I",
    G94="LS Cable", "EXC - Export Cable",
    G94="Hellenic", "IAC - Inter Array Cable",
    TRUE, "")</f>
        <v>CTI - Cable T&amp;I</v>
      </c>
      <c r="I95" s="691" t="s">
        <v>148</v>
      </c>
      <c r="J95" s="655" t="s">
        <v>3234</v>
      </c>
      <c r="K95" s="655" t="s">
        <v>3262</v>
      </c>
      <c r="L95" s="657" t="s">
        <v>3263</v>
      </c>
      <c r="M95" s="655" t="s">
        <v>3225</v>
      </c>
      <c r="N95" s="655" t="s">
        <v>3098</v>
      </c>
      <c r="O95" s="655" t="s">
        <v>3226</v>
      </c>
      <c r="P95" s="656" t="s">
        <v>3225</v>
      </c>
      <c r="Q95" s="655" t="s">
        <v>1100</v>
      </c>
      <c r="R95" s="655" t="s">
        <v>1101</v>
      </c>
      <c r="S95" s="655" t="s">
        <v>148</v>
      </c>
      <c r="T95" s="655" t="s">
        <v>3264</v>
      </c>
      <c r="U95" s="657" t="s">
        <v>3265</v>
      </c>
      <c r="V95" s="655" t="s">
        <v>3227</v>
      </c>
      <c r="W95" s="655" t="s">
        <v>3226</v>
      </c>
      <c r="X95" s="657" t="s">
        <v>3266</v>
      </c>
      <c r="Y95" s="657" t="s">
        <v>3228</v>
      </c>
      <c r="Z95" s="655" t="s">
        <v>3229</v>
      </c>
      <c r="AA95" s="655" t="s">
        <v>3226</v>
      </c>
      <c r="AB95" s="657" t="s">
        <v>3267</v>
      </c>
      <c r="AC95" s="656" t="s">
        <v>110</v>
      </c>
      <c r="AD95" s="656" t="s">
        <v>110</v>
      </c>
      <c r="AE95" s="656" t="s">
        <v>110</v>
      </c>
      <c r="AF95" s="656" t="s">
        <v>1105</v>
      </c>
      <c r="AG95" s="455" t="s">
        <v>1105</v>
      </c>
      <c r="AI95" s="455" t="str">
        <f t="shared" si="5"/>
        <v>Jul-2025</v>
      </c>
    </row>
    <row r="96" spans="1:259" ht="360">
      <c r="A96" s="621">
        <f>IF(B96&lt;&gt;"", COUNTA($B$2:B96), "")</f>
        <v>95</v>
      </c>
      <c r="B96" s="621" t="str">
        <f t="shared" si="7"/>
        <v>Closed</v>
      </c>
      <c r="C96" s="627">
        <v>45877</v>
      </c>
      <c r="D96" s="656" t="s">
        <v>2519</v>
      </c>
      <c r="E96" s="656" t="s">
        <v>3235</v>
      </c>
      <c r="F96" s="656" t="s">
        <v>1094</v>
      </c>
      <c r="G96" s="656" t="s">
        <v>1045</v>
      </c>
      <c r="H96" s="626" t="str" cm="1">
        <f t="array" ref="H96">_xlfn.IFS(
    G94="CDWE", "TNI - Transportation &amp; Installation",
    G94="Seaway7", "CTI - Cable T&amp;I",
    G94="LS Cable", "EXC - Export Cable",
    G94="Hellenic", "IAC - Inter Array Cable",
    TRUE, "")</f>
        <v>CTI - Cable T&amp;I</v>
      </c>
      <c r="I96" s="643" t="s">
        <v>148</v>
      </c>
      <c r="J96" s="655" t="s">
        <v>3236</v>
      </c>
      <c r="K96" s="692" t="s">
        <v>3415</v>
      </c>
      <c r="L96" s="657" t="s">
        <v>3416</v>
      </c>
      <c r="M96" s="655" t="s">
        <v>3237</v>
      </c>
      <c r="N96" s="655" t="s">
        <v>3238</v>
      </c>
      <c r="O96" s="655" t="s">
        <v>3239</v>
      </c>
      <c r="P96" s="656" t="s">
        <v>3237</v>
      </c>
      <c r="Q96" s="655" t="s">
        <v>1100</v>
      </c>
      <c r="R96" s="655" t="s">
        <v>1101</v>
      </c>
      <c r="S96" s="655" t="s">
        <v>148</v>
      </c>
      <c r="T96" s="655" t="s">
        <v>3417</v>
      </c>
      <c r="U96" s="657" t="s">
        <v>148</v>
      </c>
      <c r="V96" s="655" t="s">
        <v>3418</v>
      </c>
      <c r="W96" s="655" t="s">
        <v>3239</v>
      </c>
      <c r="X96" s="657" t="s">
        <v>3419</v>
      </c>
      <c r="Y96" s="657" t="s">
        <v>148</v>
      </c>
      <c r="Z96" s="655" t="s">
        <v>148</v>
      </c>
      <c r="AA96" s="655" t="s">
        <v>3239</v>
      </c>
      <c r="AB96" s="657" t="s">
        <v>3420</v>
      </c>
      <c r="AC96" s="656" t="s">
        <v>110</v>
      </c>
      <c r="AD96" s="656" t="s">
        <v>110</v>
      </c>
      <c r="AE96" s="656" t="s">
        <v>110</v>
      </c>
      <c r="AF96" s="656" t="s">
        <v>1105</v>
      </c>
      <c r="AG96" s="455" t="s">
        <v>1105</v>
      </c>
      <c r="AI96" s="455" t="str">
        <f t="shared" si="5"/>
        <v>Aug-2025</v>
      </c>
    </row>
    <row r="97" spans="1:259" ht="372.95" customHeight="1">
      <c r="A97" s="621">
        <f>IF(B97&lt;&gt;"", COUNTA($B$2:B97), "")</f>
        <v>96</v>
      </c>
      <c r="B97" s="621" t="str">
        <f t="shared" si="7"/>
        <v>Closed</v>
      </c>
      <c r="C97" s="627">
        <v>45499</v>
      </c>
      <c r="D97" s="820">
        <v>45993</v>
      </c>
      <c r="E97" s="455" t="s">
        <v>2492</v>
      </c>
      <c r="F97" s="455" t="s">
        <v>1094</v>
      </c>
      <c r="G97" s="455" t="s">
        <v>1454</v>
      </c>
      <c r="H97" s="621" t="str" cm="1">
        <f t="array" ref="H97">_xlfn.IFS(
    G97="CDWE", "TNI - Transportation &amp; Installation",
    G97="Seaway7", "CTI - Cable T&amp;I",
    G97="LS Cable", "EXC - Export Cable",
    G97="Hellenic", "IAC - Inter Array Cable",
    TRUE, "")</f>
        <v>CTI - Cable T&amp;I</v>
      </c>
      <c r="I97" s="691" t="s">
        <v>3253</v>
      </c>
      <c r="J97" s="643" t="s">
        <v>1577</v>
      </c>
      <c r="K97" s="636" t="s">
        <v>1574</v>
      </c>
      <c r="L97" s="636" t="s">
        <v>4632</v>
      </c>
      <c r="M97" s="455" t="s">
        <v>1578</v>
      </c>
      <c r="N97" s="455" t="s">
        <v>1579</v>
      </c>
      <c r="O97" s="455" t="s">
        <v>1580</v>
      </c>
      <c r="P97" s="455" t="s">
        <v>1581</v>
      </c>
      <c r="Q97" s="643" t="s">
        <v>1100</v>
      </c>
      <c r="R97" s="643" t="s">
        <v>1142</v>
      </c>
      <c r="S97" s="455" t="s">
        <v>1582</v>
      </c>
      <c r="T97" s="455" t="s">
        <v>4633</v>
      </c>
      <c r="U97" s="636" t="s">
        <v>4634</v>
      </c>
      <c r="V97" s="455" t="s">
        <v>4635</v>
      </c>
      <c r="W97" s="455" t="s">
        <v>4636</v>
      </c>
      <c r="X97" s="636" t="s">
        <v>4651</v>
      </c>
      <c r="Y97" s="636" t="s">
        <v>4637</v>
      </c>
      <c r="Z97" s="643" t="s">
        <v>4638</v>
      </c>
      <c r="AA97" s="455" t="s">
        <v>1454</v>
      </c>
      <c r="AB97" s="455" t="s">
        <v>4639</v>
      </c>
      <c r="AC97" s="455" t="s">
        <v>110</v>
      </c>
      <c r="AD97" s="455" t="s">
        <v>110</v>
      </c>
      <c r="AE97" s="455" t="s">
        <v>110</v>
      </c>
      <c r="AF97" s="455" t="s">
        <v>1105</v>
      </c>
      <c r="AG97" s="455" t="s">
        <v>1105</v>
      </c>
      <c r="AH97" s="279"/>
      <c r="AI97" s="455" t="str">
        <f t="shared" si="5"/>
        <v>Jul-2024</v>
      </c>
      <c r="AJ97" s="279"/>
      <c r="AK97" s="279"/>
      <c r="AL97" s="279"/>
      <c r="AM97" s="279"/>
      <c r="AN97" s="279"/>
      <c r="AO97" s="279"/>
      <c r="AP97" s="279"/>
      <c r="AQ97" s="279"/>
      <c r="AR97" s="279"/>
      <c r="AS97" s="279"/>
      <c r="AT97" s="279"/>
      <c r="AU97" s="279"/>
      <c r="AV97" s="279"/>
      <c r="AW97" s="279"/>
      <c r="AX97" s="279"/>
      <c r="AY97" s="279"/>
      <c r="AZ97" s="279"/>
      <c r="BA97" s="279"/>
      <c r="BB97" s="279"/>
      <c r="BC97" s="279"/>
      <c r="BD97" s="279"/>
      <c r="BE97" s="279"/>
      <c r="BF97" s="279"/>
      <c r="BG97" s="279"/>
      <c r="BH97" s="279"/>
      <c r="BI97" s="279"/>
      <c r="BJ97" s="279"/>
      <c r="BK97" s="279"/>
      <c r="BL97" s="279"/>
      <c r="BM97" s="279"/>
      <c r="BN97" s="279"/>
      <c r="BO97" s="279"/>
      <c r="BP97" s="279"/>
      <c r="BQ97" s="279"/>
      <c r="BR97" s="279"/>
      <c r="BS97" s="279"/>
      <c r="BT97" s="279"/>
      <c r="BU97" s="279"/>
      <c r="BV97" s="279"/>
      <c r="BW97" s="279"/>
      <c r="BX97" s="279"/>
      <c r="BY97" s="279"/>
      <c r="BZ97" s="279"/>
      <c r="CA97" s="279"/>
      <c r="CB97" s="279"/>
      <c r="CC97" s="279"/>
      <c r="CD97" s="279"/>
      <c r="CE97" s="279"/>
      <c r="CF97" s="279"/>
      <c r="CG97" s="279"/>
      <c r="CH97" s="279"/>
      <c r="CI97" s="279"/>
      <c r="CJ97" s="279"/>
      <c r="CK97" s="279"/>
      <c r="CL97" s="279"/>
      <c r="CM97" s="279"/>
      <c r="CN97" s="279"/>
      <c r="CO97" s="279"/>
      <c r="CP97" s="279"/>
      <c r="CQ97" s="279"/>
      <c r="CR97" s="279"/>
      <c r="CS97" s="279"/>
      <c r="CT97" s="279"/>
      <c r="CU97" s="279"/>
      <c r="CV97" s="279"/>
      <c r="CW97" s="279"/>
      <c r="CX97" s="279"/>
      <c r="CY97" s="279"/>
      <c r="CZ97" s="279"/>
      <c r="DA97" s="279"/>
      <c r="DB97" s="279"/>
      <c r="DC97" s="279"/>
      <c r="DD97" s="279"/>
      <c r="DE97" s="279"/>
      <c r="DF97" s="279"/>
      <c r="DG97" s="279"/>
      <c r="DH97" s="279"/>
      <c r="DI97" s="279"/>
      <c r="DJ97" s="279"/>
      <c r="DK97" s="279"/>
      <c r="DL97" s="279"/>
      <c r="DM97" s="279"/>
      <c r="DN97" s="279"/>
      <c r="DO97" s="279"/>
      <c r="DP97" s="279"/>
      <c r="DQ97" s="279"/>
      <c r="DR97" s="279"/>
      <c r="DS97" s="279"/>
      <c r="DT97" s="279"/>
      <c r="DU97" s="279"/>
      <c r="DV97" s="279"/>
      <c r="DW97" s="279"/>
      <c r="DX97" s="279"/>
      <c r="DY97" s="279"/>
      <c r="DZ97" s="279"/>
      <c r="EA97" s="279"/>
      <c r="EB97" s="279"/>
      <c r="EC97" s="279"/>
      <c r="ED97" s="279"/>
      <c r="EE97" s="279"/>
      <c r="EF97" s="279"/>
      <c r="EG97" s="279"/>
      <c r="EH97" s="279"/>
      <c r="EI97" s="279"/>
      <c r="EJ97" s="279"/>
      <c r="EK97" s="279"/>
      <c r="EL97" s="279"/>
      <c r="EM97" s="279"/>
      <c r="EN97" s="279"/>
      <c r="EO97" s="279"/>
      <c r="EP97" s="279"/>
      <c r="EQ97" s="279"/>
      <c r="ER97" s="279"/>
      <c r="ES97" s="279"/>
      <c r="ET97" s="279"/>
      <c r="EU97" s="279"/>
      <c r="EV97" s="279"/>
      <c r="EW97" s="279"/>
      <c r="EX97" s="279"/>
      <c r="EY97" s="279"/>
      <c r="EZ97" s="279"/>
      <c r="FA97" s="279"/>
      <c r="FB97" s="279"/>
      <c r="FC97" s="279"/>
      <c r="FD97" s="279"/>
      <c r="FE97" s="279"/>
      <c r="FF97" s="279"/>
      <c r="FG97" s="279"/>
      <c r="FH97" s="279"/>
      <c r="FI97" s="279"/>
      <c r="FJ97" s="279"/>
      <c r="FK97" s="279"/>
      <c r="FL97" s="279"/>
      <c r="FM97" s="279"/>
      <c r="FN97" s="279"/>
      <c r="FO97" s="279"/>
      <c r="FP97" s="279"/>
      <c r="FQ97" s="279"/>
      <c r="FR97" s="279"/>
      <c r="FS97" s="279"/>
      <c r="FT97" s="279"/>
      <c r="FU97" s="279"/>
      <c r="FV97" s="279"/>
      <c r="FW97" s="279"/>
      <c r="FX97" s="279"/>
      <c r="FY97" s="279"/>
      <c r="FZ97" s="279"/>
      <c r="GA97" s="279"/>
      <c r="GB97" s="279"/>
      <c r="GC97" s="279"/>
      <c r="GD97" s="279"/>
      <c r="GE97" s="279"/>
      <c r="GF97" s="279"/>
      <c r="GG97" s="279"/>
      <c r="GH97" s="279"/>
      <c r="GI97" s="279"/>
      <c r="GJ97" s="279"/>
      <c r="GK97" s="279"/>
      <c r="GL97" s="279"/>
      <c r="GM97" s="279"/>
      <c r="GN97" s="279"/>
      <c r="GO97" s="279"/>
      <c r="GP97" s="279"/>
      <c r="GQ97" s="279"/>
      <c r="GR97" s="279"/>
      <c r="GS97" s="279"/>
      <c r="GT97" s="279"/>
      <c r="GU97" s="279"/>
      <c r="GV97" s="279"/>
      <c r="GW97" s="279"/>
      <c r="GX97" s="279"/>
      <c r="GY97" s="279"/>
      <c r="GZ97" s="279"/>
      <c r="HA97" s="279"/>
      <c r="HB97" s="279"/>
      <c r="HC97" s="279"/>
      <c r="HD97" s="279"/>
      <c r="HE97" s="279"/>
      <c r="HF97" s="279"/>
      <c r="HG97" s="279"/>
      <c r="HH97" s="279"/>
      <c r="HI97" s="279"/>
      <c r="HJ97" s="279"/>
      <c r="HK97" s="279"/>
      <c r="HL97" s="279"/>
      <c r="HM97" s="279"/>
      <c r="HN97" s="279"/>
      <c r="HO97" s="279"/>
      <c r="HP97" s="279"/>
      <c r="HQ97" s="279"/>
      <c r="HR97" s="279"/>
      <c r="HS97" s="279"/>
      <c r="HT97" s="279"/>
      <c r="HU97" s="279"/>
      <c r="HV97" s="279"/>
      <c r="HW97" s="279"/>
      <c r="HX97" s="279"/>
      <c r="HY97" s="279"/>
      <c r="HZ97" s="279"/>
      <c r="IA97" s="279"/>
      <c r="IB97" s="279"/>
      <c r="IC97" s="279"/>
      <c r="ID97" s="279"/>
      <c r="IE97" s="279"/>
      <c r="IF97" s="279"/>
      <c r="IG97" s="279"/>
      <c r="IH97" s="279"/>
      <c r="II97" s="279"/>
      <c r="IJ97" s="279"/>
      <c r="IK97" s="279"/>
      <c r="IL97" s="279"/>
      <c r="IM97" s="279"/>
      <c r="IN97" s="279"/>
      <c r="IO97" s="279"/>
      <c r="IP97" s="279"/>
      <c r="IQ97" s="279"/>
      <c r="IR97" s="279"/>
      <c r="IS97" s="279"/>
      <c r="IT97" s="279"/>
      <c r="IU97" s="279"/>
      <c r="IV97" s="279"/>
      <c r="IW97" s="279"/>
      <c r="IX97" s="279"/>
      <c r="IY97" s="279"/>
    </row>
    <row r="98" spans="1:259" ht="53.1" customHeight="1">
      <c r="A98" s="621">
        <f>IF(B98&lt;&gt;"", COUNTA($B$2:B98), "")</f>
        <v>97</v>
      </c>
      <c r="B98" s="621" t="str">
        <f t="shared" si="7"/>
        <v>Closed</v>
      </c>
      <c r="C98" s="627">
        <v>45537</v>
      </c>
      <c r="D98" s="827">
        <v>45741</v>
      </c>
      <c r="E98" s="656" t="s">
        <v>3093</v>
      </c>
      <c r="F98" s="656" t="s">
        <v>1094</v>
      </c>
      <c r="G98" s="656" t="s">
        <v>1454</v>
      </c>
      <c r="H98" s="626" t="str" cm="1">
        <f t="array" ref="H98">_xlfn.IFS(
    G98="CDWE", "TNI - Transportation &amp; Installation",
    G98="Seaway7", "CTI - Cable T&amp;I",
    G98="LS Cable", "EXC - Export Cable",
    G98="Hellenic", "IAC - Inter Array Cable",
    TRUE, "")</f>
        <v>CTI - Cable T&amp;I</v>
      </c>
      <c r="I98" s="830" t="s">
        <v>3058</v>
      </c>
      <c r="J98" s="655" t="s">
        <v>2540</v>
      </c>
      <c r="K98" s="655" t="s">
        <v>2740</v>
      </c>
      <c r="L98" s="657" t="s">
        <v>1661</v>
      </c>
      <c r="M98" s="655" t="s">
        <v>2738</v>
      </c>
      <c r="N98" s="655" t="s">
        <v>1466</v>
      </c>
      <c r="O98" s="655" t="s">
        <v>1467</v>
      </c>
      <c r="P98" s="655" t="s">
        <v>2739</v>
      </c>
      <c r="Q98" s="655" t="s">
        <v>1100</v>
      </c>
      <c r="R98" s="655" t="s">
        <v>1120</v>
      </c>
      <c r="S98" s="655" t="s">
        <v>1102</v>
      </c>
      <c r="T98" s="655" t="s">
        <v>2741</v>
      </c>
      <c r="U98" s="657" t="s">
        <v>2742</v>
      </c>
      <c r="V98" s="655" t="s">
        <v>2743</v>
      </c>
      <c r="W98" s="655" t="s">
        <v>2679</v>
      </c>
      <c r="X98" s="657" t="s">
        <v>2744</v>
      </c>
      <c r="Y98" s="657" t="s">
        <v>2745</v>
      </c>
      <c r="Z98" s="833" t="s">
        <v>2746</v>
      </c>
      <c r="AA98" s="655" t="s">
        <v>2747</v>
      </c>
      <c r="AB98" s="657" t="s">
        <v>110</v>
      </c>
      <c r="AC98" s="656" t="s">
        <v>110</v>
      </c>
      <c r="AD98" s="656" t="s">
        <v>110</v>
      </c>
      <c r="AE98" s="656" t="s">
        <v>110</v>
      </c>
      <c r="AF98" s="656" t="s">
        <v>1105</v>
      </c>
      <c r="AG98" s="455" t="s">
        <v>1105</v>
      </c>
      <c r="AI98" s="455" t="str">
        <f t="shared" si="5"/>
        <v>Sep-2024</v>
      </c>
    </row>
    <row r="99" spans="1:259" ht="108.95" customHeight="1">
      <c r="A99" s="621">
        <f>IF(B99&lt;&gt;"", COUNTA($B$2:B99), "")</f>
        <v>98</v>
      </c>
      <c r="B99" s="621" t="str">
        <f t="shared" si="7"/>
        <v>Closed</v>
      </c>
      <c r="C99" s="826">
        <v>45727</v>
      </c>
      <c r="D99" s="826">
        <v>45904</v>
      </c>
      <c r="E99" s="656" t="s">
        <v>2755</v>
      </c>
      <c r="F99" s="656" t="s">
        <v>1094</v>
      </c>
      <c r="G99" s="656" t="s">
        <v>1454</v>
      </c>
      <c r="H99" s="656" t="s">
        <v>2756</v>
      </c>
      <c r="I99" s="829" t="s">
        <v>2912</v>
      </c>
      <c r="J99" s="832" t="s">
        <v>2913</v>
      </c>
      <c r="K99" s="832" t="s">
        <v>4097</v>
      </c>
      <c r="L99" s="832" t="s">
        <v>4098</v>
      </c>
      <c r="M99" s="832" t="s">
        <v>2853</v>
      </c>
      <c r="N99" s="832" t="s">
        <v>2854</v>
      </c>
      <c r="O99" s="832" t="s">
        <v>4099</v>
      </c>
      <c r="P99" s="832" t="s">
        <v>2855</v>
      </c>
      <c r="Q99" s="832" t="s">
        <v>1151</v>
      </c>
      <c r="R99" s="832" t="s">
        <v>1101</v>
      </c>
      <c r="S99" s="832" t="s">
        <v>1102</v>
      </c>
      <c r="T99" s="832" t="s">
        <v>4100</v>
      </c>
      <c r="U99" s="832" t="s">
        <v>2856</v>
      </c>
      <c r="V99" s="832" t="s">
        <v>4101</v>
      </c>
      <c r="W99" s="832" t="s">
        <v>1458</v>
      </c>
      <c r="X99" s="832" t="s">
        <v>4102</v>
      </c>
      <c r="Y99" s="832" t="s">
        <v>4103</v>
      </c>
      <c r="Z99" s="832" t="s">
        <v>4104</v>
      </c>
      <c r="AA99" s="832" t="s">
        <v>1454</v>
      </c>
      <c r="AB99" s="832" t="s">
        <v>4105</v>
      </c>
      <c r="AC99" s="832" t="s">
        <v>110</v>
      </c>
      <c r="AD99" s="832" t="s">
        <v>110</v>
      </c>
      <c r="AE99" s="832" t="s">
        <v>110</v>
      </c>
      <c r="AF99" s="832" t="s">
        <v>1105</v>
      </c>
      <c r="AG99" s="632" t="s">
        <v>1105</v>
      </c>
      <c r="AH99" s="632"/>
      <c r="AI99" s="632" t="str">
        <f t="shared" si="5"/>
        <v>Mar-2025</v>
      </c>
      <c r="AJ99" s="632"/>
      <c r="AK99" s="632"/>
      <c r="AL99" s="632"/>
      <c r="AM99" s="632"/>
      <c r="AN99" s="632"/>
      <c r="AO99" s="632"/>
      <c r="AP99" s="632"/>
      <c r="AQ99" s="632"/>
      <c r="AR99" s="632"/>
      <c r="AS99" s="632"/>
      <c r="AT99" s="632"/>
      <c r="AU99" s="632"/>
      <c r="AV99" s="632"/>
      <c r="AW99" s="632"/>
      <c r="AX99" s="632"/>
      <c r="AY99" s="632"/>
      <c r="AZ99" s="632"/>
      <c r="BA99" s="632"/>
      <c r="BB99" s="632"/>
      <c r="BC99" s="632"/>
      <c r="BD99" s="632"/>
      <c r="BE99" s="632"/>
      <c r="BF99" s="632"/>
      <c r="BG99" s="632"/>
      <c r="BH99" s="632"/>
      <c r="BI99" s="632"/>
      <c r="BJ99" s="632"/>
      <c r="BK99" s="632"/>
      <c r="BL99" s="632"/>
      <c r="BM99" s="632"/>
      <c r="BN99" s="632"/>
      <c r="BO99" s="632"/>
      <c r="BP99" s="632"/>
      <c r="BQ99" s="632"/>
      <c r="BR99" s="632"/>
      <c r="BS99" s="632"/>
      <c r="BT99" s="632"/>
      <c r="BU99" s="632"/>
      <c r="BV99" s="632"/>
      <c r="BW99" s="632"/>
      <c r="BX99" s="632"/>
      <c r="BY99" s="632"/>
      <c r="BZ99" s="632"/>
      <c r="CA99" s="632"/>
      <c r="CB99" s="632"/>
      <c r="CC99" s="632"/>
      <c r="CD99" s="632"/>
      <c r="CE99" s="632"/>
      <c r="CF99" s="632"/>
      <c r="CG99" s="632"/>
      <c r="CH99" s="632"/>
      <c r="CI99" s="632"/>
      <c r="CJ99" s="632"/>
      <c r="CK99" s="632"/>
      <c r="CL99" s="632"/>
      <c r="CM99" s="632"/>
      <c r="CN99" s="632"/>
      <c r="CO99" s="632"/>
      <c r="CP99" s="632"/>
      <c r="CQ99" s="632"/>
      <c r="CR99" s="632"/>
      <c r="CS99" s="632"/>
      <c r="CT99" s="632"/>
      <c r="CU99" s="632"/>
      <c r="CV99" s="632"/>
      <c r="CW99" s="632"/>
      <c r="CX99" s="632"/>
      <c r="CY99" s="632"/>
      <c r="CZ99" s="632"/>
      <c r="DA99" s="632"/>
      <c r="DB99" s="632"/>
      <c r="DC99" s="632"/>
      <c r="DD99" s="632"/>
      <c r="DE99" s="632"/>
      <c r="DF99" s="632"/>
      <c r="DG99" s="632"/>
      <c r="DH99" s="632"/>
      <c r="DI99" s="632"/>
      <c r="DJ99" s="632"/>
      <c r="DK99" s="632"/>
      <c r="DL99" s="632"/>
      <c r="DM99" s="632"/>
      <c r="DN99" s="632"/>
      <c r="DO99" s="632"/>
      <c r="DP99" s="632"/>
      <c r="DQ99" s="632"/>
      <c r="DR99" s="632"/>
      <c r="DS99" s="632"/>
      <c r="DT99" s="632"/>
      <c r="DU99" s="632"/>
      <c r="DV99" s="632"/>
      <c r="DW99" s="632"/>
      <c r="DX99" s="632"/>
      <c r="DY99" s="632"/>
      <c r="DZ99" s="632"/>
      <c r="EA99" s="632"/>
      <c r="EB99" s="632"/>
      <c r="EC99" s="632"/>
      <c r="ED99" s="632"/>
      <c r="EE99" s="632"/>
      <c r="EF99" s="632"/>
      <c r="EG99" s="632"/>
      <c r="EH99" s="632"/>
      <c r="EI99" s="632"/>
      <c r="EJ99" s="632"/>
      <c r="EK99" s="632"/>
      <c r="EL99" s="632"/>
      <c r="EM99" s="632"/>
      <c r="EN99" s="632"/>
      <c r="EO99" s="632"/>
      <c r="EP99" s="632"/>
      <c r="EQ99" s="632"/>
      <c r="ER99" s="632"/>
      <c r="ES99" s="632"/>
      <c r="ET99" s="632"/>
      <c r="EU99" s="632"/>
      <c r="EV99" s="632"/>
      <c r="EW99" s="632"/>
      <c r="EX99" s="632"/>
      <c r="EY99" s="632"/>
      <c r="EZ99" s="632"/>
      <c r="FA99" s="632"/>
      <c r="FB99" s="632"/>
      <c r="FC99" s="632"/>
      <c r="FD99" s="632"/>
      <c r="FE99" s="632"/>
      <c r="FF99" s="632"/>
      <c r="FG99" s="632"/>
      <c r="FH99" s="632"/>
      <c r="FI99" s="632"/>
      <c r="FJ99" s="632"/>
      <c r="FK99" s="632"/>
      <c r="FL99" s="632"/>
      <c r="FM99" s="632"/>
      <c r="FN99" s="632"/>
      <c r="FO99" s="632"/>
      <c r="FP99" s="632"/>
      <c r="FQ99" s="632"/>
      <c r="FR99" s="632"/>
      <c r="FS99" s="632"/>
      <c r="FT99" s="632"/>
      <c r="FU99" s="632"/>
      <c r="FV99" s="632"/>
      <c r="FW99" s="632"/>
      <c r="FX99" s="632"/>
      <c r="FY99" s="632"/>
      <c r="FZ99" s="632"/>
      <c r="GA99" s="632"/>
      <c r="GB99" s="632"/>
      <c r="GC99" s="632"/>
      <c r="GD99" s="632"/>
      <c r="GE99" s="632"/>
      <c r="GF99" s="632"/>
      <c r="GG99" s="632"/>
      <c r="GH99" s="632"/>
      <c r="GI99" s="632"/>
      <c r="GJ99" s="632"/>
      <c r="GK99" s="632"/>
      <c r="GL99" s="632"/>
      <c r="GM99" s="632"/>
      <c r="GN99" s="632"/>
      <c r="GO99" s="632"/>
      <c r="GP99" s="632"/>
      <c r="GQ99" s="632"/>
      <c r="GR99" s="632"/>
      <c r="GS99" s="632"/>
      <c r="GT99" s="632"/>
      <c r="GU99" s="632"/>
      <c r="GV99" s="632"/>
      <c r="GW99" s="632"/>
      <c r="GX99" s="632"/>
      <c r="GY99" s="632"/>
      <c r="GZ99" s="632"/>
      <c r="HA99" s="632"/>
      <c r="HB99" s="632"/>
      <c r="HC99" s="632"/>
      <c r="HD99" s="632"/>
      <c r="HE99" s="632"/>
      <c r="HF99" s="632"/>
      <c r="HG99" s="632"/>
      <c r="HH99" s="632"/>
      <c r="HI99" s="632"/>
      <c r="HJ99" s="632"/>
      <c r="HK99" s="632"/>
      <c r="HL99" s="632"/>
      <c r="HM99" s="632"/>
      <c r="HN99" s="632"/>
      <c r="HO99" s="632"/>
      <c r="HP99" s="632"/>
      <c r="HQ99" s="632"/>
      <c r="HR99" s="632"/>
      <c r="HS99" s="632"/>
      <c r="HT99" s="632"/>
      <c r="HU99" s="632"/>
      <c r="HV99" s="632"/>
      <c r="HW99" s="632"/>
      <c r="HX99" s="632"/>
      <c r="HY99" s="632"/>
      <c r="HZ99" s="632"/>
      <c r="IA99" s="632"/>
      <c r="IB99" s="632"/>
      <c r="IC99" s="632"/>
      <c r="ID99" s="632"/>
      <c r="IE99" s="632"/>
      <c r="IF99" s="632"/>
      <c r="IG99" s="632"/>
      <c r="IH99" s="632"/>
      <c r="II99" s="632"/>
      <c r="IJ99" s="632"/>
      <c r="IK99" s="632"/>
      <c r="IL99" s="632"/>
      <c r="IM99" s="632"/>
      <c r="IN99" s="632"/>
      <c r="IO99" s="632"/>
      <c r="IP99" s="632"/>
      <c r="IQ99" s="632"/>
      <c r="IR99" s="632"/>
      <c r="IS99" s="632"/>
      <c r="IT99" s="632"/>
      <c r="IU99" s="632"/>
      <c r="IV99" s="632"/>
      <c r="IW99" s="632"/>
      <c r="IX99" s="632"/>
      <c r="IY99" s="632"/>
    </row>
    <row r="100" spans="1:259" ht="283.5" customHeight="1">
      <c r="A100" s="621">
        <f>IF(B100&lt;&gt;"", COUNTA($B$2:B100), "")</f>
        <v>99</v>
      </c>
      <c r="B100" s="621" t="str">
        <f t="shared" si="7"/>
        <v>Opening</v>
      </c>
      <c r="C100" s="627">
        <v>45979</v>
      </c>
      <c r="D100" s="820" t="s">
        <v>2519</v>
      </c>
      <c r="E100" s="656" t="s">
        <v>4621</v>
      </c>
      <c r="F100" s="455" t="s">
        <v>1094</v>
      </c>
      <c r="G100" s="656" t="s">
        <v>1454</v>
      </c>
      <c r="J100" s="655" t="s">
        <v>4622</v>
      </c>
      <c r="K100" s="655" t="s">
        <v>4590</v>
      </c>
      <c r="L100" s="657" t="s">
        <v>4591</v>
      </c>
      <c r="M100" s="655" t="s">
        <v>4592</v>
      </c>
      <c r="N100" s="656" t="s">
        <v>2747</v>
      </c>
      <c r="O100" s="656" t="s">
        <v>2951</v>
      </c>
      <c r="P100" s="656" t="s">
        <v>148</v>
      </c>
      <c r="Q100" s="655" t="s">
        <v>1151</v>
      </c>
      <c r="R100" s="655" t="s">
        <v>1101</v>
      </c>
      <c r="S100" s="655" t="s">
        <v>1102</v>
      </c>
      <c r="T100" s="655" t="s">
        <v>1470</v>
      </c>
      <c r="U100" s="655" t="s">
        <v>4593</v>
      </c>
      <c r="V100" s="655" t="s">
        <v>1470</v>
      </c>
      <c r="W100" s="655" t="s">
        <v>4594</v>
      </c>
      <c r="X100" s="657" t="s">
        <v>4595</v>
      </c>
      <c r="Y100" s="657" t="s">
        <v>1046</v>
      </c>
      <c r="Z100" s="655" t="s">
        <v>1046</v>
      </c>
      <c r="AA100" s="655" t="s">
        <v>1046</v>
      </c>
      <c r="AB100" s="657" t="s">
        <v>4596</v>
      </c>
      <c r="AC100" s="973" t="s">
        <v>1105</v>
      </c>
      <c r="AD100" s="973" t="s">
        <v>1105</v>
      </c>
      <c r="AE100" s="973" t="s">
        <v>1105</v>
      </c>
      <c r="AF100" s="656" t="s">
        <v>110</v>
      </c>
      <c r="AG100" s="455" t="s">
        <v>110</v>
      </c>
      <c r="AI100" s="455" t="str">
        <f t="shared" ref="AI100:AI122" si="8">IF(C100&lt;&gt;0,TEXT(C100,"mmm-yyyy"),"")</f>
        <v>Nov-2025</v>
      </c>
    </row>
    <row r="101" spans="1:259" ht="31.5">
      <c r="A101" s="552">
        <f>IF(B101&lt;&gt;"", COUNTA($B$2:B101), "")</f>
        <v>100</v>
      </c>
      <c r="B101" s="552" t="str">
        <f>IF(AND(AF101="Yes",AG101="Yes"),"Closed","Opening")</f>
        <v>Opening</v>
      </c>
      <c r="C101" s="981">
        <v>46000</v>
      </c>
      <c r="D101" s="982" t="s">
        <v>2519</v>
      </c>
      <c r="E101" s="983" t="s">
        <v>4652</v>
      </c>
      <c r="F101" s="984" t="s">
        <v>1094</v>
      </c>
      <c r="G101" s="983" t="s">
        <v>1454</v>
      </c>
      <c r="H101" s="983"/>
      <c r="I101" s="985"/>
      <c r="J101" s="985" t="s">
        <v>4657</v>
      </c>
      <c r="K101" s="985" t="s">
        <v>4654</v>
      </c>
      <c r="L101" s="986" t="s">
        <v>4655</v>
      </c>
      <c r="M101" s="985" t="s">
        <v>4656</v>
      </c>
      <c r="N101" s="983" t="s">
        <v>2436</v>
      </c>
      <c r="O101" s="983" t="s">
        <v>2436</v>
      </c>
      <c r="P101" s="983" t="s">
        <v>148</v>
      </c>
      <c r="Q101" s="985"/>
      <c r="R101" s="985"/>
      <c r="S101" s="985"/>
      <c r="T101" s="985"/>
      <c r="U101" s="985"/>
      <c r="V101" s="985"/>
      <c r="W101" s="985"/>
      <c r="X101" s="986"/>
      <c r="Y101" s="986"/>
      <c r="Z101" s="985"/>
      <c r="AA101" s="985"/>
      <c r="AB101" s="986"/>
      <c r="AC101" s="987"/>
      <c r="AD101" s="987"/>
      <c r="AE101" s="987"/>
      <c r="AF101" s="983"/>
      <c r="AG101" s="984"/>
      <c r="AH101" s="988"/>
      <c r="AI101" s="984" t="str">
        <f t="shared" si="8"/>
        <v>Dec-2025</v>
      </c>
      <c r="AJ101" s="988"/>
      <c r="AK101" s="988"/>
      <c r="AL101" s="988"/>
      <c r="AM101" s="988"/>
      <c r="AN101" s="988"/>
      <c r="AO101" s="988"/>
      <c r="AP101" s="988"/>
      <c r="AQ101" s="988"/>
      <c r="AR101" s="988"/>
      <c r="AS101" s="988"/>
      <c r="AT101" s="988"/>
      <c r="AU101" s="988"/>
      <c r="AV101" s="988"/>
      <c r="AW101" s="988"/>
      <c r="AX101" s="988"/>
      <c r="AY101" s="988"/>
      <c r="AZ101" s="988"/>
      <c r="BA101" s="988"/>
      <c r="BB101" s="988"/>
      <c r="BC101" s="988"/>
      <c r="BD101" s="988"/>
      <c r="BE101" s="988"/>
      <c r="BF101" s="988"/>
      <c r="BG101" s="988"/>
      <c r="BH101" s="988"/>
      <c r="BI101" s="988"/>
      <c r="BJ101" s="988"/>
      <c r="BK101" s="988"/>
      <c r="BL101" s="988"/>
      <c r="BM101" s="988"/>
      <c r="BN101" s="988"/>
      <c r="BO101" s="988"/>
      <c r="BP101" s="988"/>
      <c r="BQ101" s="988"/>
      <c r="BR101" s="988"/>
      <c r="BS101" s="988"/>
      <c r="BT101" s="988"/>
      <c r="BU101" s="988"/>
      <c r="BV101" s="988"/>
      <c r="BW101" s="988"/>
      <c r="BX101" s="988"/>
      <c r="BY101" s="988"/>
      <c r="BZ101" s="988"/>
      <c r="CA101" s="988"/>
      <c r="CB101" s="988"/>
      <c r="CC101" s="988"/>
      <c r="CD101" s="988"/>
      <c r="CE101" s="988"/>
      <c r="CF101" s="988"/>
      <c r="CG101" s="988"/>
      <c r="CH101" s="988"/>
      <c r="CI101" s="988"/>
      <c r="CJ101" s="988"/>
      <c r="CK101" s="988"/>
      <c r="CL101" s="988"/>
      <c r="CM101" s="988"/>
      <c r="CN101" s="988"/>
      <c r="CO101" s="988"/>
      <c r="CP101" s="988"/>
      <c r="CQ101" s="988"/>
      <c r="CR101" s="988"/>
      <c r="CS101" s="988"/>
      <c r="CT101" s="988"/>
      <c r="CU101" s="988"/>
      <c r="CV101" s="988"/>
      <c r="CW101" s="988"/>
      <c r="CX101" s="988"/>
      <c r="CY101" s="988"/>
      <c r="CZ101" s="988"/>
      <c r="DA101" s="988"/>
      <c r="DB101" s="988"/>
      <c r="DC101" s="988"/>
      <c r="DD101" s="988"/>
      <c r="DE101" s="988"/>
      <c r="DF101" s="988"/>
      <c r="DG101" s="988"/>
      <c r="DH101" s="988"/>
      <c r="DI101" s="988"/>
      <c r="DJ101" s="988"/>
      <c r="DK101" s="988"/>
      <c r="DL101" s="988"/>
      <c r="DM101" s="988"/>
      <c r="DN101" s="988"/>
      <c r="DO101" s="988"/>
      <c r="DP101" s="988"/>
      <c r="DQ101" s="988"/>
      <c r="DR101" s="988"/>
      <c r="DS101" s="988"/>
      <c r="DT101" s="988"/>
      <c r="DU101" s="988"/>
      <c r="DV101" s="988"/>
      <c r="DW101" s="988"/>
      <c r="DX101" s="988"/>
      <c r="DY101" s="988"/>
      <c r="DZ101" s="988"/>
      <c r="EA101" s="988"/>
      <c r="EB101" s="988"/>
      <c r="EC101" s="988"/>
      <c r="ED101" s="988"/>
      <c r="EE101" s="988"/>
      <c r="EF101" s="988"/>
      <c r="EG101" s="988"/>
      <c r="EH101" s="988"/>
      <c r="EI101" s="988"/>
      <c r="EJ101" s="988"/>
      <c r="EK101" s="988"/>
      <c r="EL101" s="988"/>
      <c r="EM101" s="988"/>
      <c r="EN101" s="988"/>
      <c r="EO101" s="988"/>
      <c r="EP101" s="988"/>
      <c r="EQ101" s="988"/>
      <c r="ER101" s="988"/>
      <c r="ES101" s="988"/>
      <c r="ET101" s="988"/>
      <c r="EU101" s="988"/>
      <c r="EV101" s="988"/>
      <c r="EW101" s="988"/>
      <c r="EX101" s="988"/>
      <c r="EY101" s="988"/>
      <c r="EZ101" s="988"/>
      <c r="FA101" s="988"/>
      <c r="FB101" s="988"/>
      <c r="FC101" s="988"/>
      <c r="FD101" s="988"/>
      <c r="FE101" s="988"/>
      <c r="FF101" s="988"/>
      <c r="FG101" s="988"/>
      <c r="FH101" s="988"/>
      <c r="FI101" s="988"/>
      <c r="FJ101" s="988"/>
      <c r="FK101" s="988"/>
      <c r="FL101" s="988"/>
      <c r="FM101" s="988"/>
      <c r="FN101" s="988"/>
      <c r="FO101" s="988"/>
      <c r="FP101" s="988"/>
      <c r="FQ101" s="988"/>
      <c r="FR101" s="988"/>
      <c r="FS101" s="988"/>
      <c r="FT101" s="988"/>
      <c r="FU101" s="988"/>
      <c r="FV101" s="988"/>
      <c r="FW101" s="988"/>
      <c r="FX101" s="988"/>
      <c r="FY101" s="988"/>
      <c r="FZ101" s="988"/>
      <c r="GA101" s="988"/>
      <c r="GB101" s="988"/>
      <c r="GC101" s="988"/>
      <c r="GD101" s="988"/>
      <c r="GE101" s="988"/>
      <c r="GF101" s="988"/>
      <c r="GG101" s="988"/>
      <c r="GH101" s="988"/>
      <c r="GI101" s="988"/>
      <c r="GJ101" s="988"/>
      <c r="GK101" s="988"/>
      <c r="GL101" s="988"/>
      <c r="GM101" s="988"/>
      <c r="GN101" s="988"/>
      <c r="GO101" s="988"/>
      <c r="GP101" s="988"/>
      <c r="GQ101" s="988"/>
      <c r="GR101" s="988"/>
      <c r="GS101" s="988"/>
      <c r="GT101" s="988"/>
      <c r="GU101" s="988"/>
      <c r="GV101" s="988"/>
      <c r="GW101" s="988"/>
      <c r="GX101" s="988"/>
      <c r="GY101" s="988"/>
      <c r="GZ101" s="988"/>
      <c r="HA101" s="988"/>
      <c r="HB101" s="988"/>
      <c r="HC101" s="988"/>
      <c r="HD101" s="988"/>
      <c r="HE101" s="988"/>
      <c r="HF101" s="988"/>
      <c r="HG101" s="988"/>
      <c r="HH101" s="988"/>
      <c r="HI101" s="988"/>
      <c r="HJ101" s="988"/>
      <c r="HK101" s="988"/>
      <c r="HL101" s="988"/>
      <c r="HM101" s="988"/>
      <c r="HN101" s="988"/>
      <c r="HO101" s="988"/>
      <c r="HP101" s="988"/>
      <c r="HQ101" s="988"/>
      <c r="HR101" s="988"/>
      <c r="HS101" s="988"/>
      <c r="HT101" s="988"/>
      <c r="HU101" s="988"/>
      <c r="HV101" s="988"/>
      <c r="HW101" s="988"/>
      <c r="HX101" s="988"/>
      <c r="HY101" s="988"/>
      <c r="HZ101" s="988"/>
      <c r="IA101" s="988"/>
      <c r="IB101" s="988"/>
      <c r="IC101" s="988"/>
      <c r="ID101" s="988"/>
      <c r="IE101" s="988"/>
      <c r="IF101" s="988"/>
      <c r="IG101" s="988"/>
      <c r="IH101" s="988"/>
      <c r="II101" s="988"/>
      <c r="IJ101" s="988"/>
      <c r="IK101" s="988"/>
      <c r="IL101" s="988"/>
      <c r="IM101" s="988"/>
      <c r="IN101" s="988"/>
      <c r="IO101" s="988"/>
      <c r="IP101" s="988"/>
      <c r="IQ101" s="988"/>
      <c r="IR101" s="988"/>
      <c r="IS101" s="988"/>
      <c r="IT101" s="988"/>
      <c r="IU101" s="988"/>
      <c r="IV101" s="988"/>
      <c r="IW101" s="988"/>
      <c r="IX101" s="988"/>
      <c r="IY101" s="988"/>
    </row>
    <row r="102" spans="1:259" ht="31.5">
      <c r="A102" s="552" t="str">
        <f>IF(B102&lt;&gt;"", COUNTA($B$2:B102), "")</f>
        <v/>
      </c>
      <c r="B102" s="552"/>
      <c r="C102" s="981"/>
      <c r="D102" s="982" t="s">
        <v>2519</v>
      </c>
      <c r="E102" s="983" t="s">
        <v>4653</v>
      </c>
      <c r="F102" s="984" t="s">
        <v>1094</v>
      </c>
      <c r="G102" s="983" t="s">
        <v>1454</v>
      </c>
      <c r="H102" s="983"/>
      <c r="I102" s="985"/>
      <c r="J102" s="985" t="s">
        <v>4658</v>
      </c>
      <c r="K102" s="985" t="s">
        <v>1574</v>
      </c>
      <c r="L102" s="986" t="s">
        <v>4659</v>
      </c>
      <c r="M102" s="985" t="s">
        <v>4660</v>
      </c>
      <c r="N102" s="983" t="s">
        <v>4661</v>
      </c>
      <c r="O102" s="983" t="s">
        <v>2951</v>
      </c>
      <c r="P102" s="983"/>
      <c r="Q102" s="985"/>
      <c r="R102" s="985"/>
      <c r="S102" s="985"/>
      <c r="T102" s="985"/>
      <c r="U102" s="985"/>
      <c r="V102" s="985"/>
      <c r="W102" s="985"/>
      <c r="X102" s="986"/>
      <c r="Y102" s="986"/>
      <c r="Z102" s="985"/>
      <c r="AA102" s="985"/>
      <c r="AB102" s="986"/>
      <c r="AC102" s="987"/>
      <c r="AD102" s="987"/>
      <c r="AE102" s="987"/>
      <c r="AF102" s="983"/>
      <c r="AG102" s="984"/>
      <c r="AH102" s="988"/>
      <c r="AI102" s="984" t="str">
        <f t="shared" si="8"/>
        <v/>
      </c>
      <c r="AJ102" s="988"/>
      <c r="AK102" s="988"/>
      <c r="AL102" s="988"/>
      <c r="AM102" s="988"/>
      <c r="AN102" s="988"/>
      <c r="AO102" s="988"/>
      <c r="AP102" s="988"/>
      <c r="AQ102" s="988"/>
      <c r="AR102" s="988"/>
      <c r="AS102" s="988"/>
      <c r="AT102" s="988"/>
      <c r="AU102" s="988"/>
      <c r="AV102" s="988"/>
      <c r="AW102" s="988"/>
      <c r="AX102" s="988"/>
      <c r="AY102" s="988"/>
      <c r="AZ102" s="988"/>
      <c r="BA102" s="988"/>
      <c r="BB102" s="988"/>
      <c r="BC102" s="988"/>
      <c r="BD102" s="988"/>
      <c r="BE102" s="988"/>
      <c r="BF102" s="988"/>
      <c r="BG102" s="988"/>
      <c r="BH102" s="988"/>
      <c r="BI102" s="988"/>
      <c r="BJ102" s="988"/>
      <c r="BK102" s="988"/>
      <c r="BL102" s="988"/>
      <c r="BM102" s="988"/>
      <c r="BN102" s="988"/>
      <c r="BO102" s="988"/>
      <c r="BP102" s="988"/>
      <c r="BQ102" s="988"/>
      <c r="BR102" s="988"/>
      <c r="BS102" s="988"/>
      <c r="BT102" s="988"/>
      <c r="BU102" s="988"/>
      <c r="BV102" s="988"/>
      <c r="BW102" s="988"/>
      <c r="BX102" s="988"/>
      <c r="BY102" s="988"/>
      <c r="BZ102" s="988"/>
      <c r="CA102" s="988"/>
      <c r="CB102" s="988"/>
      <c r="CC102" s="988"/>
      <c r="CD102" s="988"/>
      <c r="CE102" s="988"/>
      <c r="CF102" s="988"/>
      <c r="CG102" s="988"/>
      <c r="CH102" s="988"/>
      <c r="CI102" s="988"/>
      <c r="CJ102" s="988"/>
      <c r="CK102" s="988"/>
      <c r="CL102" s="988"/>
      <c r="CM102" s="988"/>
      <c r="CN102" s="988"/>
      <c r="CO102" s="988"/>
      <c r="CP102" s="988"/>
      <c r="CQ102" s="988"/>
      <c r="CR102" s="988"/>
      <c r="CS102" s="988"/>
      <c r="CT102" s="988"/>
      <c r="CU102" s="988"/>
      <c r="CV102" s="988"/>
      <c r="CW102" s="988"/>
      <c r="CX102" s="988"/>
      <c r="CY102" s="988"/>
      <c r="CZ102" s="988"/>
      <c r="DA102" s="988"/>
      <c r="DB102" s="988"/>
      <c r="DC102" s="988"/>
      <c r="DD102" s="988"/>
      <c r="DE102" s="988"/>
      <c r="DF102" s="988"/>
      <c r="DG102" s="988"/>
      <c r="DH102" s="988"/>
      <c r="DI102" s="988"/>
      <c r="DJ102" s="988"/>
      <c r="DK102" s="988"/>
      <c r="DL102" s="988"/>
      <c r="DM102" s="988"/>
      <c r="DN102" s="988"/>
      <c r="DO102" s="988"/>
      <c r="DP102" s="988"/>
      <c r="DQ102" s="988"/>
      <c r="DR102" s="988"/>
      <c r="DS102" s="988"/>
      <c r="DT102" s="988"/>
      <c r="DU102" s="988"/>
      <c r="DV102" s="988"/>
      <c r="DW102" s="988"/>
      <c r="DX102" s="988"/>
      <c r="DY102" s="988"/>
      <c r="DZ102" s="988"/>
      <c r="EA102" s="988"/>
      <c r="EB102" s="988"/>
      <c r="EC102" s="988"/>
      <c r="ED102" s="988"/>
      <c r="EE102" s="988"/>
      <c r="EF102" s="988"/>
      <c r="EG102" s="988"/>
      <c r="EH102" s="988"/>
      <c r="EI102" s="988"/>
      <c r="EJ102" s="988"/>
      <c r="EK102" s="988"/>
      <c r="EL102" s="988"/>
      <c r="EM102" s="988"/>
      <c r="EN102" s="988"/>
      <c r="EO102" s="988"/>
      <c r="EP102" s="988"/>
      <c r="EQ102" s="988"/>
      <c r="ER102" s="988"/>
      <c r="ES102" s="988"/>
      <c r="ET102" s="988"/>
      <c r="EU102" s="988"/>
      <c r="EV102" s="988"/>
      <c r="EW102" s="988"/>
      <c r="EX102" s="988"/>
      <c r="EY102" s="988"/>
      <c r="EZ102" s="988"/>
      <c r="FA102" s="988"/>
      <c r="FB102" s="988"/>
      <c r="FC102" s="988"/>
      <c r="FD102" s="988"/>
      <c r="FE102" s="988"/>
      <c r="FF102" s="988"/>
      <c r="FG102" s="988"/>
      <c r="FH102" s="988"/>
      <c r="FI102" s="988"/>
      <c r="FJ102" s="988"/>
      <c r="FK102" s="988"/>
      <c r="FL102" s="988"/>
      <c r="FM102" s="988"/>
      <c r="FN102" s="988"/>
      <c r="FO102" s="988"/>
      <c r="FP102" s="988"/>
      <c r="FQ102" s="988"/>
      <c r="FR102" s="988"/>
      <c r="FS102" s="988"/>
      <c r="FT102" s="988"/>
      <c r="FU102" s="988"/>
      <c r="FV102" s="988"/>
      <c r="FW102" s="988"/>
      <c r="FX102" s="988"/>
      <c r="FY102" s="988"/>
      <c r="FZ102" s="988"/>
      <c r="GA102" s="988"/>
      <c r="GB102" s="988"/>
      <c r="GC102" s="988"/>
      <c r="GD102" s="988"/>
      <c r="GE102" s="988"/>
      <c r="GF102" s="988"/>
      <c r="GG102" s="988"/>
      <c r="GH102" s="988"/>
      <c r="GI102" s="988"/>
      <c r="GJ102" s="988"/>
      <c r="GK102" s="988"/>
      <c r="GL102" s="988"/>
      <c r="GM102" s="988"/>
      <c r="GN102" s="988"/>
      <c r="GO102" s="988"/>
      <c r="GP102" s="988"/>
      <c r="GQ102" s="988"/>
      <c r="GR102" s="988"/>
      <c r="GS102" s="988"/>
      <c r="GT102" s="988"/>
      <c r="GU102" s="988"/>
      <c r="GV102" s="988"/>
      <c r="GW102" s="988"/>
      <c r="GX102" s="988"/>
      <c r="GY102" s="988"/>
      <c r="GZ102" s="988"/>
      <c r="HA102" s="988"/>
      <c r="HB102" s="988"/>
      <c r="HC102" s="988"/>
      <c r="HD102" s="988"/>
      <c r="HE102" s="988"/>
      <c r="HF102" s="988"/>
      <c r="HG102" s="988"/>
      <c r="HH102" s="988"/>
      <c r="HI102" s="988"/>
      <c r="HJ102" s="988"/>
      <c r="HK102" s="988"/>
      <c r="HL102" s="988"/>
      <c r="HM102" s="988"/>
      <c r="HN102" s="988"/>
      <c r="HO102" s="988"/>
      <c r="HP102" s="988"/>
      <c r="HQ102" s="988"/>
      <c r="HR102" s="988"/>
      <c r="HS102" s="988"/>
      <c r="HT102" s="988"/>
      <c r="HU102" s="988"/>
      <c r="HV102" s="988"/>
      <c r="HW102" s="988"/>
      <c r="HX102" s="988"/>
      <c r="HY102" s="988"/>
      <c r="HZ102" s="988"/>
      <c r="IA102" s="988"/>
      <c r="IB102" s="988"/>
      <c r="IC102" s="988"/>
      <c r="ID102" s="988"/>
      <c r="IE102" s="988"/>
      <c r="IF102" s="988"/>
      <c r="IG102" s="988"/>
      <c r="IH102" s="988"/>
      <c r="II102" s="988"/>
      <c r="IJ102" s="988"/>
      <c r="IK102" s="988"/>
      <c r="IL102" s="988"/>
      <c r="IM102" s="988"/>
      <c r="IN102" s="988"/>
      <c r="IO102" s="988"/>
      <c r="IP102" s="988"/>
      <c r="IQ102" s="988"/>
      <c r="IR102" s="988"/>
      <c r="IS102" s="988"/>
      <c r="IT102" s="988"/>
      <c r="IU102" s="988"/>
      <c r="IV102" s="988"/>
      <c r="IW102" s="988"/>
      <c r="IX102" s="988"/>
      <c r="IY102" s="988"/>
    </row>
    <row r="103" spans="1:259">
      <c r="AI103" s="455" t="str">
        <f t="shared" si="8"/>
        <v/>
      </c>
    </row>
    <row r="104" spans="1:259">
      <c r="AI104" s="455" t="str">
        <f t="shared" si="8"/>
        <v/>
      </c>
    </row>
    <row r="105" spans="1:259">
      <c r="AI105" s="455" t="str">
        <f t="shared" si="8"/>
        <v/>
      </c>
    </row>
    <row r="106" spans="1:259">
      <c r="AI106" s="455" t="str">
        <f t="shared" si="8"/>
        <v/>
      </c>
    </row>
    <row r="107" spans="1:259">
      <c r="AI107" s="455" t="str">
        <f t="shared" si="8"/>
        <v/>
      </c>
    </row>
    <row r="108" spans="1:259">
      <c r="AI108" s="455" t="str">
        <f t="shared" si="8"/>
        <v/>
      </c>
    </row>
    <row r="109" spans="1:259">
      <c r="AI109" s="455" t="str">
        <f t="shared" si="8"/>
        <v/>
      </c>
    </row>
    <row r="110" spans="1:259">
      <c r="AI110" s="455" t="str">
        <f t="shared" si="8"/>
        <v/>
      </c>
    </row>
    <row r="111" spans="1:259">
      <c r="AI111" s="455" t="str">
        <f t="shared" si="8"/>
        <v/>
      </c>
    </row>
    <row r="112" spans="1:259">
      <c r="AI112" s="455" t="str">
        <f t="shared" si="8"/>
        <v/>
      </c>
    </row>
    <row r="113" spans="35:35">
      <c r="AI113" s="455" t="str">
        <f t="shared" si="8"/>
        <v/>
      </c>
    </row>
    <row r="114" spans="35:35">
      <c r="AI114" s="455" t="str">
        <f t="shared" si="8"/>
        <v/>
      </c>
    </row>
    <row r="115" spans="35:35">
      <c r="AI115" s="455" t="str">
        <f t="shared" si="8"/>
        <v/>
      </c>
    </row>
    <row r="116" spans="35:35">
      <c r="AI116" s="455" t="str">
        <f t="shared" si="8"/>
        <v/>
      </c>
    </row>
    <row r="117" spans="35:35">
      <c r="AI117" s="455" t="str">
        <f t="shared" si="8"/>
        <v/>
      </c>
    </row>
    <row r="118" spans="35:35">
      <c r="AI118" s="455" t="str">
        <f t="shared" si="8"/>
        <v/>
      </c>
    </row>
    <row r="119" spans="35:35">
      <c r="AI119" s="455" t="str">
        <f t="shared" si="8"/>
        <v/>
      </c>
    </row>
    <row r="120" spans="35:35">
      <c r="AI120" s="455" t="str">
        <f t="shared" si="8"/>
        <v/>
      </c>
    </row>
    <row r="121" spans="35:35">
      <c r="AI121" s="455" t="str">
        <f t="shared" si="8"/>
        <v/>
      </c>
    </row>
    <row r="122" spans="35:35">
      <c r="AI122" s="455" t="str">
        <f t="shared" si="8"/>
        <v/>
      </c>
    </row>
    <row r="123" spans="35:35">
      <c r="AI123" s="455" t="str">
        <f t="shared" ref="AI123:AI136" si="9">IF(C123&lt;&gt;0,TEXT(C123,"mmm-yyyy"),"")</f>
        <v/>
      </c>
    </row>
    <row r="124" spans="35:35">
      <c r="AI124" s="455" t="str">
        <f t="shared" si="9"/>
        <v/>
      </c>
    </row>
    <row r="125" spans="35:35">
      <c r="AI125" s="455" t="str">
        <f t="shared" si="9"/>
        <v/>
      </c>
    </row>
    <row r="126" spans="35:35">
      <c r="AI126" s="455" t="str">
        <f t="shared" si="9"/>
        <v/>
      </c>
    </row>
    <row r="127" spans="35:35">
      <c r="AI127" s="455" t="str">
        <f t="shared" si="9"/>
        <v/>
      </c>
    </row>
    <row r="128" spans="35:35">
      <c r="AI128" s="455" t="str">
        <f t="shared" si="9"/>
        <v/>
      </c>
    </row>
    <row r="129" spans="27:35">
      <c r="AI129" s="455" t="str">
        <f t="shared" si="9"/>
        <v/>
      </c>
    </row>
    <row r="130" spans="27:35">
      <c r="AA130" s="655" t="s">
        <v>3143</v>
      </c>
      <c r="AI130" s="455" t="str">
        <f t="shared" si="9"/>
        <v/>
      </c>
    </row>
    <row r="131" spans="27:35">
      <c r="AI131" s="455" t="str">
        <f t="shared" si="9"/>
        <v/>
      </c>
    </row>
    <row r="132" spans="27:35">
      <c r="AI132" s="455" t="str">
        <f t="shared" si="9"/>
        <v/>
      </c>
    </row>
    <row r="133" spans="27:35">
      <c r="AI133" s="455" t="str">
        <f t="shared" si="9"/>
        <v/>
      </c>
    </row>
    <row r="134" spans="27:35">
      <c r="AI134" s="455" t="str">
        <f t="shared" si="9"/>
        <v/>
      </c>
    </row>
    <row r="135" spans="27:35">
      <c r="AI135" s="455" t="str">
        <f t="shared" si="9"/>
        <v/>
      </c>
    </row>
    <row r="136" spans="27:35">
      <c r="AI136" s="455" t="str">
        <f t="shared" si="9"/>
        <v/>
      </c>
    </row>
    <row r="137" spans="27:35">
      <c r="AI137" s="455" t="str">
        <f t="shared" ref="AI137:AI200" si="10">IF(C137&lt;&gt;0,TEXT(C137,"mmm-yyyy"),"")</f>
        <v/>
      </c>
    </row>
    <row r="138" spans="27:35">
      <c r="AI138" s="455" t="str">
        <f t="shared" si="10"/>
        <v/>
      </c>
    </row>
    <row r="139" spans="27:35">
      <c r="AI139" s="455" t="str">
        <f t="shared" si="10"/>
        <v/>
      </c>
    </row>
    <row r="140" spans="27:35">
      <c r="AI140" s="455" t="str">
        <f t="shared" si="10"/>
        <v/>
      </c>
    </row>
    <row r="141" spans="27:35">
      <c r="AI141" s="455" t="str">
        <f t="shared" si="10"/>
        <v/>
      </c>
    </row>
    <row r="142" spans="27:35">
      <c r="AI142" s="455" t="str">
        <f t="shared" si="10"/>
        <v/>
      </c>
    </row>
    <row r="143" spans="27:35">
      <c r="AI143" s="455" t="str">
        <f t="shared" si="10"/>
        <v/>
      </c>
    </row>
    <row r="144" spans="27:35">
      <c r="AI144" s="455" t="str">
        <f t="shared" si="10"/>
        <v/>
      </c>
    </row>
    <row r="145" spans="35:35">
      <c r="AI145" s="455" t="str">
        <f t="shared" si="10"/>
        <v/>
      </c>
    </row>
    <row r="146" spans="35:35">
      <c r="AI146" s="455" t="str">
        <f t="shared" si="10"/>
        <v/>
      </c>
    </row>
    <row r="147" spans="35:35">
      <c r="AI147" s="455" t="str">
        <f t="shared" si="10"/>
        <v/>
      </c>
    </row>
    <row r="148" spans="35:35">
      <c r="AI148" s="455" t="str">
        <f t="shared" si="10"/>
        <v/>
      </c>
    </row>
    <row r="149" spans="35:35">
      <c r="AI149" s="455" t="str">
        <f t="shared" si="10"/>
        <v/>
      </c>
    </row>
    <row r="150" spans="35:35">
      <c r="AI150" s="455" t="str">
        <f t="shared" si="10"/>
        <v/>
      </c>
    </row>
    <row r="151" spans="35:35">
      <c r="AI151" s="455" t="str">
        <f t="shared" si="10"/>
        <v/>
      </c>
    </row>
    <row r="152" spans="35:35">
      <c r="AI152" s="455" t="str">
        <f t="shared" si="10"/>
        <v/>
      </c>
    </row>
    <row r="153" spans="35:35">
      <c r="AI153" s="455" t="str">
        <f t="shared" si="10"/>
        <v/>
      </c>
    </row>
    <row r="154" spans="35:35">
      <c r="AI154" s="455" t="str">
        <f t="shared" si="10"/>
        <v/>
      </c>
    </row>
    <row r="155" spans="35:35">
      <c r="AI155" s="455" t="str">
        <f t="shared" si="10"/>
        <v/>
      </c>
    </row>
    <row r="156" spans="35:35">
      <c r="AI156" s="455" t="str">
        <f t="shared" si="10"/>
        <v/>
      </c>
    </row>
    <row r="157" spans="35:35">
      <c r="AI157" s="455" t="str">
        <f t="shared" si="10"/>
        <v/>
      </c>
    </row>
    <row r="158" spans="35:35">
      <c r="AI158" s="455" t="str">
        <f t="shared" si="10"/>
        <v/>
      </c>
    </row>
    <row r="159" spans="35:35">
      <c r="AI159" s="455" t="str">
        <f t="shared" si="10"/>
        <v/>
      </c>
    </row>
    <row r="160" spans="35:35">
      <c r="AI160" s="455" t="str">
        <f t="shared" si="10"/>
        <v/>
      </c>
    </row>
    <row r="161" spans="35:35">
      <c r="AI161" s="455" t="str">
        <f t="shared" si="10"/>
        <v/>
      </c>
    </row>
    <row r="162" spans="35:35">
      <c r="AI162" s="455" t="str">
        <f t="shared" si="10"/>
        <v/>
      </c>
    </row>
    <row r="163" spans="35:35">
      <c r="AI163" s="455" t="str">
        <f t="shared" si="10"/>
        <v/>
      </c>
    </row>
    <row r="164" spans="35:35">
      <c r="AI164" s="455" t="str">
        <f t="shared" si="10"/>
        <v/>
      </c>
    </row>
    <row r="165" spans="35:35">
      <c r="AI165" s="455" t="str">
        <f t="shared" si="10"/>
        <v/>
      </c>
    </row>
    <row r="166" spans="35:35">
      <c r="AI166" s="455" t="str">
        <f t="shared" si="10"/>
        <v/>
      </c>
    </row>
    <row r="167" spans="35:35">
      <c r="AI167" s="455" t="str">
        <f t="shared" si="10"/>
        <v/>
      </c>
    </row>
    <row r="168" spans="35:35">
      <c r="AI168" s="455" t="str">
        <f t="shared" si="10"/>
        <v/>
      </c>
    </row>
    <row r="169" spans="35:35">
      <c r="AI169" s="455" t="str">
        <f t="shared" si="10"/>
        <v/>
      </c>
    </row>
    <row r="170" spans="35:35">
      <c r="AI170" s="455" t="str">
        <f t="shared" si="10"/>
        <v/>
      </c>
    </row>
    <row r="171" spans="35:35">
      <c r="AI171" s="455" t="str">
        <f t="shared" si="10"/>
        <v/>
      </c>
    </row>
    <row r="172" spans="35:35">
      <c r="AI172" s="455" t="str">
        <f t="shared" si="10"/>
        <v/>
      </c>
    </row>
    <row r="173" spans="35:35">
      <c r="AI173" s="455" t="str">
        <f t="shared" si="10"/>
        <v/>
      </c>
    </row>
    <row r="174" spans="35:35">
      <c r="AI174" s="455" t="str">
        <f t="shared" si="10"/>
        <v/>
      </c>
    </row>
    <row r="175" spans="35:35">
      <c r="AI175" s="455" t="str">
        <f t="shared" si="10"/>
        <v/>
      </c>
    </row>
    <row r="176" spans="35:35">
      <c r="AI176" s="455" t="str">
        <f t="shared" si="10"/>
        <v/>
      </c>
    </row>
    <row r="177" spans="35:35">
      <c r="AI177" s="455" t="str">
        <f t="shared" si="10"/>
        <v/>
      </c>
    </row>
    <row r="178" spans="35:35">
      <c r="AI178" s="455" t="str">
        <f t="shared" si="10"/>
        <v/>
      </c>
    </row>
    <row r="179" spans="35:35">
      <c r="AI179" s="455" t="str">
        <f t="shared" si="10"/>
        <v/>
      </c>
    </row>
    <row r="180" spans="35:35">
      <c r="AI180" s="455" t="str">
        <f t="shared" si="10"/>
        <v/>
      </c>
    </row>
    <row r="181" spans="35:35">
      <c r="AI181" s="455" t="str">
        <f t="shared" si="10"/>
        <v/>
      </c>
    </row>
    <row r="182" spans="35:35">
      <c r="AI182" s="455" t="str">
        <f t="shared" si="10"/>
        <v/>
      </c>
    </row>
    <row r="183" spans="35:35">
      <c r="AI183" s="455" t="str">
        <f t="shared" si="10"/>
        <v/>
      </c>
    </row>
    <row r="184" spans="35:35">
      <c r="AI184" s="455" t="str">
        <f t="shared" si="10"/>
        <v/>
      </c>
    </row>
    <row r="185" spans="35:35">
      <c r="AI185" s="455" t="str">
        <f t="shared" si="10"/>
        <v/>
      </c>
    </row>
    <row r="186" spans="35:35">
      <c r="AI186" s="455" t="str">
        <f t="shared" si="10"/>
        <v/>
      </c>
    </row>
    <row r="187" spans="35:35">
      <c r="AI187" s="455" t="str">
        <f t="shared" si="10"/>
        <v/>
      </c>
    </row>
    <row r="188" spans="35:35">
      <c r="AI188" s="455" t="str">
        <f t="shared" si="10"/>
        <v/>
      </c>
    </row>
    <row r="189" spans="35:35">
      <c r="AI189" s="455" t="str">
        <f t="shared" si="10"/>
        <v/>
      </c>
    </row>
    <row r="190" spans="35:35">
      <c r="AI190" s="455" t="str">
        <f t="shared" si="10"/>
        <v/>
      </c>
    </row>
    <row r="191" spans="35:35">
      <c r="AI191" s="455" t="str">
        <f t="shared" si="10"/>
        <v/>
      </c>
    </row>
    <row r="192" spans="35:35">
      <c r="AI192" s="455" t="str">
        <f t="shared" si="10"/>
        <v/>
      </c>
    </row>
    <row r="193" spans="35:35">
      <c r="AI193" s="455" t="str">
        <f t="shared" si="10"/>
        <v/>
      </c>
    </row>
    <row r="194" spans="35:35">
      <c r="AI194" s="455" t="str">
        <f t="shared" si="10"/>
        <v/>
      </c>
    </row>
    <row r="195" spans="35:35">
      <c r="AI195" s="455" t="str">
        <f t="shared" si="10"/>
        <v/>
      </c>
    </row>
    <row r="196" spans="35:35">
      <c r="AI196" s="455" t="str">
        <f t="shared" si="10"/>
        <v/>
      </c>
    </row>
    <row r="197" spans="35:35">
      <c r="AI197" s="455" t="str">
        <f t="shared" si="10"/>
        <v/>
      </c>
    </row>
    <row r="198" spans="35:35">
      <c r="AI198" s="455" t="str">
        <f t="shared" si="10"/>
        <v/>
      </c>
    </row>
    <row r="199" spans="35:35">
      <c r="AI199" s="455" t="str">
        <f t="shared" si="10"/>
        <v/>
      </c>
    </row>
    <row r="200" spans="35:35">
      <c r="AI200" s="455" t="str">
        <f t="shared" si="10"/>
        <v/>
      </c>
    </row>
    <row r="201" spans="35:35">
      <c r="AI201" s="455" t="str">
        <f t="shared" ref="AI201:AI264" si="11">IF(C201&lt;&gt;0,TEXT(C201,"mmm-yyyy"),"")</f>
        <v/>
      </c>
    </row>
    <row r="202" spans="35:35">
      <c r="AI202" s="455" t="str">
        <f t="shared" si="11"/>
        <v/>
      </c>
    </row>
    <row r="203" spans="35:35">
      <c r="AI203" s="455" t="str">
        <f t="shared" si="11"/>
        <v/>
      </c>
    </row>
    <row r="204" spans="35:35">
      <c r="AI204" s="455" t="str">
        <f t="shared" si="11"/>
        <v/>
      </c>
    </row>
    <row r="205" spans="35:35">
      <c r="AI205" s="455" t="str">
        <f t="shared" si="11"/>
        <v/>
      </c>
    </row>
    <row r="206" spans="35:35">
      <c r="AI206" s="455" t="str">
        <f t="shared" si="11"/>
        <v/>
      </c>
    </row>
    <row r="207" spans="35:35">
      <c r="AI207" s="455" t="str">
        <f t="shared" si="11"/>
        <v/>
      </c>
    </row>
    <row r="208" spans="35:35">
      <c r="AI208" s="455" t="str">
        <f t="shared" si="11"/>
        <v/>
      </c>
    </row>
    <row r="209" spans="35:35">
      <c r="AI209" s="455" t="str">
        <f t="shared" si="11"/>
        <v/>
      </c>
    </row>
    <row r="210" spans="35:35">
      <c r="AI210" s="455" t="str">
        <f t="shared" si="11"/>
        <v/>
      </c>
    </row>
    <row r="211" spans="35:35">
      <c r="AI211" s="455" t="str">
        <f t="shared" si="11"/>
        <v/>
      </c>
    </row>
    <row r="212" spans="35:35">
      <c r="AI212" s="455" t="str">
        <f t="shared" si="11"/>
        <v/>
      </c>
    </row>
    <row r="213" spans="35:35">
      <c r="AI213" s="455" t="str">
        <f t="shared" si="11"/>
        <v/>
      </c>
    </row>
    <row r="214" spans="35:35">
      <c r="AI214" s="455" t="str">
        <f t="shared" si="11"/>
        <v/>
      </c>
    </row>
    <row r="215" spans="35:35">
      <c r="AI215" s="455" t="str">
        <f t="shared" si="11"/>
        <v/>
      </c>
    </row>
    <row r="216" spans="35:35">
      <c r="AI216" s="455" t="str">
        <f t="shared" si="11"/>
        <v/>
      </c>
    </row>
    <row r="217" spans="35:35">
      <c r="AI217" s="455" t="str">
        <f t="shared" si="11"/>
        <v/>
      </c>
    </row>
    <row r="218" spans="35:35">
      <c r="AI218" s="455" t="str">
        <f t="shared" si="11"/>
        <v/>
      </c>
    </row>
    <row r="219" spans="35:35">
      <c r="AI219" s="455" t="str">
        <f t="shared" si="11"/>
        <v/>
      </c>
    </row>
    <row r="220" spans="35:35">
      <c r="AI220" s="455" t="str">
        <f t="shared" si="11"/>
        <v/>
      </c>
    </row>
    <row r="221" spans="35:35">
      <c r="AI221" s="455" t="str">
        <f t="shared" si="11"/>
        <v/>
      </c>
    </row>
    <row r="222" spans="35:35">
      <c r="AI222" s="455" t="str">
        <f t="shared" si="11"/>
        <v/>
      </c>
    </row>
    <row r="223" spans="35:35">
      <c r="AI223" s="455" t="str">
        <f t="shared" si="11"/>
        <v/>
      </c>
    </row>
    <row r="224" spans="35:35">
      <c r="AI224" s="455" t="str">
        <f t="shared" si="11"/>
        <v/>
      </c>
    </row>
    <row r="225" spans="35:35">
      <c r="AI225" s="455" t="str">
        <f t="shared" si="11"/>
        <v/>
      </c>
    </row>
    <row r="226" spans="35:35">
      <c r="AI226" s="455" t="str">
        <f t="shared" si="11"/>
        <v/>
      </c>
    </row>
    <row r="227" spans="35:35">
      <c r="AI227" s="455" t="str">
        <f t="shared" si="11"/>
        <v/>
      </c>
    </row>
    <row r="228" spans="35:35">
      <c r="AI228" s="455" t="str">
        <f t="shared" si="11"/>
        <v/>
      </c>
    </row>
    <row r="229" spans="35:35">
      <c r="AI229" s="455" t="str">
        <f t="shared" si="11"/>
        <v/>
      </c>
    </row>
    <row r="230" spans="35:35">
      <c r="AI230" s="455" t="str">
        <f t="shared" si="11"/>
        <v/>
      </c>
    </row>
    <row r="231" spans="35:35">
      <c r="AI231" s="455" t="str">
        <f t="shared" si="11"/>
        <v/>
      </c>
    </row>
    <row r="232" spans="35:35">
      <c r="AI232" s="455" t="str">
        <f t="shared" si="11"/>
        <v/>
      </c>
    </row>
    <row r="233" spans="35:35">
      <c r="AI233" s="455" t="str">
        <f t="shared" si="11"/>
        <v/>
      </c>
    </row>
    <row r="234" spans="35:35">
      <c r="AI234" s="455" t="str">
        <f t="shared" si="11"/>
        <v/>
      </c>
    </row>
    <row r="235" spans="35:35">
      <c r="AI235" s="455" t="str">
        <f t="shared" si="11"/>
        <v/>
      </c>
    </row>
    <row r="236" spans="35:35">
      <c r="AI236" s="455" t="str">
        <f t="shared" si="11"/>
        <v/>
      </c>
    </row>
    <row r="237" spans="35:35">
      <c r="AI237" s="455" t="str">
        <f t="shared" si="11"/>
        <v/>
      </c>
    </row>
    <row r="238" spans="35:35">
      <c r="AI238" s="455" t="str">
        <f t="shared" si="11"/>
        <v/>
      </c>
    </row>
    <row r="239" spans="35:35">
      <c r="AI239" s="455" t="str">
        <f t="shared" si="11"/>
        <v/>
      </c>
    </row>
    <row r="240" spans="35:35">
      <c r="AI240" s="455" t="str">
        <f t="shared" si="11"/>
        <v/>
      </c>
    </row>
    <row r="241" spans="35:35">
      <c r="AI241" s="455" t="str">
        <f t="shared" si="11"/>
        <v/>
      </c>
    </row>
    <row r="242" spans="35:35">
      <c r="AI242" s="455" t="str">
        <f t="shared" si="11"/>
        <v/>
      </c>
    </row>
    <row r="243" spans="35:35">
      <c r="AI243" s="455" t="str">
        <f t="shared" si="11"/>
        <v/>
      </c>
    </row>
    <row r="244" spans="35:35">
      <c r="AI244" s="455" t="str">
        <f t="shared" si="11"/>
        <v/>
      </c>
    </row>
    <row r="245" spans="35:35">
      <c r="AI245" s="455" t="str">
        <f t="shared" si="11"/>
        <v/>
      </c>
    </row>
    <row r="246" spans="35:35">
      <c r="AI246" s="455" t="str">
        <f t="shared" si="11"/>
        <v/>
      </c>
    </row>
    <row r="247" spans="35:35">
      <c r="AI247" s="455" t="str">
        <f t="shared" si="11"/>
        <v/>
      </c>
    </row>
    <row r="248" spans="35:35">
      <c r="AI248" s="455" t="str">
        <f t="shared" si="11"/>
        <v/>
      </c>
    </row>
    <row r="249" spans="35:35">
      <c r="AI249" s="455" t="str">
        <f t="shared" si="11"/>
        <v/>
      </c>
    </row>
    <row r="250" spans="35:35">
      <c r="AI250" s="455" t="str">
        <f t="shared" si="11"/>
        <v/>
      </c>
    </row>
    <row r="251" spans="35:35">
      <c r="AI251" s="455" t="str">
        <f t="shared" si="11"/>
        <v/>
      </c>
    </row>
    <row r="252" spans="35:35">
      <c r="AI252" s="455" t="str">
        <f t="shared" si="11"/>
        <v/>
      </c>
    </row>
    <row r="253" spans="35:35">
      <c r="AI253" s="455" t="str">
        <f t="shared" si="11"/>
        <v/>
      </c>
    </row>
    <row r="254" spans="35:35">
      <c r="AI254" s="455" t="str">
        <f t="shared" si="11"/>
        <v/>
      </c>
    </row>
    <row r="255" spans="35:35">
      <c r="AI255" s="455" t="str">
        <f t="shared" si="11"/>
        <v/>
      </c>
    </row>
    <row r="256" spans="35:35">
      <c r="AI256" s="455" t="str">
        <f t="shared" si="11"/>
        <v/>
      </c>
    </row>
    <row r="257" spans="35:35">
      <c r="AI257" s="455" t="str">
        <f t="shared" si="11"/>
        <v/>
      </c>
    </row>
    <row r="258" spans="35:35">
      <c r="AI258" s="455" t="str">
        <f t="shared" si="11"/>
        <v/>
      </c>
    </row>
    <row r="259" spans="35:35">
      <c r="AI259" s="455" t="str">
        <f t="shared" si="11"/>
        <v/>
      </c>
    </row>
    <row r="260" spans="35:35">
      <c r="AI260" s="455" t="str">
        <f t="shared" si="11"/>
        <v/>
      </c>
    </row>
    <row r="261" spans="35:35">
      <c r="AI261" s="455" t="str">
        <f t="shared" si="11"/>
        <v/>
      </c>
    </row>
    <row r="262" spans="35:35">
      <c r="AI262" s="455" t="str">
        <f t="shared" si="11"/>
        <v/>
      </c>
    </row>
    <row r="263" spans="35:35">
      <c r="AI263" s="455" t="str">
        <f t="shared" si="11"/>
        <v/>
      </c>
    </row>
    <row r="264" spans="35:35">
      <c r="AI264" s="455" t="str">
        <f t="shared" si="11"/>
        <v/>
      </c>
    </row>
    <row r="265" spans="35:35">
      <c r="AI265" s="455" t="str">
        <f t="shared" ref="AI265:AI270" si="12">IF(C265&lt;&gt;0,TEXT(C265,"mmm-yyyy"),"")</f>
        <v/>
      </c>
    </row>
    <row r="266" spans="35:35">
      <c r="AI266" s="455" t="str">
        <f t="shared" si="12"/>
        <v/>
      </c>
    </row>
    <row r="267" spans="35:35">
      <c r="AI267" s="455" t="str">
        <f t="shared" si="12"/>
        <v/>
      </c>
    </row>
    <row r="268" spans="35:35">
      <c r="AI268" s="455" t="str">
        <f t="shared" si="12"/>
        <v/>
      </c>
    </row>
    <row r="269" spans="35:35">
      <c r="AI269" s="455" t="str">
        <f t="shared" si="12"/>
        <v/>
      </c>
    </row>
    <row r="270" spans="35:35">
      <c r="AI270" s="455" t="str">
        <f t="shared" si="12"/>
        <v/>
      </c>
    </row>
  </sheetData>
  <autoFilter ref="A1:AG270" xr:uid="{FDA42ECD-1F40-48D3-8A21-4BF479267622}"/>
  <phoneticPr fontId="164" type="noConversion"/>
  <conditionalFormatting sqref="AB2:AB79 AB81 AB83 AB88 AB90:AB904">
    <cfRule type="cellIs" dxfId="964" priority="144" operator="equal">
      <formula>"NA"</formula>
    </cfRule>
  </conditionalFormatting>
  <conditionalFormatting sqref="AC2:AE74 AC76:AE80 AB82:AD82 AC83:AE83 AC88:AE88 AC90:AE996">
    <cfRule type="cellIs" dxfId="963" priority="84" operator="equal">
      <formula>"Yes"</formula>
    </cfRule>
  </conditionalFormatting>
  <conditionalFormatting sqref="AB72">
    <cfRule type="cellIs" dxfId="962" priority="150" operator="equal">
      <formula>"NA"</formula>
    </cfRule>
  </conditionalFormatting>
  <conditionalFormatting sqref="AC72:AD72">
    <cfRule type="cellIs" dxfId="961" priority="147" operator="equal">
      <formula>"Yes"</formula>
    </cfRule>
  </conditionalFormatting>
  <conditionalFormatting sqref="Z73:Z74">
    <cfRule type="cellIs" dxfId="960" priority="146" operator="equal">
      <formula>"NA"</formula>
    </cfRule>
  </conditionalFormatting>
  <conditionalFormatting sqref="AA73:AB73">
    <cfRule type="cellIs" dxfId="959" priority="145" operator="equal">
      <formula>"Yes"</formula>
    </cfRule>
  </conditionalFormatting>
  <conditionalFormatting sqref="AA74:AB74">
    <cfRule type="cellIs" dxfId="958" priority="142" operator="equal">
      <formula>"Yes"</formula>
    </cfRule>
  </conditionalFormatting>
  <conditionalFormatting sqref="AC2:AE85">
    <cfRule type="cellIs" dxfId="957" priority="110" operator="equal">
      <formula>"Yes"</formula>
    </cfRule>
  </conditionalFormatting>
  <conditionalFormatting sqref="F2:F88 F90:F996">
    <cfRule type="cellIs" dxfId="956" priority="106" operator="equal">
      <formula>"Request for NCR"</formula>
    </cfRule>
  </conditionalFormatting>
  <conditionalFormatting sqref="W80">
    <cfRule type="cellIs" dxfId="955" priority="127" operator="equal">
      <formula>"NA"</formula>
    </cfRule>
  </conditionalFormatting>
  <conditionalFormatting sqref="X80:Z80">
    <cfRule type="cellIs" dxfId="954" priority="124" operator="equal">
      <formula>"Yes"</formula>
    </cfRule>
  </conditionalFormatting>
  <conditionalFormatting sqref="AC81:AE81">
    <cfRule type="cellIs" dxfId="953" priority="123" operator="equal">
      <formula>"Yes"</formula>
    </cfRule>
  </conditionalFormatting>
  <conditionalFormatting sqref="AA82">
    <cfRule type="cellIs" dxfId="952" priority="121" operator="equal">
      <formula>"NA"</formula>
    </cfRule>
  </conditionalFormatting>
  <conditionalFormatting sqref="W84:W85">
    <cfRule type="cellIs" dxfId="951" priority="104" operator="equal">
      <formula>"NA"</formula>
    </cfRule>
  </conditionalFormatting>
  <conditionalFormatting sqref="X84:Z84">
    <cfRule type="cellIs" dxfId="950" priority="103" operator="equal">
      <formula>"Yes"</formula>
    </cfRule>
  </conditionalFormatting>
  <conditionalFormatting sqref="X85:Z85">
    <cfRule type="cellIs" dxfId="949" priority="96" operator="equal">
      <formula>"Yes"</formula>
    </cfRule>
  </conditionalFormatting>
  <conditionalFormatting sqref="XFA86 B86:B87">
    <cfRule type="cellIs" dxfId="948" priority="95" operator="equal">
      <formula>"Request for NCR"</formula>
    </cfRule>
  </conditionalFormatting>
  <conditionalFormatting sqref="W86">
    <cfRule type="cellIs" dxfId="947" priority="94" operator="equal">
      <formula>"NA"</formula>
    </cfRule>
  </conditionalFormatting>
  <conditionalFormatting sqref="X86:Z86">
    <cfRule type="cellIs" dxfId="946" priority="93" operator="equal">
      <formula>"Yes"</formula>
    </cfRule>
  </conditionalFormatting>
  <conditionalFormatting sqref="G89:I89 K87:AB87 K2:AG86 A91:J92 K88:AG88 A93:G99 I93:J99 A2:J88 D90:J90 K90:AG99 A103:AG996 U100:AG102 A100:S102">
    <cfRule type="expression" dxfId="945" priority="131">
      <formula>OR($AF2="No", $AG2="No")</formula>
    </cfRule>
    <cfRule type="expression" dxfId="944" priority="143">
      <formula>AND($AF2="Yes",$AG2="Yes")</formula>
    </cfRule>
  </conditionalFormatting>
  <conditionalFormatting sqref="XFA87 B87">
    <cfRule type="cellIs" dxfId="943" priority="90" operator="equal">
      <formula>"Request for NCR"</formula>
    </cfRule>
  </conditionalFormatting>
  <conditionalFormatting sqref="XEV87">
    <cfRule type="cellIs" dxfId="942" priority="89" operator="equal">
      <formula>"Request for NCR"</formula>
    </cfRule>
  </conditionalFormatting>
  <conditionalFormatting sqref="R87">
    <cfRule type="cellIs" dxfId="941" priority="88" operator="equal">
      <formula>"NA"</formula>
    </cfRule>
  </conditionalFormatting>
  <conditionalFormatting sqref="S87:U87">
    <cfRule type="cellIs" dxfId="940" priority="87" operator="equal">
      <formula>"Yes"</formula>
    </cfRule>
  </conditionalFormatting>
  <conditionalFormatting sqref="XEZ87:XFD87">
    <cfRule type="expression" dxfId="939" priority="85">
      <formula>OR($AF87="No", $AG87="No")</formula>
    </cfRule>
    <cfRule type="expression" dxfId="938" priority="86">
      <formula>AND($AF87="Yes",$AG87="Yes")</formula>
    </cfRule>
  </conditionalFormatting>
  <conditionalFormatting sqref="G89:I89 A91:J92 A93:G99 I93:J99 A2:AG88 D90:J90 K90:AG99 A103:AG996 U100:AG102 A100:S102">
    <cfRule type="expression" dxfId="937" priority="112">
      <formula>$A2&lt;&gt;""</formula>
    </cfRule>
  </conditionalFormatting>
  <conditionalFormatting sqref="B88">
    <cfRule type="cellIs" dxfId="936" priority="83" operator="equal">
      <formula>"Request for NCR"</formula>
    </cfRule>
  </conditionalFormatting>
  <conditionalFormatting sqref="B88">
    <cfRule type="cellIs" dxfId="935" priority="82" operator="equal">
      <formula>"Request for NCR"</formula>
    </cfRule>
  </conditionalFormatting>
  <conditionalFormatting sqref="A89:F89 I89:O89 A90:C90 S89 AA89:AB89">
    <cfRule type="expression" dxfId="934" priority="1461">
      <formula>AND($AF89="Yes",$AG89="Yes")</formula>
    </cfRule>
    <cfRule type="cellIs" dxfId="933" priority="1462" operator="equal">
      <formula>"Yes"</formula>
    </cfRule>
    <cfRule type="cellIs" dxfId="932" priority="1463" operator="equal">
      <formula>"NA"</formula>
    </cfRule>
    <cfRule type="cellIs" dxfId="931" priority="1464" operator="equal">
      <formula>"Request for NCR"</formula>
    </cfRule>
    <cfRule type="expression" dxfId="930" priority="1465">
      <formula>OR($AF89="No", $AG89="No")</formula>
    </cfRule>
    <cfRule type="expression" dxfId="929" priority="1466">
      <formula>$A89&lt;&gt;""</formula>
    </cfRule>
  </conditionalFormatting>
  <conditionalFormatting sqref="H94 I97">
    <cfRule type="expression" dxfId="928" priority="1469">
      <formula>OR($AF93="No", $AG93="No")</formula>
    </cfRule>
    <cfRule type="expression" dxfId="927" priority="1470">
      <formula>AND($AF93="Yes",$AG93="Yes")</formula>
    </cfRule>
  </conditionalFormatting>
  <conditionalFormatting sqref="H94 I97">
    <cfRule type="expression" dxfId="926" priority="1472">
      <formula>$A93&lt;&gt;""</formula>
    </cfRule>
  </conditionalFormatting>
  <conditionalFormatting sqref="H93">
    <cfRule type="expression" dxfId="925" priority="62">
      <formula>OR($AF93="No", $AG93="No")</formula>
    </cfRule>
    <cfRule type="expression" dxfId="924" priority="63">
      <formula>AND($AF93="Yes",$AG93="Yes")</formula>
    </cfRule>
  </conditionalFormatting>
  <conditionalFormatting sqref="H93">
    <cfRule type="expression" dxfId="923" priority="61">
      <formula>$A93&lt;&gt;""</formula>
    </cfRule>
  </conditionalFormatting>
  <conditionalFormatting sqref="P89">
    <cfRule type="expression" dxfId="922" priority="59">
      <formula>OR($AF89="No", $AG89="No")</formula>
    </cfRule>
    <cfRule type="expression" dxfId="921" priority="60">
      <formula>AND($AF89="Yes",$AG89="Yes")</formula>
    </cfRule>
  </conditionalFormatting>
  <conditionalFormatting sqref="P89">
    <cfRule type="expression" dxfId="920" priority="58">
      <formula>$A89&lt;&gt;""</formula>
    </cfRule>
  </conditionalFormatting>
  <conditionalFormatting sqref="Q89">
    <cfRule type="expression" dxfId="919" priority="56">
      <formula>OR($AF89="No", $AG89="No")</formula>
    </cfRule>
    <cfRule type="expression" dxfId="918" priority="57">
      <formula>AND($AF89="Yes",$AG89="Yes")</formula>
    </cfRule>
  </conditionalFormatting>
  <conditionalFormatting sqref="Q89">
    <cfRule type="expression" dxfId="917" priority="55">
      <formula>$A89&lt;&gt;""</formula>
    </cfRule>
  </conditionalFormatting>
  <conditionalFormatting sqref="R89">
    <cfRule type="expression" dxfId="916" priority="53">
      <formula>OR($AF89="No", $AG89="No")</formula>
    </cfRule>
    <cfRule type="expression" dxfId="915" priority="54">
      <formula>AND($AF89="Yes",$AG89="Yes")</formula>
    </cfRule>
  </conditionalFormatting>
  <conditionalFormatting sqref="R89">
    <cfRule type="expression" dxfId="914" priority="52">
      <formula>$A89&lt;&gt;""</formula>
    </cfRule>
  </conditionalFormatting>
  <conditionalFormatting sqref="AG89">
    <cfRule type="expression" dxfId="913" priority="50">
      <formula>OR($AF89="No", $AG89="No")</formula>
    </cfRule>
    <cfRule type="expression" dxfId="912" priority="51">
      <formula>AND($AF89="Yes",$AG89="Yes")</formula>
    </cfRule>
  </conditionalFormatting>
  <conditionalFormatting sqref="AG89">
    <cfRule type="expression" dxfId="911" priority="49">
      <formula>$A89&lt;&gt;""</formula>
    </cfRule>
  </conditionalFormatting>
  <conditionalFormatting sqref="AF89">
    <cfRule type="expression" dxfId="910" priority="47">
      <formula>OR($AF89="No", $AG89="No")</formula>
    </cfRule>
    <cfRule type="expression" dxfId="909" priority="48">
      <formula>AND($AF89="Yes",$AG89="Yes")</formula>
    </cfRule>
  </conditionalFormatting>
  <conditionalFormatting sqref="AF89">
    <cfRule type="expression" dxfId="908" priority="46">
      <formula>$A89&lt;&gt;""</formula>
    </cfRule>
  </conditionalFormatting>
  <conditionalFormatting sqref="AE89">
    <cfRule type="expression" dxfId="907" priority="44">
      <formula>OR($AF89="No", $AG89="No")</formula>
    </cfRule>
    <cfRule type="expression" dxfId="906" priority="45">
      <formula>AND($AF89="Yes",$AG89="Yes")</formula>
    </cfRule>
  </conditionalFormatting>
  <conditionalFormatting sqref="AE89">
    <cfRule type="expression" dxfId="905" priority="43">
      <formula>$A89&lt;&gt;""</formula>
    </cfRule>
  </conditionalFormatting>
  <conditionalFormatting sqref="AD89">
    <cfRule type="expression" dxfId="904" priority="41">
      <formula>OR($AF89="No", $AG89="No")</formula>
    </cfRule>
    <cfRule type="expression" dxfId="903" priority="42">
      <formula>AND($AF89="Yes",$AG89="Yes")</formula>
    </cfRule>
  </conditionalFormatting>
  <conditionalFormatting sqref="AD89">
    <cfRule type="expression" dxfId="902" priority="40">
      <formula>$A89&lt;&gt;""</formula>
    </cfRule>
  </conditionalFormatting>
  <conditionalFormatting sqref="AC89">
    <cfRule type="expression" dxfId="901" priority="38">
      <formula>OR($AF89="No", $AG89="No")</formula>
    </cfRule>
    <cfRule type="expression" dxfId="900" priority="39">
      <formula>AND($AF89="Yes",$AG89="Yes")</formula>
    </cfRule>
  </conditionalFormatting>
  <conditionalFormatting sqref="AC89">
    <cfRule type="expression" dxfId="899" priority="37">
      <formula>$A89&lt;&gt;""</formula>
    </cfRule>
  </conditionalFormatting>
  <conditionalFormatting sqref="Y89">
    <cfRule type="expression" dxfId="898" priority="35">
      <formula>OR($AF89="No", $AG89="No")</formula>
    </cfRule>
    <cfRule type="expression" dxfId="897" priority="36">
      <formula>AND($AF89="Yes",$AG89="Yes")</formula>
    </cfRule>
  </conditionalFormatting>
  <conditionalFormatting sqref="Y89">
    <cfRule type="expression" dxfId="896" priority="34">
      <formula>$A89&lt;&gt;""</formula>
    </cfRule>
  </conditionalFormatting>
  <conditionalFormatting sqref="Z89">
    <cfRule type="expression" dxfId="895" priority="32">
      <formula>OR($AF89="No", $AG89="No")</formula>
    </cfRule>
    <cfRule type="expression" dxfId="894" priority="33">
      <formula>AND($AF89="Yes",$AG89="Yes")</formula>
    </cfRule>
  </conditionalFormatting>
  <conditionalFormatting sqref="Z89">
    <cfRule type="expression" dxfId="893" priority="31">
      <formula>$A89&lt;&gt;""</formula>
    </cfRule>
  </conditionalFormatting>
  <conditionalFormatting sqref="X89">
    <cfRule type="expression" dxfId="892" priority="29">
      <formula>OR($AF89="No", $AG89="No")</formula>
    </cfRule>
    <cfRule type="expression" dxfId="891" priority="30">
      <formula>AND($AF89="Yes",$AG89="Yes")</formula>
    </cfRule>
  </conditionalFormatting>
  <conditionalFormatting sqref="X89">
    <cfRule type="expression" dxfId="890" priority="28">
      <formula>$A89&lt;&gt;""</formula>
    </cfRule>
  </conditionalFormatting>
  <conditionalFormatting sqref="W89">
    <cfRule type="expression" dxfId="889" priority="26">
      <formula>OR($AF89="No", $AG89="No")</formula>
    </cfRule>
    <cfRule type="expression" dxfId="888" priority="27">
      <formula>AND($AF89="Yes",$AG89="Yes")</formula>
    </cfRule>
  </conditionalFormatting>
  <conditionalFormatting sqref="W89">
    <cfRule type="expression" dxfId="887" priority="25">
      <formula>$A89&lt;&gt;""</formula>
    </cfRule>
  </conditionalFormatting>
  <conditionalFormatting sqref="V89">
    <cfRule type="expression" dxfId="886" priority="23">
      <formula>OR($AF89="No", $AG89="No")</formula>
    </cfRule>
    <cfRule type="expression" dxfId="885" priority="24">
      <formula>AND($AF89="Yes",$AG89="Yes")</formula>
    </cfRule>
  </conditionalFormatting>
  <conditionalFormatting sqref="V89">
    <cfRule type="expression" dxfId="884" priority="22">
      <formula>$A89&lt;&gt;""</formula>
    </cfRule>
  </conditionalFormatting>
  <conditionalFormatting sqref="U89">
    <cfRule type="expression" dxfId="883" priority="20">
      <formula>OR($AF89="No", $AG89="No")</formula>
    </cfRule>
    <cfRule type="expression" dxfId="882" priority="21">
      <formula>AND($AF89="Yes",$AG89="Yes")</formula>
    </cfRule>
  </conditionalFormatting>
  <conditionalFormatting sqref="U89">
    <cfRule type="expression" dxfId="881" priority="19">
      <formula>$A89&lt;&gt;""</formula>
    </cfRule>
  </conditionalFormatting>
  <conditionalFormatting sqref="T89">
    <cfRule type="expression" dxfId="880" priority="17">
      <formula>OR($AF89="No", $AG89="No")</formula>
    </cfRule>
    <cfRule type="expression" dxfId="879" priority="18">
      <formula>AND($AF89="Yes",$AG89="Yes")</formula>
    </cfRule>
  </conditionalFormatting>
  <conditionalFormatting sqref="T89">
    <cfRule type="expression" dxfId="878" priority="16">
      <formula>$A89&lt;&gt;""</formula>
    </cfRule>
  </conditionalFormatting>
  <conditionalFormatting sqref="H96">
    <cfRule type="expression" dxfId="877" priority="1475">
      <formula>OR($AF94="No", $AG94="No")</formula>
    </cfRule>
    <cfRule type="expression" dxfId="876" priority="1476">
      <formula>AND($AF94="Yes",$AG94="Yes")</formula>
    </cfRule>
  </conditionalFormatting>
  <conditionalFormatting sqref="H96">
    <cfRule type="expression" dxfId="875" priority="1478">
      <formula>$A94&lt;&gt;""</formula>
    </cfRule>
  </conditionalFormatting>
  <conditionalFormatting sqref="H96">
    <cfRule type="expression" dxfId="874" priority="14">
      <formula>OR($AF96="No", $AG96="No")</formula>
    </cfRule>
    <cfRule type="expression" dxfId="873" priority="15">
      <formula>AND($AF96="Yes",$AG96="Yes")</formula>
    </cfRule>
  </conditionalFormatting>
  <conditionalFormatting sqref="H96">
    <cfRule type="expression" dxfId="872" priority="13">
      <formula>$A96&lt;&gt;""</formula>
    </cfRule>
  </conditionalFormatting>
  <conditionalFormatting sqref="H95">
    <cfRule type="expression" dxfId="871" priority="11">
      <formula>OR($AF95="No", $AG95="No")</formula>
    </cfRule>
    <cfRule type="expression" dxfId="870" priority="12">
      <formula>AND($AF95="Yes",$AG95="Yes")</formula>
    </cfRule>
  </conditionalFormatting>
  <conditionalFormatting sqref="H95">
    <cfRule type="expression" dxfId="869" priority="10">
      <formula>$A95&lt;&gt;""</formula>
    </cfRule>
  </conditionalFormatting>
  <conditionalFormatting sqref="H99">
    <cfRule type="expression" dxfId="868" priority="8">
      <formula>OR($AF99="No", $AG99="No")</formula>
    </cfRule>
    <cfRule type="expression" dxfId="867" priority="9">
      <formula>AND($AF99="Yes",$AG99="Yes")</formula>
    </cfRule>
  </conditionalFormatting>
  <conditionalFormatting sqref="H99">
    <cfRule type="expression" dxfId="866" priority="7">
      <formula>$A99&lt;&gt;""</formula>
    </cfRule>
  </conditionalFormatting>
  <conditionalFormatting sqref="H98">
    <cfRule type="expression" dxfId="865" priority="4">
      <formula>OR($AF97="No", $AG97="No")</formula>
    </cfRule>
    <cfRule type="expression" dxfId="864" priority="5">
      <formula>AND($AF97="Yes",$AG97="Yes")</formula>
    </cfRule>
  </conditionalFormatting>
  <conditionalFormatting sqref="H98">
    <cfRule type="expression" dxfId="863" priority="6">
      <formula>$A97&lt;&gt;""</formula>
    </cfRule>
  </conditionalFormatting>
  <conditionalFormatting sqref="H97">
    <cfRule type="expression" dxfId="862" priority="2">
      <formula>OR($AF97="No", $AG97="No")</formula>
    </cfRule>
    <cfRule type="expression" dxfId="861" priority="3">
      <formula>AND($AF97="Yes",$AG97="Yes")</formula>
    </cfRule>
  </conditionalFormatting>
  <conditionalFormatting sqref="H97">
    <cfRule type="expression" dxfId="860" priority="1">
      <formula>$A97&lt;&gt;""</formula>
    </cfRule>
  </conditionalFormatting>
  <pageMargins left="0.75" right="0.75" top="1" bottom="1" header="0.5" footer="0.5"/>
  <pageSetup orientation="portrait" horizontalDpi="300" verticalDpi="300" r:id="rId1"/>
  <headerFooter alignWithMargins="0"/>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6823A9FC-93E3-4720-A36D-8A174E440EC7}">
          <x14:formula1>
            <xm:f>Filter!$F$3:$F$5</xm:f>
          </x14:formula1>
          <xm:sqref>AC2:AG71 AC74:AE74 AF73:AG74 AE73 AC76:AE87 AC90:AG1048576 AF76:AG89 AC89:AE89</xm:sqref>
        </x14:dataValidation>
        <x14:dataValidation type="list" allowBlank="1" showInputMessage="1" showErrorMessage="1" xr:uid="{45D6E8EF-EE0E-493C-86B2-F83F8DB76671}">
          <x14:formula1>
            <xm:f>Filter!$H$3:$H$7</xm:f>
          </x14:formula1>
          <xm:sqref>F2:F71 F74:F88 F90:F1048576</xm:sqref>
        </x14:dataValidation>
        <x14:dataValidation type="list" allowBlank="1" showInputMessage="1" showErrorMessage="1" xr:uid="{F375DB2A-7986-48BD-B319-1556B2E13B00}">
          <x14:formula1>
            <xm:f>Filter!$M$3:$M$9</xm:f>
          </x14:formula1>
          <xm:sqref>Q90:Q1048576 Q2:Q87</xm:sqref>
        </x14:dataValidation>
        <x14:dataValidation type="list" allowBlank="1" showInputMessage="1" showErrorMessage="1" xr:uid="{9D410D20-C880-41A3-8C78-6E2870926520}">
          <x14:formula1>
            <xm:f>Filter!$O$3:$O$9</xm:f>
          </x14:formula1>
          <xm:sqref>R2:R71 R74:R87 R90:R92 R94:R1048576</xm:sqref>
        </x14:dataValidation>
        <x14:dataValidation type="list" allowBlank="1" showInputMessage="1" showErrorMessage="1" xr:uid="{124925E7-1965-4107-BDFE-A72CD4E82394}">
          <x14:formula1>
            <xm:f>Filter!$J$3:$J$8</xm:f>
          </x14:formula1>
          <xm:sqref>G2:G71 G74:G75 G77:G1048576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4F09-49C9-4823-87AE-49AF1B0A365D}">
  <sheetPr codeName="Sheet43">
    <tabColor theme="0" tint="-0.34998626667073579"/>
  </sheetPr>
  <dimension ref="A1:L27"/>
  <sheetViews>
    <sheetView workbookViewId="0">
      <selection activeCell="D11" sqref="D11"/>
    </sheetView>
  </sheetViews>
  <sheetFormatPr defaultColWidth="8.7109375" defaultRowHeight="15.75"/>
  <cols>
    <col min="1" max="1" width="8.7109375" style="1"/>
    <col min="2" max="2" width="14.5703125" style="961" customWidth="1"/>
    <col min="3" max="3" width="13.42578125" style="961" customWidth="1"/>
    <col min="4" max="4" width="22" style="961" customWidth="1"/>
    <col min="5" max="5" width="20.42578125" style="961" customWidth="1"/>
    <col min="6" max="6" width="17.85546875" style="961" customWidth="1"/>
    <col min="7" max="7" width="16.7109375" style="961" customWidth="1"/>
    <col min="8" max="8" width="15.7109375" style="961" customWidth="1"/>
    <col min="9" max="9" width="15.28515625" style="961" customWidth="1"/>
    <col min="10" max="10" width="19.28515625" style="961" customWidth="1"/>
    <col min="11" max="11" width="19.7109375" style="961" customWidth="1"/>
    <col min="12" max="12" width="45.5703125" style="961" customWidth="1"/>
    <col min="13" max="16384" width="8.7109375" style="961"/>
  </cols>
  <sheetData>
    <row r="1" spans="1:12" ht="29.1" customHeight="1">
      <c r="A1" s="962" t="s">
        <v>0</v>
      </c>
      <c r="B1" s="963" t="s">
        <v>3190</v>
      </c>
      <c r="C1" s="963" t="s">
        <v>3013</v>
      </c>
      <c r="D1" s="963" t="s">
        <v>4436</v>
      </c>
      <c r="E1" s="963" t="s">
        <v>4110</v>
      </c>
      <c r="F1" s="963" t="s">
        <v>4437</v>
      </c>
      <c r="G1" s="963" t="s">
        <v>4438</v>
      </c>
      <c r="H1" s="963" t="s">
        <v>4106</v>
      </c>
      <c r="I1" s="963" t="s">
        <v>4107</v>
      </c>
      <c r="J1" s="960" t="s">
        <v>4108</v>
      </c>
      <c r="K1" s="960" t="s">
        <v>3191</v>
      </c>
      <c r="L1" s="960" t="s">
        <v>3192</v>
      </c>
    </row>
    <row r="2" spans="1:12">
      <c r="A2" s="455" t="str">
        <f>IF(B2&lt;&gt;"", COUNTA($B$2:B2), "")</f>
        <v/>
      </c>
      <c r="B2" s="964"/>
    </row>
    <row r="3" spans="1:12">
      <c r="A3" s="455" t="str">
        <f>IF(B3&lt;&gt;"", COUNTA($B$2:B3), "")</f>
        <v/>
      </c>
    </row>
    <row r="4" spans="1:12">
      <c r="A4" s="455" t="str">
        <f>IF(B4&lt;&gt;"", COUNTA($B$2:B4), "")</f>
        <v/>
      </c>
    </row>
    <row r="5" spans="1:12">
      <c r="A5" s="455" t="str">
        <f>IF(B5&lt;&gt;"", COUNTA($B$2:B5), "")</f>
        <v/>
      </c>
    </row>
    <row r="6" spans="1:12">
      <c r="A6" s="455" t="str">
        <f>IF(B6&lt;&gt;"", COUNTA($B$2:B6), "")</f>
        <v/>
      </c>
    </row>
    <row r="7" spans="1:12">
      <c r="A7" s="455" t="str">
        <f>IF(B7&lt;&gt;"", COUNTA($B$2:B7), "")</f>
        <v/>
      </c>
    </row>
    <row r="8" spans="1:12">
      <c r="A8" s="455" t="str">
        <f>IF(B8&lt;&gt;"", COUNTA($B$2:B8), "")</f>
        <v/>
      </c>
    </row>
    <row r="9" spans="1:12">
      <c r="A9" s="455" t="str">
        <f>IF(B9&lt;&gt;"", COUNTA($B$2:B9), "")</f>
        <v/>
      </c>
    </row>
    <row r="10" spans="1:12">
      <c r="A10" s="455" t="str">
        <f>IF(B10&lt;&gt;"", COUNTA($B$2:B10), "")</f>
        <v/>
      </c>
    </row>
    <row r="11" spans="1:12">
      <c r="A11" s="455" t="str">
        <f>IF(B11&lt;&gt;"", COUNTA($B$2:B11), "")</f>
        <v/>
      </c>
    </row>
    <row r="12" spans="1:12">
      <c r="A12" s="455" t="str">
        <f>IF(B12&lt;&gt;"", COUNTA($B$2:B12), "")</f>
        <v/>
      </c>
    </row>
    <row r="13" spans="1:12">
      <c r="A13" s="455" t="str">
        <f>IF(B13&lt;&gt;"", COUNTA($B$2:B13), "")</f>
        <v/>
      </c>
    </row>
    <row r="14" spans="1:12">
      <c r="A14" s="455" t="str">
        <f>IF(B14&lt;&gt;"", COUNTA($B$2:B14), "")</f>
        <v/>
      </c>
    </row>
    <row r="15" spans="1:12">
      <c r="A15" s="455" t="str">
        <f>IF(B15&lt;&gt;"", COUNTA($B$2:B15), "")</f>
        <v/>
      </c>
    </row>
    <row r="16" spans="1:12">
      <c r="A16" s="455" t="str">
        <f>IF(B16&lt;&gt;"", COUNTA($B$2:B16), "")</f>
        <v/>
      </c>
    </row>
    <row r="17" spans="1:1">
      <c r="A17" s="455" t="str">
        <f>IF(B17&lt;&gt;"", COUNTA($B$2:B17), "")</f>
        <v/>
      </c>
    </row>
    <row r="18" spans="1:1">
      <c r="A18" s="455" t="str">
        <f>IF(B18&lt;&gt;"", COUNTA($B$2:B18), "")</f>
        <v/>
      </c>
    </row>
    <row r="19" spans="1:1">
      <c r="A19" s="455" t="str">
        <f>IF(B19&lt;&gt;"", COUNTA($B$2:B19), "")</f>
        <v/>
      </c>
    </row>
    <row r="20" spans="1:1">
      <c r="A20" s="455" t="str">
        <f>IF(B20&lt;&gt;"", COUNTA($B$2:B20), "")</f>
        <v/>
      </c>
    </row>
    <row r="21" spans="1:1">
      <c r="A21" s="455" t="str">
        <f>IF(B21&lt;&gt;"", COUNTA($B$2:B21), "")</f>
        <v/>
      </c>
    </row>
    <row r="22" spans="1:1">
      <c r="A22" s="455" t="str">
        <f>IF(B22&lt;&gt;"", COUNTA($B$2:B22), "")</f>
        <v/>
      </c>
    </row>
    <row r="23" spans="1:1">
      <c r="A23" s="455" t="str">
        <f>IF(B23&lt;&gt;"", COUNTA($B$2:B23), "")</f>
        <v/>
      </c>
    </row>
    <row r="24" spans="1:1">
      <c r="A24" s="455" t="str">
        <f>IF(B24&lt;&gt;"", COUNTA($B$2:B24), "")</f>
        <v/>
      </c>
    </row>
    <row r="25" spans="1:1">
      <c r="A25" s="455" t="str">
        <f>IF(B25&lt;&gt;"", COUNTA($B$2:B25), "")</f>
        <v/>
      </c>
    </row>
    <row r="26" spans="1:1">
      <c r="A26" s="455" t="str">
        <f>IF(B26&lt;&gt;"", COUNTA($B$2:B26), "")</f>
        <v/>
      </c>
    </row>
    <row r="27" spans="1:1">
      <c r="A27" s="455" t="str">
        <f>IF(B27&lt;&gt;"", COUNTA($B$2:B27), "")</f>
        <v/>
      </c>
    </row>
  </sheetData>
  <sheetProtection selectLockedCells="1"/>
  <protectedRanges>
    <protectedRange sqref="B2:L38" name="Range1"/>
  </protectedRanges>
  <phoneticPr fontId="164" type="noConversion"/>
  <conditionalFormatting sqref="A3:A27">
    <cfRule type="expression" dxfId="859" priority="5">
      <formula>OR($AF3="No", $AG3="No")</formula>
    </cfRule>
    <cfRule type="expression" dxfId="858" priority="6">
      <formula>AND($AF3="Yes",$AG3="Yes")</formula>
    </cfRule>
  </conditionalFormatting>
  <conditionalFormatting sqref="A3:A27 H2:L2 B2:E2">
    <cfRule type="expression" dxfId="857" priority="4">
      <formula>$A2&lt;&gt;""</formula>
    </cfRule>
  </conditionalFormatting>
  <conditionalFormatting sqref="A2">
    <cfRule type="expression" dxfId="856" priority="2">
      <formula>OR($AF2="No", $AG2="No")</formula>
    </cfRule>
    <cfRule type="expression" dxfId="855" priority="3">
      <formula>AND($AF2="Yes",$AG2="Yes")</formula>
    </cfRule>
  </conditionalFormatting>
  <conditionalFormatting sqref="A2:L37">
    <cfRule type="expression" dxfId="854" priority="1">
      <formula>$A2&lt;&gt;""</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0549F-C809-4F0B-B939-78C479D2CEAE}">
  <sheetPr codeName="Sheet21" filterMode="1"/>
  <dimension ref="A1:V58"/>
  <sheetViews>
    <sheetView zoomScale="85" zoomScaleNormal="85" workbookViewId="0">
      <pane xSplit="8" ySplit="1" topLeftCell="I3" activePane="bottomRight" state="frozen"/>
      <selection pane="topRight" activeCell="G1" sqref="G1"/>
      <selection pane="bottomLeft" activeCell="A2" sqref="A2"/>
      <selection pane="bottomRight" activeCell="D27" sqref="D27:D28"/>
    </sheetView>
  </sheetViews>
  <sheetFormatPr defaultRowHeight="15.75" outlineLevelRow="1" outlineLevelCol="1"/>
  <cols>
    <col min="1" max="1" width="16.85546875" customWidth="1"/>
    <col min="2" max="2" width="19.85546875" customWidth="1"/>
    <col min="3" max="3" width="24.5703125" customWidth="1"/>
    <col min="4" max="4" width="14.85546875" customWidth="1" outlineLevel="1"/>
    <col min="5" max="5" width="17.85546875" customWidth="1" outlineLevel="1"/>
    <col min="6" max="6" width="16.140625" customWidth="1"/>
    <col min="7" max="7" width="17.140625" customWidth="1"/>
    <col min="8" max="8" width="9.7109375" customWidth="1"/>
    <col min="9" max="21" width="20.5703125" customWidth="1"/>
    <col min="22" max="22" width="36.5703125" customWidth="1"/>
  </cols>
  <sheetData>
    <row r="1" spans="1:22" s="33" customFormat="1" ht="36.6" customHeight="1">
      <c r="A1" s="37" t="s">
        <v>0</v>
      </c>
      <c r="B1" s="37" t="s">
        <v>3159</v>
      </c>
      <c r="C1" s="37"/>
      <c r="D1" s="37" t="s">
        <v>26</v>
      </c>
      <c r="E1" s="37" t="s">
        <v>986</v>
      </c>
      <c r="F1" s="37" t="s">
        <v>2437</v>
      </c>
      <c r="G1" s="37" t="s">
        <v>27</v>
      </c>
      <c r="H1" s="37" t="s">
        <v>2378</v>
      </c>
      <c r="I1" s="37" t="s">
        <v>4021</v>
      </c>
      <c r="J1" s="37" t="s">
        <v>4186</v>
      </c>
      <c r="K1" s="37" t="s">
        <v>2434</v>
      </c>
      <c r="L1" s="37" t="s">
        <v>4884</v>
      </c>
      <c r="M1" s="37" t="s">
        <v>4644</v>
      </c>
      <c r="N1" s="37" t="s">
        <v>4885</v>
      </c>
      <c r="O1" s="37" t="s">
        <v>4886</v>
      </c>
      <c r="P1" s="37" t="s">
        <v>4887</v>
      </c>
      <c r="Q1" s="37" t="s">
        <v>4184</v>
      </c>
      <c r="R1" s="37" t="s">
        <v>4185</v>
      </c>
      <c r="S1" s="37" t="s">
        <v>4650</v>
      </c>
      <c r="T1" s="37" t="s">
        <v>4193</v>
      </c>
      <c r="U1" s="37" t="s">
        <v>55</v>
      </c>
      <c r="V1" s="37" t="s">
        <v>1</v>
      </c>
    </row>
    <row r="2" spans="1:22" s="100" customFormat="1" ht="50.1" hidden="1" customHeight="1" outlineLevel="1" thickBot="1">
      <c r="A2" s="1142" t="s">
        <v>4191</v>
      </c>
      <c r="B2" s="1142"/>
      <c r="C2" s="1142"/>
      <c r="D2" s="1142"/>
      <c r="E2" s="1142"/>
      <c r="F2" s="1142"/>
      <c r="G2" s="1142"/>
      <c r="H2" s="1142"/>
      <c r="I2" s="892" t="s">
        <v>986</v>
      </c>
      <c r="J2" s="892" t="s">
        <v>4187</v>
      </c>
      <c r="K2" s="892" t="s">
        <v>4188</v>
      </c>
      <c r="L2" s="892" t="s">
        <v>4189</v>
      </c>
      <c r="M2" s="892" t="s">
        <v>4189</v>
      </c>
      <c r="N2" s="892" t="s">
        <v>4189</v>
      </c>
      <c r="O2" s="892" t="s">
        <v>4189</v>
      </c>
      <c r="P2" s="892" t="s">
        <v>4189</v>
      </c>
      <c r="Q2" s="892" t="s">
        <v>4189</v>
      </c>
      <c r="R2" s="892" t="s">
        <v>4187</v>
      </c>
      <c r="S2" s="892" t="s">
        <v>4187</v>
      </c>
      <c r="T2" s="892" t="s">
        <v>4187</v>
      </c>
      <c r="U2" s="892" t="s">
        <v>4190</v>
      </c>
      <c r="V2" s="892"/>
    </row>
    <row r="3" spans="1:22" s="100" customFormat="1" ht="75" customHeight="1" collapsed="1">
      <c r="A3" s="1139">
        <f>IF(B3&lt;&gt;"", COUNTA($B$2:B3), "")</f>
        <v>1</v>
      </c>
      <c r="B3" s="1140" t="s">
        <v>4904</v>
      </c>
      <c r="C3" s="1064" t="s">
        <v>4921</v>
      </c>
      <c r="D3" s="1140" t="s">
        <v>642</v>
      </c>
      <c r="E3" s="1140" t="s">
        <v>4177</v>
      </c>
      <c r="F3" s="1140" t="s">
        <v>4648</v>
      </c>
      <c r="G3" s="1136" t="str">
        <f t="shared" ref="G3" si="0">IF(H3=1,"Closed",IF(H3=0,"NA","Opening"))</f>
        <v>Opening</v>
      </c>
      <c r="H3" s="1137">
        <f>(COUNTIF(I3:U3,TRUE)+COUNTIF(I3:U3,"NA"))/COUNTA($I$1:$U$1)</f>
        <v>0.23076923076923078</v>
      </c>
      <c r="I3" s="980"/>
      <c r="J3" s="980"/>
      <c r="K3" s="980" t="b">
        <v>1</v>
      </c>
      <c r="L3" s="980" t="b">
        <v>0</v>
      </c>
      <c r="M3" s="980" t="s">
        <v>148</v>
      </c>
      <c r="N3" s="980" t="b">
        <v>1</v>
      </c>
      <c r="O3" s="980" t="b">
        <v>0</v>
      </c>
      <c r="P3" s="980" t="b">
        <v>0</v>
      </c>
      <c r="Q3" s="980" t="b">
        <v>0</v>
      </c>
      <c r="R3" s="980" t="b">
        <v>0</v>
      </c>
      <c r="S3" s="980" t="b">
        <v>0</v>
      </c>
      <c r="T3" s="980"/>
      <c r="U3" s="980"/>
      <c r="V3" s="1138"/>
    </row>
    <row r="4" spans="1:22" s="100" customFormat="1" ht="20.100000000000001" hidden="1" customHeight="1">
      <c r="A4" s="1139"/>
      <c r="B4" s="1140"/>
      <c r="C4" s="1062"/>
      <c r="D4" s="1140"/>
      <c r="E4" s="1140"/>
      <c r="F4" s="1140"/>
      <c r="G4" s="1136"/>
      <c r="H4" s="1137"/>
      <c r="I4" s="100" t="str">
        <f t="shared" ref="I4" si="1">IF(OR(H3=TRUE,H3="NA",I3="NA"),"██████████████","---")</f>
        <v>---</v>
      </c>
      <c r="J4" s="100" t="str">
        <f t="shared" ref="J4:Q4" si="2">IF(OR(I3=TRUE,I3="NA",J3="NA"),"██████████████","---")</f>
        <v>---</v>
      </c>
      <c r="K4" s="100" t="str">
        <f t="shared" si="2"/>
        <v>---</v>
      </c>
      <c r="L4" s="100" t="str">
        <f t="shared" si="2"/>
        <v>██████████████</v>
      </c>
      <c r="M4" s="100" t="str">
        <f t="shared" si="2"/>
        <v>██████████████</v>
      </c>
      <c r="N4" s="100" t="str">
        <f t="shared" si="2"/>
        <v>██████████████</v>
      </c>
      <c r="O4" s="100" t="str">
        <f t="shared" si="2"/>
        <v>██████████████</v>
      </c>
      <c r="P4" s="100" t="str">
        <f t="shared" si="2"/>
        <v>---</v>
      </c>
      <c r="Q4" s="100" t="str">
        <f t="shared" si="2"/>
        <v>---</v>
      </c>
      <c r="R4" s="100" t="str">
        <f t="shared" ref="R4" si="3">IF(OR(Q3=TRUE,Q3="NA",R3="NA"),"██████████████","---")</f>
        <v>---</v>
      </c>
      <c r="S4" s="100" t="str">
        <f t="shared" ref="S4" si="4">IF(OR(R3=TRUE,R3="NA",S3="NA"),"██████████████","---")</f>
        <v>---</v>
      </c>
      <c r="T4" s="100" t="str">
        <f t="shared" ref="T4" si="5">IF(OR(S3=TRUE,S3="NA",T3="NA"),"██████████████","---")</f>
        <v>---</v>
      </c>
      <c r="U4" s="100" t="str">
        <f t="shared" ref="U4" si="6">IF(OR(T3=TRUE,T3="NA",U3="NA"),"██████████████","---")</f>
        <v>---</v>
      </c>
      <c r="V4" s="1138"/>
    </row>
    <row r="5" spans="1:22" s="100" customFormat="1" ht="30" hidden="1" customHeight="1">
      <c r="A5" s="1139">
        <f>IF(B5&lt;&gt;"", COUNTA($B$2:B5), "")</f>
        <v>2</v>
      </c>
      <c r="B5" s="1140" t="s">
        <v>4901</v>
      </c>
      <c r="C5" s="1062"/>
      <c r="D5" s="1140" t="s">
        <v>642</v>
      </c>
      <c r="E5" s="1140" t="s">
        <v>4177</v>
      </c>
      <c r="F5" s="1140" t="s">
        <v>4649</v>
      </c>
      <c r="G5" s="1136" t="str">
        <f t="shared" ref="G5" si="7">IF(H5=1,"Closed",IF(H5=0,"NA","Opening"))</f>
        <v>Opening</v>
      </c>
      <c r="H5" s="1137">
        <f>(COUNTIF(I5:U5,TRUE)+COUNTIF(I5:U5,"NA"))/COUNTA($I$1:$U$1)</f>
        <v>7.6923076923076927E-2</v>
      </c>
      <c r="I5" s="980"/>
      <c r="J5" s="980"/>
      <c r="K5" s="980" t="b">
        <v>1</v>
      </c>
      <c r="L5" s="980" t="b">
        <v>0</v>
      </c>
      <c r="M5" s="980" t="b">
        <v>0</v>
      </c>
      <c r="N5" s="980" t="b">
        <v>0</v>
      </c>
      <c r="O5" s="980" t="b">
        <v>0</v>
      </c>
      <c r="P5" s="980" t="b">
        <v>0</v>
      </c>
      <c r="Q5" s="980" t="b">
        <v>0</v>
      </c>
      <c r="R5" s="980"/>
      <c r="S5" s="980" t="b">
        <v>0</v>
      </c>
      <c r="T5" s="980"/>
      <c r="U5" s="980"/>
      <c r="V5" s="1138"/>
    </row>
    <row r="6" spans="1:22" s="100" customFormat="1" ht="20.100000000000001" hidden="1" customHeight="1">
      <c r="A6" s="1139"/>
      <c r="B6" s="1140"/>
      <c r="C6" s="1062"/>
      <c r="D6" s="1140"/>
      <c r="E6" s="1140"/>
      <c r="F6" s="1140"/>
      <c r="G6" s="1136"/>
      <c r="H6" s="1137"/>
      <c r="I6" s="100" t="str">
        <f t="shared" ref="I6" si="8">IF(OR(H5=TRUE,H5="NA",I5="NA"),"██████████████","---")</f>
        <v>---</v>
      </c>
      <c r="J6" s="100" t="str">
        <f t="shared" ref="J6:Q6" si="9">IF(OR(I5=TRUE,I5="NA",J5="NA"),"██████████████","---")</f>
        <v>---</v>
      </c>
      <c r="K6" s="100" t="str">
        <f t="shared" si="9"/>
        <v>---</v>
      </c>
      <c r="L6" s="100" t="str">
        <f t="shared" si="9"/>
        <v>██████████████</v>
      </c>
      <c r="M6" s="100" t="str">
        <f t="shared" si="9"/>
        <v>---</v>
      </c>
      <c r="N6" s="100" t="str">
        <f t="shared" si="9"/>
        <v>---</v>
      </c>
      <c r="O6" s="100" t="str">
        <f t="shared" si="9"/>
        <v>---</v>
      </c>
      <c r="P6" s="100" t="str">
        <f t="shared" si="9"/>
        <v>---</v>
      </c>
      <c r="Q6" s="100" t="str">
        <f t="shared" si="9"/>
        <v>---</v>
      </c>
      <c r="R6" s="100" t="str">
        <f t="shared" ref="R6" si="10">IF(OR(Q5=TRUE,Q5="NA",R5="NA"),"██████████████","---")</f>
        <v>---</v>
      </c>
      <c r="S6" s="100" t="str">
        <f t="shared" ref="S6" si="11">IF(OR(R5=TRUE,R5="NA",S5="NA"),"██████████████","---")</f>
        <v>---</v>
      </c>
      <c r="T6" s="100" t="str">
        <f t="shared" ref="T6" si="12">IF(OR(S5=TRUE,S5="NA",T5="NA"),"██████████████","---")</f>
        <v>---</v>
      </c>
      <c r="U6" s="100" t="str">
        <f t="shared" ref="U6" si="13">IF(OR(T5=TRUE,T5="NA",U5="NA"),"██████████████","---")</f>
        <v>---</v>
      </c>
      <c r="V6" s="1138"/>
    </row>
    <row r="7" spans="1:22" s="100" customFormat="1" ht="30" hidden="1" customHeight="1">
      <c r="A7" s="1139">
        <f>IF(B7&lt;&gt;"", COUNTA($B$2:B7), "")</f>
        <v>3</v>
      </c>
      <c r="B7" s="1140" t="s">
        <v>4890</v>
      </c>
      <c r="C7" s="1062"/>
      <c r="D7" s="1140" t="s">
        <v>642</v>
      </c>
      <c r="E7" s="1140" t="s">
        <v>4177</v>
      </c>
      <c r="F7" s="1140" t="s">
        <v>4649</v>
      </c>
      <c r="G7" s="1136" t="str">
        <f t="shared" ref="G7" si="14">IF(H7=1,"Closed",IF(H7=0,"NA","Opening"))</f>
        <v>Opening</v>
      </c>
      <c r="H7" s="1137">
        <f t="shared" ref="H7" si="15">(COUNTIF(I7:U7,TRUE)+COUNTIF(I7:U7,"NA"))/COUNTA($I$1:$U$1)</f>
        <v>7.6923076923076927E-2</v>
      </c>
      <c r="I7" s="980"/>
      <c r="J7" s="980"/>
      <c r="K7" s="980" t="b">
        <v>1</v>
      </c>
      <c r="L7" s="980" t="b">
        <v>0</v>
      </c>
      <c r="M7" s="980" t="b">
        <v>0</v>
      </c>
      <c r="N7" s="980" t="b">
        <v>0</v>
      </c>
      <c r="O7" s="980" t="b">
        <v>0</v>
      </c>
      <c r="P7" s="980" t="b">
        <v>0</v>
      </c>
      <c r="Q7" s="980" t="b">
        <v>0</v>
      </c>
      <c r="R7" s="980" t="b">
        <v>0</v>
      </c>
      <c r="S7" s="980" t="b">
        <v>0</v>
      </c>
      <c r="T7" s="980"/>
      <c r="U7" s="980"/>
      <c r="V7" s="1138"/>
    </row>
    <row r="8" spans="1:22" s="100" customFormat="1" ht="20.100000000000001" hidden="1" customHeight="1">
      <c r="A8" s="1139"/>
      <c r="B8" s="1140"/>
      <c r="C8" s="1062"/>
      <c r="D8" s="1140"/>
      <c r="E8" s="1140"/>
      <c r="F8" s="1140"/>
      <c r="G8" s="1136"/>
      <c r="H8" s="1137"/>
      <c r="I8" s="100" t="str">
        <f t="shared" ref="I8" si="16">IF(OR(H7=TRUE,H7="NA",I7="NA"),"██████████████","---")</f>
        <v>---</v>
      </c>
      <c r="J8" s="100" t="str">
        <f t="shared" ref="J8:Q8" si="17">IF(OR(I7=TRUE,I7="NA",J7="NA"),"██████████████","---")</f>
        <v>---</v>
      </c>
      <c r="K8" s="100" t="str">
        <f t="shared" si="17"/>
        <v>---</v>
      </c>
      <c r="L8" s="100" t="str">
        <f t="shared" si="17"/>
        <v>██████████████</v>
      </c>
      <c r="M8" s="100" t="str">
        <f t="shared" si="17"/>
        <v>---</v>
      </c>
      <c r="N8" s="100" t="str">
        <f t="shared" si="17"/>
        <v>---</v>
      </c>
      <c r="O8" s="100" t="str">
        <f t="shared" si="17"/>
        <v>---</v>
      </c>
      <c r="P8" s="100" t="str">
        <f t="shared" si="17"/>
        <v>---</v>
      </c>
      <c r="Q8" s="100" t="str">
        <f t="shared" si="17"/>
        <v>---</v>
      </c>
      <c r="R8" s="100" t="str">
        <f t="shared" ref="R8" si="18">IF(OR(Q7=TRUE,Q7="NA",R7="NA"),"██████████████","---")</f>
        <v>---</v>
      </c>
      <c r="S8" s="100" t="str">
        <f t="shared" ref="S8" si="19">IF(OR(R7=TRUE,R7="NA",S7="NA"),"██████████████","---")</f>
        <v>---</v>
      </c>
      <c r="T8" s="100" t="str">
        <f t="shared" ref="T8" si="20">IF(OR(S7=TRUE,S7="NA",T7="NA"),"██████████████","---")</f>
        <v>---</v>
      </c>
      <c r="U8" s="100" t="str">
        <f t="shared" ref="U8" si="21">IF(OR(T7=TRUE,T7="NA",U7="NA"),"██████████████","---")</f>
        <v>---</v>
      </c>
      <c r="V8" s="1138"/>
    </row>
    <row r="9" spans="1:22" s="100" customFormat="1" ht="30" hidden="1" customHeight="1">
      <c r="A9" s="1139">
        <f>IF(B9&lt;&gt;"", COUNTA($B$2:B9), "")</f>
        <v>4</v>
      </c>
      <c r="B9" s="1140" t="s">
        <v>4902</v>
      </c>
      <c r="C9" s="1062"/>
      <c r="D9" s="1140" t="s">
        <v>642</v>
      </c>
      <c r="E9" s="1140" t="s">
        <v>4177</v>
      </c>
      <c r="F9" s="1140" t="s">
        <v>4648</v>
      </c>
      <c r="G9" s="1136" t="str">
        <f>IF(H9=1,"Closed",IF(H9=0,"NA","Opening"))</f>
        <v>Opening</v>
      </c>
      <c r="H9" s="1137">
        <f t="shared" ref="H9" si="22">(COUNTIF(I9:U9,TRUE)+COUNTIF(I9:U9,"NA"))/COUNTA($I$1:$U$1)</f>
        <v>7.6923076923076927E-2</v>
      </c>
      <c r="I9" s="980" t="b">
        <v>0</v>
      </c>
      <c r="J9" s="980" t="b">
        <v>0</v>
      </c>
      <c r="K9" s="980" t="b">
        <v>1</v>
      </c>
      <c r="L9" s="980" t="b">
        <v>0</v>
      </c>
      <c r="M9" s="980" t="b">
        <v>0</v>
      </c>
      <c r="N9" s="980" t="b">
        <v>0</v>
      </c>
      <c r="O9" s="980" t="b">
        <v>0</v>
      </c>
      <c r="P9" s="980" t="b">
        <v>0</v>
      </c>
      <c r="Q9" s="980" t="b">
        <v>0</v>
      </c>
      <c r="R9" s="980" t="b">
        <v>0</v>
      </c>
      <c r="S9" s="980" t="b">
        <v>0</v>
      </c>
      <c r="T9" s="980" t="b">
        <v>0</v>
      </c>
      <c r="U9" s="980" t="b">
        <v>0</v>
      </c>
      <c r="V9" s="1138"/>
    </row>
    <row r="10" spans="1:22" s="100" customFormat="1" ht="20.100000000000001" hidden="1" customHeight="1">
      <c r="A10" s="1139"/>
      <c r="B10" s="1140"/>
      <c r="C10" s="1062"/>
      <c r="D10" s="1140"/>
      <c r="E10" s="1140"/>
      <c r="F10" s="1140"/>
      <c r="G10" s="1136"/>
      <c r="H10" s="1137"/>
      <c r="I10" s="100" t="str">
        <f t="shared" ref="I10" si="23">IF(OR(H9=TRUE,H9="NA",I9="NA"),"██████████████","---")</f>
        <v>---</v>
      </c>
      <c r="J10" s="100" t="str">
        <f t="shared" ref="J10:Q10" si="24">IF(OR(I9=TRUE,I9="NA",J9="NA"),"██████████████","---")</f>
        <v>---</v>
      </c>
      <c r="K10" s="100" t="str">
        <f t="shared" si="24"/>
        <v>---</v>
      </c>
      <c r="L10" s="100" t="str">
        <f t="shared" si="24"/>
        <v>██████████████</v>
      </c>
      <c r="M10" s="100" t="str">
        <f t="shared" si="24"/>
        <v>---</v>
      </c>
      <c r="N10" s="100" t="str">
        <f t="shared" si="24"/>
        <v>---</v>
      </c>
      <c r="O10" s="100" t="str">
        <f t="shared" si="24"/>
        <v>---</v>
      </c>
      <c r="P10" s="100" t="str">
        <f t="shared" si="24"/>
        <v>---</v>
      </c>
      <c r="Q10" s="100" t="str">
        <f t="shared" si="24"/>
        <v>---</v>
      </c>
      <c r="R10" s="100" t="str">
        <f t="shared" ref="R10" si="25">IF(OR(Q9=TRUE,Q9="NA",R9="NA"),"██████████████","---")</f>
        <v>---</v>
      </c>
      <c r="S10" s="100" t="str">
        <f t="shared" ref="S10" si="26">IF(OR(R9=TRUE,R9="NA",S9="NA"),"██████████████","---")</f>
        <v>---</v>
      </c>
      <c r="T10" s="100" t="str">
        <f t="shared" ref="T10" si="27">IF(OR(S9=TRUE,S9="NA",T9="NA"),"██████████████","---")</f>
        <v>---</v>
      </c>
      <c r="U10" s="100" t="str">
        <f t="shared" ref="U10" si="28">IF(OR(T9=TRUE,T9="NA",U9="NA"),"██████████████","---")</f>
        <v>---</v>
      </c>
      <c r="V10" s="1138"/>
    </row>
    <row r="11" spans="1:22" s="33" customFormat="1" ht="30" hidden="1" customHeight="1">
      <c r="A11" s="1139">
        <f>IF(B11&lt;&gt;"", COUNTA($B$2:B11), "")</f>
        <v>5</v>
      </c>
      <c r="B11" s="1140" t="s">
        <v>4914</v>
      </c>
      <c r="C11" s="1062"/>
      <c r="D11" s="1140" t="s">
        <v>642</v>
      </c>
      <c r="E11" s="1140" t="s">
        <v>4177</v>
      </c>
      <c r="F11" s="1140" t="s">
        <v>4649</v>
      </c>
      <c r="G11" s="1136" t="str">
        <f>IF(H11=1,"Closed",IF(H11=0,"NA","Opening"))</f>
        <v>Opening</v>
      </c>
      <c r="H11" s="1137">
        <f t="shared" ref="H11" si="29">(COUNTIF(I11:U11,TRUE)+COUNTIF(I11:U11,"NA"))/COUNTA($I$1:$U$1)</f>
        <v>7.6923076923076927E-2</v>
      </c>
      <c r="I11" s="980" t="b">
        <v>0</v>
      </c>
      <c r="J11" s="980"/>
      <c r="K11" s="980" t="b">
        <v>1</v>
      </c>
      <c r="L11" s="980" t="b">
        <v>0</v>
      </c>
      <c r="M11" s="980" t="b">
        <v>0</v>
      </c>
      <c r="N11" s="980" t="b">
        <v>0</v>
      </c>
      <c r="O11" s="980" t="b">
        <v>0</v>
      </c>
      <c r="P11" s="980" t="b">
        <v>0</v>
      </c>
      <c r="Q11" s="980" t="b">
        <v>0</v>
      </c>
      <c r="R11" s="980" t="b">
        <v>0</v>
      </c>
      <c r="S11" s="980" t="b">
        <v>0</v>
      </c>
      <c r="T11" s="980"/>
      <c r="U11" s="980" t="b">
        <v>0</v>
      </c>
      <c r="V11" s="1138"/>
    </row>
    <row r="12" spans="1:22" s="33" customFormat="1" ht="20.100000000000001" hidden="1" customHeight="1">
      <c r="A12" s="1139"/>
      <c r="B12" s="1140"/>
      <c r="C12" s="1062"/>
      <c r="D12" s="1140"/>
      <c r="E12" s="1140"/>
      <c r="F12" s="1140"/>
      <c r="G12" s="1136"/>
      <c r="H12" s="1137"/>
      <c r="I12" s="100" t="str">
        <f t="shared" ref="I12" si="30">IF(OR(H11=TRUE,H11="NA",I11="NA"),"██████████████","---")</f>
        <v>---</v>
      </c>
      <c r="J12" s="100" t="str">
        <f t="shared" ref="J12:Q12" si="31">IF(OR(I11=TRUE,I11="NA",J11="NA"),"██████████████","---")</f>
        <v>---</v>
      </c>
      <c r="K12" s="100" t="str">
        <f t="shared" si="31"/>
        <v>---</v>
      </c>
      <c r="L12" s="100" t="str">
        <f t="shared" si="31"/>
        <v>██████████████</v>
      </c>
      <c r="M12" s="100" t="str">
        <f t="shared" si="31"/>
        <v>---</v>
      </c>
      <c r="N12" s="100" t="str">
        <f t="shared" si="31"/>
        <v>---</v>
      </c>
      <c r="O12" s="100" t="str">
        <f t="shared" si="31"/>
        <v>---</v>
      </c>
      <c r="P12" s="100" t="str">
        <f t="shared" si="31"/>
        <v>---</v>
      </c>
      <c r="Q12" s="100" t="str">
        <f t="shared" si="31"/>
        <v>---</v>
      </c>
      <c r="R12" s="100" t="str">
        <f t="shared" ref="R12" si="32">IF(OR(Q11=TRUE,Q11="NA",R11="NA"),"██████████████","---")</f>
        <v>---</v>
      </c>
      <c r="S12" s="100" t="str">
        <f t="shared" ref="S12" si="33">IF(OR(R11=TRUE,R11="NA",S11="NA"),"██████████████","---")</f>
        <v>---</v>
      </c>
      <c r="T12" s="100" t="str">
        <f t="shared" ref="T12" si="34">IF(OR(S11=TRUE,S11="NA",T11="NA"),"██████████████","---")</f>
        <v>---</v>
      </c>
      <c r="U12" s="100" t="str">
        <f t="shared" ref="U12" si="35">IF(OR(T11=TRUE,T11="NA",U11="NA"),"██████████████","---")</f>
        <v>---</v>
      </c>
      <c r="V12" s="1138"/>
    </row>
    <row r="13" spans="1:22" s="33" customFormat="1" ht="30" hidden="1" customHeight="1">
      <c r="A13" s="1139">
        <f>IF(B13&lt;&gt;"", COUNTA($B$2:B13), "")</f>
        <v>6</v>
      </c>
      <c r="B13" s="1140" t="s">
        <v>4903</v>
      </c>
      <c r="C13" s="1062"/>
      <c r="D13" s="1140" t="s">
        <v>642</v>
      </c>
      <c r="E13" s="1140" t="s">
        <v>4177</v>
      </c>
      <c r="F13" s="1140" t="s">
        <v>4649</v>
      </c>
      <c r="G13" s="1136" t="str">
        <f>IF(H13=1,"Closed",IF(H13=0,"NA","Opening"))</f>
        <v>Opening</v>
      </c>
      <c r="H13" s="1137">
        <f>(COUNTIF(I13:U13,TRUE)+COUNTIF(I13:U13,"NA"))/COUNTA($I$1:$U$1)</f>
        <v>7.6923076923076927E-2</v>
      </c>
      <c r="I13" s="980" t="b">
        <v>0</v>
      </c>
      <c r="J13" s="980"/>
      <c r="K13" s="980" t="b">
        <v>1</v>
      </c>
      <c r="L13" s="980" t="b">
        <v>0</v>
      </c>
      <c r="M13" s="980"/>
      <c r="N13" s="980" t="b">
        <v>0</v>
      </c>
      <c r="O13" s="980" t="b">
        <v>0</v>
      </c>
      <c r="P13" s="980" t="b">
        <v>0</v>
      </c>
      <c r="Q13" s="980"/>
      <c r="R13" s="980"/>
      <c r="S13" s="980" t="b">
        <v>0</v>
      </c>
      <c r="T13" s="980"/>
      <c r="U13" s="980" t="b">
        <v>0</v>
      </c>
      <c r="V13" s="1138"/>
    </row>
    <row r="14" spans="1:22" s="33" customFormat="1" ht="20.100000000000001" hidden="1" customHeight="1">
      <c r="A14" s="1139"/>
      <c r="B14" s="1140"/>
      <c r="C14" s="1062"/>
      <c r="D14" s="1140"/>
      <c r="E14" s="1140"/>
      <c r="F14" s="1140"/>
      <c r="G14" s="1136"/>
      <c r="H14" s="1137"/>
      <c r="I14" s="100" t="str">
        <f t="shared" ref="I14" si="36">IF(OR(H13=TRUE,H13="NA",I13="NA"),"██████████████","---")</f>
        <v>---</v>
      </c>
      <c r="J14" s="100" t="str">
        <f t="shared" ref="J14:Q14" si="37">IF(OR(I13=TRUE,I13="NA",J13="NA"),"██████████████","---")</f>
        <v>---</v>
      </c>
      <c r="K14" s="100" t="str">
        <f t="shared" si="37"/>
        <v>---</v>
      </c>
      <c r="L14" s="100" t="str">
        <f t="shared" si="37"/>
        <v>██████████████</v>
      </c>
      <c r="M14" s="100" t="str">
        <f t="shared" si="37"/>
        <v>---</v>
      </c>
      <c r="N14" s="100" t="str">
        <f t="shared" si="37"/>
        <v>---</v>
      </c>
      <c r="O14" s="100" t="str">
        <f t="shared" si="37"/>
        <v>---</v>
      </c>
      <c r="P14" s="100" t="str">
        <f t="shared" si="37"/>
        <v>---</v>
      </c>
      <c r="Q14" s="100" t="str">
        <f t="shared" si="37"/>
        <v>---</v>
      </c>
      <c r="R14" s="100" t="str">
        <f t="shared" ref="R14" si="38">IF(OR(Q13=TRUE,Q13="NA",R13="NA"),"██████████████","---")</f>
        <v>---</v>
      </c>
      <c r="S14" s="100" t="str">
        <f t="shared" ref="S14" si="39">IF(OR(R13=TRUE,R13="NA",S13="NA"),"██████████████","---")</f>
        <v>---</v>
      </c>
      <c r="T14" s="100" t="str">
        <f t="shared" ref="T14" si="40">IF(OR(S13=TRUE,S13="NA",T13="NA"),"██████████████","---")</f>
        <v>---</v>
      </c>
      <c r="U14" s="100" t="str">
        <f t="shared" ref="U14" si="41">IF(OR(T13=TRUE,T13="NA",U13="NA"),"██████████████","---")</f>
        <v>---</v>
      </c>
      <c r="V14" s="1138"/>
    </row>
    <row r="15" spans="1:22" s="33" customFormat="1" ht="30" hidden="1" customHeight="1">
      <c r="A15" s="1139">
        <f>IF(B15&lt;&gt;"", COUNTA($B$2:B15), "")</f>
        <v>7</v>
      </c>
      <c r="B15" s="1140" t="s">
        <v>4889</v>
      </c>
      <c r="C15" s="1062"/>
      <c r="D15" s="1140" t="s">
        <v>642</v>
      </c>
      <c r="E15" s="1140" t="s">
        <v>4177</v>
      </c>
      <c r="F15" s="1140" t="s">
        <v>4649</v>
      </c>
      <c r="G15" s="1136" t="str">
        <f t="shared" ref="G15" si="42">IF(H15=1,"Closed",IF(H15=0,"NA","Opening"))</f>
        <v>Opening</v>
      </c>
      <c r="H15" s="1137">
        <f>(COUNTIF(I15:U15,TRUE)+COUNTIF(I15:U15,"NA"))/COUNTA($I$1:$U$1)</f>
        <v>7.6923076923076927E-2</v>
      </c>
      <c r="I15" s="980"/>
      <c r="J15" s="980" t="b">
        <v>0</v>
      </c>
      <c r="K15" s="980" t="b">
        <v>1</v>
      </c>
      <c r="L15" s="980" t="b">
        <v>0</v>
      </c>
      <c r="M15" s="980"/>
      <c r="N15" s="980" t="b">
        <v>0</v>
      </c>
      <c r="O15" s="980" t="b">
        <v>0</v>
      </c>
      <c r="P15" s="980" t="b">
        <v>0</v>
      </c>
      <c r="Q15" s="980"/>
      <c r="R15" s="980"/>
      <c r="S15" s="980" t="b">
        <v>0</v>
      </c>
      <c r="T15" s="980"/>
      <c r="U15" s="980"/>
      <c r="V15" s="1138"/>
    </row>
    <row r="16" spans="1:22" s="33" customFormat="1" ht="20.100000000000001" hidden="1" customHeight="1">
      <c r="A16" s="1139"/>
      <c r="B16" s="1140"/>
      <c r="C16" s="1062"/>
      <c r="D16" s="1140"/>
      <c r="E16" s="1140"/>
      <c r="F16" s="1140"/>
      <c r="G16" s="1136"/>
      <c r="H16" s="1137"/>
      <c r="I16" s="100" t="str">
        <f t="shared" ref="I16" si="43">IF(OR(H15=TRUE,H15="NA",I15="NA"),"██████████████","---")</f>
        <v>---</v>
      </c>
      <c r="J16" s="100" t="str">
        <f t="shared" ref="J16:Q16" si="44">IF(OR(I15=TRUE,I15="NA",J15="NA"),"██████████████","---")</f>
        <v>---</v>
      </c>
      <c r="K16" s="100" t="str">
        <f t="shared" si="44"/>
        <v>---</v>
      </c>
      <c r="L16" s="100" t="str">
        <f t="shared" si="44"/>
        <v>██████████████</v>
      </c>
      <c r="M16" s="100" t="str">
        <f t="shared" si="44"/>
        <v>---</v>
      </c>
      <c r="N16" s="100" t="str">
        <f t="shared" si="44"/>
        <v>---</v>
      </c>
      <c r="O16" s="100" t="str">
        <f t="shared" si="44"/>
        <v>---</v>
      </c>
      <c r="P16" s="100" t="str">
        <f t="shared" si="44"/>
        <v>---</v>
      </c>
      <c r="Q16" s="100" t="str">
        <f t="shared" si="44"/>
        <v>---</v>
      </c>
      <c r="R16" s="100" t="str">
        <f t="shared" ref="R16" si="45">IF(OR(Q15=TRUE,Q15="NA",R15="NA"),"██████████████","---")</f>
        <v>---</v>
      </c>
      <c r="S16" s="100" t="str">
        <f t="shared" ref="S16" si="46">IF(OR(R15=TRUE,R15="NA",S15="NA"),"██████████████","---")</f>
        <v>---</v>
      </c>
      <c r="T16" s="100" t="str">
        <f t="shared" ref="T16" si="47">IF(OR(S15=TRUE,S15="NA",T15="NA"),"██████████████","---")</f>
        <v>---</v>
      </c>
      <c r="U16" s="100" t="str">
        <f t="shared" ref="U16" si="48">IF(OR(T15=TRUE,T15="NA",U15="NA"),"██████████████","---")</f>
        <v>---</v>
      </c>
      <c r="V16" s="1138"/>
    </row>
    <row r="17" spans="1:22" s="33" customFormat="1" ht="30" hidden="1" customHeight="1">
      <c r="A17" s="1139">
        <f>IF(B17&lt;&gt;"", COUNTA($B$2:B17), "")</f>
        <v>8</v>
      </c>
      <c r="B17" s="1140" t="s">
        <v>4891</v>
      </c>
      <c r="C17" s="1062"/>
      <c r="D17" s="1140" t="s">
        <v>642</v>
      </c>
      <c r="E17" s="1140" t="s">
        <v>4177</v>
      </c>
      <c r="F17" s="1140" t="s">
        <v>4649</v>
      </c>
      <c r="G17" s="1136" t="str">
        <f t="shared" ref="G17" si="49">IF(H17=1,"Closed",IF(H17=0,"NA","Opening"))</f>
        <v>Opening</v>
      </c>
      <c r="H17" s="1137">
        <f>(COUNTIF(I17:U17,TRUE)+COUNTIF(I17:U17,"NA"))/COUNTA($I$1:$U$1)</f>
        <v>7.6923076923076927E-2</v>
      </c>
      <c r="I17" s="980"/>
      <c r="J17" s="980"/>
      <c r="K17" s="980" t="b">
        <v>1</v>
      </c>
      <c r="L17" s="980" t="b">
        <v>0</v>
      </c>
      <c r="M17" s="980"/>
      <c r="N17" s="980" t="b">
        <v>0</v>
      </c>
      <c r="O17" s="980" t="b">
        <v>0</v>
      </c>
      <c r="P17" s="980" t="b">
        <v>0</v>
      </c>
      <c r="Q17" s="980"/>
      <c r="R17" s="980"/>
      <c r="S17" s="980" t="b">
        <v>0</v>
      </c>
      <c r="T17" s="980" t="b">
        <v>0</v>
      </c>
      <c r="U17" s="980"/>
      <c r="V17" s="1138"/>
    </row>
    <row r="18" spans="1:22" s="33" customFormat="1" ht="20.100000000000001" hidden="1" customHeight="1">
      <c r="A18" s="1139"/>
      <c r="B18" s="1140"/>
      <c r="C18" s="1062"/>
      <c r="D18" s="1140"/>
      <c r="E18" s="1140"/>
      <c r="F18" s="1140"/>
      <c r="G18" s="1136"/>
      <c r="H18" s="1137"/>
      <c r="I18" s="100" t="str">
        <f t="shared" ref="I18" si="50">IF(OR(H17=TRUE,H17="NA",I17="NA"),"██████████████","---")</f>
        <v>---</v>
      </c>
      <c r="J18" s="100" t="str">
        <f t="shared" ref="J18:Q18" si="51">IF(OR(I17=TRUE,I17="NA",J17="NA"),"██████████████","---")</f>
        <v>---</v>
      </c>
      <c r="K18" s="100" t="str">
        <f t="shared" si="51"/>
        <v>---</v>
      </c>
      <c r="L18" s="100" t="str">
        <f t="shared" si="51"/>
        <v>██████████████</v>
      </c>
      <c r="M18" s="100" t="str">
        <f t="shared" si="51"/>
        <v>---</v>
      </c>
      <c r="N18" s="100" t="str">
        <f t="shared" si="51"/>
        <v>---</v>
      </c>
      <c r="O18" s="100" t="str">
        <f t="shared" si="51"/>
        <v>---</v>
      </c>
      <c r="P18" s="100" t="str">
        <f t="shared" si="51"/>
        <v>---</v>
      </c>
      <c r="Q18" s="100" t="str">
        <f t="shared" si="51"/>
        <v>---</v>
      </c>
      <c r="R18" s="100" t="str">
        <f t="shared" ref="R18" si="52">IF(OR(Q17=TRUE,Q17="NA",R17="NA"),"██████████████","---")</f>
        <v>---</v>
      </c>
      <c r="S18" s="100" t="str">
        <f t="shared" ref="S18" si="53">IF(OR(R17=TRUE,R17="NA",S17="NA"),"██████████████","---")</f>
        <v>---</v>
      </c>
      <c r="T18" s="100" t="str">
        <f t="shared" ref="T18" si="54">IF(OR(S17=TRUE,S17="NA",T17="NA"),"██████████████","---")</f>
        <v>---</v>
      </c>
      <c r="U18" s="100" t="str">
        <f t="shared" ref="U18" si="55">IF(OR(T17=TRUE,T17="NA",U17="NA"),"██████████████","---")</f>
        <v>---</v>
      </c>
      <c r="V18" s="1138"/>
    </row>
    <row r="19" spans="1:22" s="33" customFormat="1" ht="30" hidden="1" customHeight="1">
      <c r="A19" s="1139">
        <f>IF(B19&lt;&gt;"", COUNTA($B$2:B19), "")</f>
        <v>9</v>
      </c>
      <c r="B19" s="1140" t="s">
        <v>4892</v>
      </c>
      <c r="C19" s="1062"/>
      <c r="D19" s="1140" t="s">
        <v>642</v>
      </c>
      <c r="E19" s="1140" t="s">
        <v>4177</v>
      </c>
      <c r="F19" s="1140" t="s">
        <v>4649</v>
      </c>
      <c r="G19" s="1136" t="str">
        <f t="shared" ref="G19" si="56">IF(H19=1,"Closed",IF(H19=0,"NA","Opening"))</f>
        <v>Opening</v>
      </c>
      <c r="H19" s="1137">
        <f>(COUNTIF(I19:U19,TRUE)+COUNTIF(I19:U19,"NA"))/COUNTA($I$1:$U$1)</f>
        <v>7.6923076923076927E-2</v>
      </c>
      <c r="I19" s="980"/>
      <c r="J19" s="980"/>
      <c r="K19" s="980" t="b">
        <v>1</v>
      </c>
      <c r="L19" s="980" t="b">
        <v>0</v>
      </c>
      <c r="M19" s="980"/>
      <c r="N19" s="980" t="b">
        <v>0</v>
      </c>
      <c r="O19" s="980" t="b">
        <v>0</v>
      </c>
      <c r="P19" s="980" t="b">
        <v>0</v>
      </c>
      <c r="Q19" s="980"/>
      <c r="R19" s="980"/>
      <c r="S19" s="980" t="b">
        <v>0</v>
      </c>
      <c r="T19" s="980"/>
      <c r="U19" s="980"/>
      <c r="V19" s="1138"/>
    </row>
    <row r="20" spans="1:22" s="33" customFormat="1" ht="20.100000000000001" hidden="1" customHeight="1">
      <c r="A20" s="1139"/>
      <c r="B20" s="1140"/>
      <c r="C20" s="1062"/>
      <c r="D20" s="1140"/>
      <c r="E20" s="1140"/>
      <c r="F20" s="1140"/>
      <c r="G20" s="1136"/>
      <c r="H20" s="1137"/>
      <c r="I20" s="100" t="str">
        <f t="shared" ref="I20" si="57">IF(OR(H19=TRUE,H19="NA",I19="NA"),"██████████████","---")</f>
        <v>---</v>
      </c>
      <c r="J20" s="100" t="str">
        <f t="shared" ref="J20:Q20" si="58">IF(OR(I19=TRUE,I19="NA",J19="NA"),"██████████████","---")</f>
        <v>---</v>
      </c>
      <c r="K20" s="100" t="str">
        <f t="shared" si="58"/>
        <v>---</v>
      </c>
      <c r="L20" s="100" t="str">
        <f t="shared" si="58"/>
        <v>██████████████</v>
      </c>
      <c r="M20" s="100" t="str">
        <f t="shared" si="58"/>
        <v>---</v>
      </c>
      <c r="N20" s="100" t="str">
        <f t="shared" si="58"/>
        <v>---</v>
      </c>
      <c r="O20" s="100" t="str">
        <f t="shared" si="58"/>
        <v>---</v>
      </c>
      <c r="P20" s="100" t="str">
        <f t="shared" si="58"/>
        <v>---</v>
      </c>
      <c r="Q20" s="100" t="str">
        <f t="shared" si="58"/>
        <v>---</v>
      </c>
      <c r="R20" s="100" t="str">
        <f t="shared" ref="R20" si="59">IF(OR(Q19=TRUE,Q19="NA",R19="NA"),"██████████████","---")</f>
        <v>---</v>
      </c>
      <c r="S20" s="100" t="str">
        <f t="shared" ref="S20" si="60">IF(OR(R19=TRUE,R19="NA",S19="NA"),"██████████████","---")</f>
        <v>---</v>
      </c>
      <c r="T20" s="100" t="str">
        <f t="shared" ref="T20" si="61">IF(OR(S19=TRUE,S19="NA",T19="NA"),"██████████████","---")</f>
        <v>---</v>
      </c>
      <c r="U20" s="100" t="str">
        <f t="shared" ref="U20" si="62">IF(OR(T19=TRUE,T19="NA",U19="NA"),"██████████████","---")</f>
        <v>---</v>
      </c>
      <c r="V20" s="1138"/>
    </row>
    <row r="21" spans="1:22" s="33" customFormat="1" ht="30" hidden="1" customHeight="1">
      <c r="A21" s="1139">
        <f>IF(B21&lt;&gt;"", COUNTA($B$2:B21), "")</f>
        <v>10</v>
      </c>
      <c r="B21" s="1147" t="s">
        <v>4888</v>
      </c>
      <c r="C21" s="1063"/>
      <c r="D21" s="1140" t="s">
        <v>642</v>
      </c>
      <c r="E21" s="1140" t="s">
        <v>4177</v>
      </c>
      <c r="F21" s="1140" t="s">
        <v>4648</v>
      </c>
      <c r="G21" s="1136" t="str">
        <f t="shared" ref="G21" si="63">IF(H21=1,"Closed",IF(H21=0,"NA","Opening"))</f>
        <v>Opening</v>
      </c>
      <c r="H21" s="1137">
        <f>(COUNTIF(I21:U21,TRUE)+COUNTIF(I21:U21,"NA"))/COUNTA($I$1:$U$1)</f>
        <v>7.6923076923076927E-2</v>
      </c>
      <c r="I21" s="980"/>
      <c r="J21" s="980"/>
      <c r="K21" s="980" t="b">
        <v>1</v>
      </c>
      <c r="L21" s="980" t="b">
        <v>0</v>
      </c>
      <c r="M21" s="980"/>
      <c r="N21" s="980" t="b">
        <v>0</v>
      </c>
      <c r="O21" s="980" t="b">
        <v>0</v>
      </c>
      <c r="P21" s="980" t="b">
        <v>0</v>
      </c>
      <c r="Q21" s="980"/>
      <c r="R21" s="980"/>
      <c r="S21" s="980" t="b">
        <v>0</v>
      </c>
      <c r="T21" s="980"/>
      <c r="U21" s="980"/>
      <c r="V21" s="1138"/>
    </row>
    <row r="22" spans="1:22" s="33" customFormat="1" ht="20.100000000000001" hidden="1" customHeight="1">
      <c r="A22" s="1139"/>
      <c r="B22" s="1147"/>
      <c r="C22" s="1063"/>
      <c r="D22" s="1140"/>
      <c r="E22" s="1140"/>
      <c r="F22" s="1140"/>
      <c r="G22" s="1136"/>
      <c r="H22" s="1137"/>
      <c r="I22" s="100" t="str">
        <f t="shared" ref="I22" si="64">IF(OR(H21=TRUE,H21="NA",I21="NA"),"██████████████","---")</f>
        <v>---</v>
      </c>
      <c r="J22" s="100" t="str">
        <f t="shared" ref="J22:Q22" si="65">IF(OR(I21=TRUE,I21="NA",J21="NA"),"██████████████","---")</f>
        <v>---</v>
      </c>
      <c r="K22" s="100" t="str">
        <f t="shared" si="65"/>
        <v>---</v>
      </c>
      <c r="L22" s="100" t="str">
        <f t="shared" si="65"/>
        <v>██████████████</v>
      </c>
      <c r="M22" s="100" t="str">
        <f t="shared" si="65"/>
        <v>---</v>
      </c>
      <c r="N22" s="100" t="str">
        <f t="shared" si="65"/>
        <v>---</v>
      </c>
      <c r="O22" s="100" t="str">
        <f t="shared" si="65"/>
        <v>---</v>
      </c>
      <c r="P22" s="100" t="str">
        <f t="shared" si="65"/>
        <v>---</v>
      </c>
      <c r="Q22" s="100" t="str">
        <f t="shared" si="65"/>
        <v>---</v>
      </c>
      <c r="R22" s="100" t="str">
        <f t="shared" ref="R22" si="66">IF(OR(Q21=TRUE,Q21="NA",R21="NA"),"██████████████","---")</f>
        <v>---</v>
      </c>
      <c r="S22" s="100" t="str">
        <f t="shared" ref="S22" si="67">IF(OR(R21=TRUE,R21="NA",S21="NA"),"██████████████","---")</f>
        <v>---</v>
      </c>
      <c r="T22" s="100" t="str">
        <f t="shared" ref="T22" si="68">IF(OR(S21=TRUE,S21="NA",T21="NA"),"██████████████","---")</f>
        <v>---</v>
      </c>
      <c r="U22" s="100" t="str">
        <f t="shared" ref="U22" si="69">IF(OR(T21=TRUE,T21="NA",U21="NA"),"██████████████","---")</f>
        <v>---</v>
      </c>
      <c r="V22" s="1138"/>
    </row>
    <row r="23" spans="1:22" s="33" customFormat="1" ht="30" hidden="1" customHeight="1">
      <c r="A23" s="1139">
        <f>IF(B23&lt;&gt;"", COUNTA($B$2:B23), "")</f>
        <v>11</v>
      </c>
      <c r="B23" s="1140" t="s">
        <v>4893</v>
      </c>
      <c r="C23" s="1062"/>
      <c r="D23" s="1140" t="s">
        <v>642</v>
      </c>
      <c r="E23" s="1140" t="s">
        <v>4177</v>
      </c>
      <c r="F23" s="1140" t="s">
        <v>4649</v>
      </c>
      <c r="G23" s="1136" t="str">
        <f t="shared" ref="G23" si="70">IF(H23=1,"Closed",IF(H23=0,"NA","Opening"))</f>
        <v>Opening</v>
      </c>
      <c r="H23" s="1137">
        <f>(COUNTIF(I23:U23,TRUE)+COUNTIF(I23:U23,"NA"))/COUNTA($I$1:$U$1)</f>
        <v>7.6923076923076927E-2</v>
      </c>
      <c r="I23" s="980"/>
      <c r="J23" s="980"/>
      <c r="K23" s="980" t="b">
        <v>1</v>
      </c>
      <c r="L23" s="980" t="b">
        <v>0</v>
      </c>
      <c r="M23" s="980"/>
      <c r="N23" s="980" t="b">
        <v>0</v>
      </c>
      <c r="O23" s="980" t="b">
        <v>0</v>
      </c>
      <c r="P23" s="980" t="b">
        <v>0</v>
      </c>
      <c r="Q23" s="980"/>
      <c r="R23" s="980"/>
      <c r="S23" s="980" t="b">
        <v>0</v>
      </c>
      <c r="T23" s="980"/>
      <c r="U23" s="980"/>
      <c r="V23" s="1138"/>
    </row>
    <row r="24" spans="1:22" s="33" customFormat="1" ht="20.100000000000001" hidden="1" customHeight="1">
      <c r="A24" s="1139"/>
      <c r="B24" s="1140"/>
      <c r="C24" s="1062"/>
      <c r="D24" s="1140"/>
      <c r="E24" s="1140"/>
      <c r="F24" s="1140"/>
      <c r="G24" s="1136"/>
      <c r="H24" s="1137"/>
      <c r="I24" s="100" t="str">
        <f t="shared" ref="I24" si="71">IF(OR(H23=TRUE,H23="NA",I23="NA"),"██████████████","---")</f>
        <v>---</v>
      </c>
      <c r="J24" s="100" t="str">
        <f t="shared" ref="J24:Q24" si="72">IF(OR(I23=TRUE,I23="NA",J23="NA"),"██████████████","---")</f>
        <v>---</v>
      </c>
      <c r="K24" s="100" t="str">
        <f t="shared" si="72"/>
        <v>---</v>
      </c>
      <c r="L24" s="100" t="str">
        <f t="shared" si="72"/>
        <v>██████████████</v>
      </c>
      <c r="M24" s="100" t="str">
        <f t="shared" si="72"/>
        <v>---</v>
      </c>
      <c r="N24" s="100" t="str">
        <f t="shared" si="72"/>
        <v>---</v>
      </c>
      <c r="O24" s="100" t="str">
        <f t="shared" si="72"/>
        <v>---</v>
      </c>
      <c r="P24" s="100" t="str">
        <f t="shared" si="72"/>
        <v>---</v>
      </c>
      <c r="Q24" s="100" t="str">
        <f t="shared" si="72"/>
        <v>---</v>
      </c>
      <c r="R24" s="100" t="str">
        <f t="shared" ref="R24" si="73">IF(OR(Q23=TRUE,Q23="NA",R23="NA"),"██████████████","---")</f>
        <v>---</v>
      </c>
      <c r="S24" s="100" t="str">
        <f t="shared" ref="S24" si="74">IF(OR(R23=TRUE,R23="NA",S23="NA"),"██████████████","---")</f>
        <v>---</v>
      </c>
      <c r="T24" s="100" t="str">
        <f t="shared" ref="T24" si="75">IF(OR(S23=TRUE,S23="NA",T23="NA"),"██████████████","---")</f>
        <v>---</v>
      </c>
      <c r="U24" s="100" t="str">
        <f t="shared" ref="U24" si="76">IF(OR(T23=TRUE,T23="NA",U23="NA"),"██████████████","---")</f>
        <v>---</v>
      </c>
      <c r="V24" s="1138"/>
    </row>
    <row r="25" spans="1:22" s="33" customFormat="1" ht="30" hidden="1" customHeight="1">
      <c r="A25" s="1139">
        <f>IF(B25&lt;&gt;"", COUNTA($B$2:B25), "")</f>
        <v>12</v>
      </c>
      <c r="B25" s="1140" t="s">
        <v>4894</v>
      </c>
      <c r="C25" s="1062"/>
      <c r="D25" s="1140" t="s">
        <v>642</v>
      </c>
      <c r="E25" s="1140" t="s">
        <v>4177</v>
      </c>
      <c r="F25" s="1140" t="s">
        <v>4648</v>
      </c>
      <c r="G25" s="1136" t="str">
        <f t="shared" ref="G25" si="77">IF(H25=1,"Closed",IF(H25=0,"NA","Opening"))</f>
        <v>Opening</v>
      </c>
      <c r="H25" s="1137">
        <f>(COUNTIF(I25:U25,TRUE)+COUNTIF(I25:U25,"NA"))/COUNTA($I$1:$U$1)</f>
        <v>7.6923076923076927E-2</v>
      </c>
      <c r="I25" s="980"/>
      <c r="J25" s="980"/>
      <c r="K25" s="980" t="b">
        <v>1</v>
      </c>
      <c r="L25" s="980" t="b">
        <v>0</v>
      </c>
      <c r="M25" s="980"/>
      <c r="N25" s="980" t="b">
        <v>0</v>
      </c>
      <c r="O25" s="980" t="b">
        <v>0</v>
      </c>
      <c r="P25" s="980" t="b">
        <v>0</v>
      </c>
      <c r="Q25" s="980"/>
      <c r="R25" s="980"/>
      <c r="S25" s="980" t="b">
        <v>0</v>
      </c>
      <c r="T25" s="980"/>
      <c r="U25" s="980"/>
      <c r="V25" s="1138"/>
    </row>
    <row r="26" spans="1:22" s="33" customFormat="1" ht="20.100000000000001" hidden="1" customHeight="1">
      <c r="A26" s="1139"/>
      <c r="B26" s="1140"/>
      <c r="C26" s="1062"/>
      <c r="D26" s="1140"/>
      <c r="E26" s="1140"/>
      <c r="F26" s="1140"/>
      <c r="G26" s="1136"/>
      <c r="H26" s="1137"/>
      <c r="I26" s="100" t="str">
        <f t="shared" ref="I26" si="78">IF(OR(H25=TRUE,H25="NA",I25="NA"),"██████████████","---")</f>
        <v>---</v>
      </c>
      <c r="J26" s="100" t="str">
        <f t="shared" ref="J26:Q26" si="79">IF(OR(I25=TRUE,I25="NA",J25="NA"),"██████████████","---")</f>
        <v>---</v>
      </c>
      <c r="K26" s="100" t="str">
        <f t="shared" si="79"/>
        <v>---</v>
      </c>
      <c r="L26" s="100" t="str">
        <f t="shared" si="79"/>
        <v>██████████████</v>
      </c>
      <c r="M26" s="100" t="str">
        <f t="shared" si="79"/>
        <v>---</v>
      </c>
      <c r="N26" s="100" t="str">
        <f t="shared" si="79"/>
        <v>---</v>
      </c>
      <c r="O26" s="100" t="str">
        <f t="shared" si="79"/>
        <v>---</v>
      </c>
      <c r="P26" s="100" t="str">
        <f t="shared" si="79"/>
        <v>---</v>
      </c>
      <c r="Q26" s="100" t="str">
        <f t="shared" si="79"/>
        <v>---</v>
      </c>
      <c r="R26" s="100" t="str">
        <f t="shared" ref="R26" si="80">IF(OR(Q25=TRUE,Q25="NA",R25="NA"),"██████████████","---")</f>
        <v>---</v>
      </c>
      <c r="S26" s="100" t="str">
        <f t="shared" ref="S26" si="81">IF(OR(R25=TRUE,R25="NA",S25="NA"),"██████████████","---")</f>
        <v>---</v>
      </c>
      <c r="T26" s="100" t="str">
        <f t="shared" ref="T26" si="82">IF(OR(S25=TRUE,S25="NA",T25="NA"),"██████████████","---")</f>
        <v>---</v>
      </c>
      <c r="U26" s="100" t="str">
        <f t="shared" ref="U26" si="83">IF(OR(T25=TRUE,T25="NA",U25="NA"),"██████████████","---")</f>
        <v>---</v>
      </c>
      <c r="V26" s="1138"/>
    </row>
    <row r="27" spans="1:22" s="33" customFormat="1" ht="52.5" customHeight="1">
      <c r="A27" s="1139">
        <f>IF(B27&lt;&gt;"", COUNTA($B$2:B27), "")</f>
        <v>13</v>
      </c>
      <c r="B27" s="1141" t="s">
        <v>4895</v>
      </c>
      <c r="C27" s="1064" t="s">
        <v>4916</v>
      </c>
      <c r="D27" s="1140" t="s">
        <v>642</v>
      </c>
      <c r="E27" s="1140" t="s">
        <v>4177</v>
      </c>
      <c r="F27" s="1140" t="s">
        <v>4648</v>
      </c>
      <c r="G27" s="1136" t="str">
        <f t="shared" ref="G27" si="84">IF(H27=1,"Closed",IF(H27=0,"NA","Opening"))</f>
        <v>Opening</v>
      </c>
      <c r="H27" s="1137">
        <f>(COUNTIF(I27:U27,TRUE)+COUNTIF(I27:U27,"NA"))/COUNTA($I$1:$U$1)</f>
        <v>7.6923076923076927E-2</v>
      </c>
      <c r="I27" s="980"/>
      <c r="J27" s="980"/>
      <c r="K27" s="980" t="b">
        <v>1</v>
      </c>
      <c r="L27" s="980" t="b">
        <v>0</v>
      </c>
      <c r="M27" s="980"/>
      <c r="N27" s="980" t="b">
        <v>0</v>
      </c>
      <c r="O27" s="980" t="b">
        <v>0</v>
      </c>
      <c r="P27" s="980" t="b">
        <v>0</v>
      </c>
      <c r="Q27" s="980"/>
      <c r="R27" s="980"/>
      <c r="S27" s="980" t="b">
        <v>0</v>
      </c>
      <c r="T27" s="980"/>
      <c r="U27" s="980"/>
      <c r="V27" s="1138"/>
    </row>
    <row r="28" spans="1:22" s="33" customFormat="1" ht="20.100000000000001" customHeight="1">
      <c r="A28" s="1139"/>
      <c r="B28" s="1141"/>
      <c r="C28" s="1064"/>
      <c r="D28" s="1140"/>
      <c r="E28" s="1140"/>
      <c r="F28" s="1140"/>
      <c r="G28" s="1136"/>
      <c r="H28" s="1137"/>
      <c r="I28" s="100" t="str">
        <f t="shared" ref="I28" si="85">IF(OR(H27=TRUE,H27="NA",I27="NA"),"██████████████","---")</f>
        <v>---</v>
      </c>
      <c r="J28" s="100" t="str">
        <f t="shared" ref="J28:Q28" si="86">IF(OR(I27=TRUE,I27="NA",J27="NA"),"██████████████","---")</f>
        <v>---</v>
      </c>
      <c r="K28" s="100" t="str">
        <f t="shared" si="86"/>
        <v>---</v>
      </c>
      <c r="L28" s="100" t="str">
        <f t="shared" si="86"/>
        <v>██████████████</v>
      </c>
      <c r="M28" s="100" t="str">
        <f t="shared" si="86"/>
        <v>---</v>
      </c>
      <c r="N28" s="100" t="str">
        <f t="shared" si="86"/>
        <v>---</v>
      </c>
      <c r="O28" s="100" t="str">
        <f t="shared" si="86"/>
        <v>---</v>
      </c>
      <c r="P28" s="100" t="str">
        <f t="shared" si="86"/>
        <v>---</v>
      </c>
      <c r="Q28" s="100" t="str">
        <f t="shared" si="86"/>
        <v>---</v>
      </c>
      <c r="R28" s="100" t="str">
        <f t="shared" ref="R28" si="87">IF(OR(Q27=TRUE,Q27="NA",R27="NA"),"██████████████","---")</f>
        <v>---</v>
      </c>
      <c r="S28" s="100" t="str">
        <f t="shared" ref="S28" si="88">IF(OR(R27=TRUE,R27="NA",S27="NA"),"██████████████","---")</f>
        <v>---</v>
      </c>
      <c r="T28" s="100" t="str">
        <f t="shared" ref="T28" si="89">IF(OR(S27=TRUE,S27="NA",T27="NA"),"██████████████","---")</f>
        <v>---</v>
      </c>
      <c r="U28" s="100" t="str">
        <f t="shared" ref="U28" si="90">IF(OR(T27=TRUE,T27="NA",U27="NA"),"██████████████","---")</f>
        <v>---</v>
      </c>
      <c r="V28" s="1138"/>
    </row>
    <row r="29" spans="1:22" s="33" customFormat="1" ht="30" hidden="1" customHeight="1">
      <c r="A29" s="1139">
        <f>IF(B29&lt;&gt;"", COUNTA($B$2:B29), "")</f>
        <v>14</v>
      </c>
      <c r="B29" s="1140" t="s">
        <v>4645</v>
      </c>
      <c r="C29" s="1062"/>
      <c r="D29" s="1140" t="s">
        <v>642</v>
      </c>
      <c r="E29" s="1140" t="s">
        <v>4177</v>
      </c>
      <c r="F29" s="1140" t="s">
        <v>4648</v>
      </c>
      <c r="G29" s="1136" t="str">
        <f t="shared" ref="G29" si="91">IF(H29=1,"Closed",IF(H29=0,"NA","Opening"))</f>
        <v>Opening</v>
      </c>
      <c r="H29" s="1137">
        <f>(COUNTIF(I29:U29,TRUE)+COUNTIF(I29:U29,"NA"))/COUNTA($I$1:$U$1)</f>
        <v>7.6923076923076927E-2</v>
      </c>
      <c r="I29" s="980"/>
      <c r="J29" s="980"/>
      <c r="K29" s="980" t="b">
        <v>1</v>
      </c>
      <c r="L29" s="980" t="b">
        <v>0</v>
      </c>
      <c r="M29" s="980"/>
      <c r="N29" s="980" t="b">
        <v>0</v>
      </c>
      <c r="O29" s="980" t="b">
        <v>0</v>
      </c>
      <c r="P29" s="980" t="b">
        <v>0</v>
      </c>
      <c r="Q29" s="980"/>
      <c r="R29" s="980"/>
      <c r="S29" s="980" t="b">
        <v>0</v>
      </c>
      <c r="T29" s="980"/>
      <c r="U29" s="980"/>
      <c r="V29" s="1138"/>
    </row>
    <row r="30" spans="1:22" s="33" customFormat="1" ht="20.100000000000001" hidden="1" customHeight="1">
      <c r="A30" s="1139"/>
      <c r="B30" s="1140"/>
      <c r="C30" s="1062"/>
      <c r="D30" s="1140"/>
      <c r="E30" s="1140"/>
      <c r="F30" s="1140"/>
      <c r="G30" s="1136"/>
      <c r="H30" s="1137"/>
      <c r="I30" s="100" t="str">
        <f t="shared" ref="I30" si="92">IF(OR(H29=TRUE,H29="NA",I29="NA"),"██████████████","---")</f>
        <v>---</v>
      </c>
      <c r="J30" s="100" t="str">
        <f t="shared" ref="J30:Q30" si="93">IF(OR(I29=TRUE,I29="NA",J29="NA"),"██████████████","---")</f>
        <v>---</v>
      </c>
      <c r="K30" s="100" t="str">
        <f t="shared" si="93"/>
        <v>---</v>
      </c>
      <c r="L30" s="100" t="str">
        <f t="shared" si="93"/>
        <v>██████████████</v>
      </c>
      <c r="M30" s="100" t="str">
        <f t="shared" si="93"/>
        <v>---</v>
      </c>
      <c r="N30" s="100" t="str">
        <f t="shared" si="93"/>
        <v>---</v>
      </c>
      <c r="O30" s="100" t="str">
        <f t="shared" si="93"/>
        <v>---</v>
      </c>
      <c r="P30" s="100" t="str">
        <f t="shared" si="93"/>
        <v>---</v>
      </c>
      <c r="Q30" s="100" t="str">
        <f t="shared" si="93"/>
        <v>---</v>
      </c>
      <c r="R30" s="100" t="str">
        <f t="shared" ref="R30" si="94">IF(OR(Q29=TRUE,Q29="NA",R29="NA"),"██████████████","---")</f>
        <v>---</v>
      </c>
      <c r="S30" s="100" t="str">
        <f t="shared" ref="S30" si="95">IF(OR(R29=TRUE,R29="NA",S29="NA"),"██████████████","---")</f>
        <v>---</v>
      </c>
      <c r="T30" s="100" t="str">
        <f t="shared" ref="T30" si="96">IF(OR(S29=TRUE,S29="NA",T29="NA"),"██████████████","---")</f>
        <v>---</v>
      </c>
      <c r="U30" s="100" t="str">
        <f t="shared" ref="U30" si="97">IF(OR(T29=TRUE,T29="NA",U29="NA"),"██████████████","---")</f>
        <v>---</v>
      </c>
      <c r="V30" s="1138"/>
    </row>
    <row r="31" spans="1:22" s="33" customFormat="1" ht="43.5" customHeight="1">
      <c r="A31" s="1139">
        <f>IF(B31&lt;&gt;"", COUNTA($B$2:B31), "")</f>
        <v>15</v>
      </c>
      <c r="B31" s="1141" t="s">
        <v>4896</v>
      </c>
      <c r="C31" s="1064" t="s">
        <v>4917</v>
      </c>
      <c r="D31" s="1140" t="s">
        <v>642</v>
      </c>
      <c r="E31" s="1140" t="s">
        <v>4177</v>
      </c>
      <c r="F31" s="1140" t="s">
        <v>4648</v>
      </c>
      <c r="G31" s="1136" t="str">
        <f t="shared" ref="G31" si="98">IF(H31=1,"Closed",IF(H31=0,"NA","Opening"))</f>
        <v>Opening</v>
      </c>
      <c r="H31" s="1137">
        <f>(COUNTIF(I31:U31,TRUE)+COUNTIF(I31:U31,"NA"))/COUNTA($I$1:$U$1)</f>
        <v>7.6923076923076927E-2</v>
      </c>
      <c r="I31" s="980" t="b">
        <v>0</v>
      </c>
      <c r="J31" s="980"/>
      <c r="K31" s="980" t="b">
        <v>1</v>
      </c>
      <c r="L31" s="980" t="b">
        <v>0</v>
      </c>
      <c r="M31" s="980"/>
      <c r="N31" s="980" t="b">
        <v>0</v>
      </c>
      <c r="O31" s="980" t="b">
        <v>0</v>
      </c>
      <c r="P31" s="980" t="b">
        <v>0</v>
      </c>
      <c r="Q31" s="980"/>
      <c r="R31" s="980"/>
      <c r="S31" s="980" t="b">
        <v>0</v>
      </c>
      <c r="T31" s="980"/>
      <c r="U31" s="980"/>
      <c r="V31" s="1138"/>
    </row>
    <row r="32" spans="1:22" s="33" customFormat="1" ht="20.100000000000001" customHeight="1">
      <c r="A32" s="1139"/>
      <c r="B32" s="1141"/>
      <c r="C32" s="1064"/>
      <c r="D32" s="1140"/>
      <c r="E32" s="1140"/>
      <c r="F32" s="1140"/>
      <c r="G32" s="1136"/>
      <c r="H32" s="1137"/>
      <c r="I32" s="100" t="str">
        <f t="shared" ref="I32" si="99">IF(OR(H31=TRUE,H31="NA",I31="NA"),"██████████████","---")</f>
        <v>---</v>
      </c>
      <c r="J32" s="100" t="str">
        <f t="shared" ref="J32:Q32" si="100">IF(OR(I31=TRUE,I31="NA",J31="NA"),"██████████████","---")</f>
        <v>---</v>
      </c>
      <c r="K32" s="100" t="str">
        <f t="shared" si="100"/>
        <v>---</v>
      </c>
      <c r="L32" s="100" t="str">
        <f t="shared" si="100"/>
        <v>██████████████</v>
      </c>
      <c r="M32" s="100" t="str">
        <f t="shared" si="100"/>
        <v>---</v>
      </c>
      <c r="N32" s="100" t="str">
        <f t="shared" si="100"/>
        <v>---</v>
      </c>
      <c r="O32" s="100" t="str">
        <f t="shared" si="100"/>
        <v>---</v>
      </c>
      <c r="P32" s="100" t="str">
        <f t="shared" si="100"/>
        <v>---</v>
      </c>
      <c r="Q32" s="100" t="str">
        <f t="shared" si="100"/>
        <v>---</v>
      </c>
      <c r="R32" s="100" t="str">
        <f t="shared" ref="R32" si="101">IF(OR(Q31=TRUE,Q31="NA",R31="NA"),"██████████████","---")</f>
        <v>---</v>
      </c>
      <c r="S32" s="100" t="str">
        <f t="shared" ref="S32" si="102">IF(OR(R31=TRUE,R31="NA",S31="NA"),"██████████████","---")</f>
        <v>---</v>
      </c>
      <c r="T32" s="100" t="str">
        <f t="shared" ref="T32" si="103">IF(OR(S31=TRUE,S31="NA",T31="NA"),"██████████████","---")</f>
        <v>---</v>
      </c>
      <c r="U32" s="100" t="str">
        <f t="shared" ref="U32" si="104">IF(OR(T31=TRUE,T31="NA",U31="NA"),"██████████████","---")</f>
        <v>---</v>
      </c>
      <c r="V32" s="1138"/>
    </row>
    <row r="33" spans="1:22" s="33" customFormat="1" ht="57.95" customHeight="1">
      <c r="A33" s="1139">
        <f>IF(B33&lt;&gt;"", COUNTA($B$2:B33), "")</f>
        <v>16</v>
      </c>
      <c r="B33" s="1141" t="s">
        <v>4897</v>
      </c>
      <c r="C33" s="1064" t="s">
        <v>4918</v>
      </c>
      <c r="D33" s="1140" t="s">
        <v>4646</v>
      </c>
      <c r="E33" s="1140" t="s">
        <v>4647</v>
      </c>
      <c r="F33" s="1140" t="s">
        <v>4648</v>
      </c>
      <c r="G33" s="1136" t="str">
        <f t="shared" ref="G33" si="105">IF(H33=1,"Closed",IF(H33=0,"NA","Opening"))</f>
        <v>Opening</v>
      </c>
      <c r="H33" s="1137">
        <f>(COUNTIF(I33:U33,TRUE)+COUNTIF(I33:U33,"NA"))/COUNTA($I$1:$U$1)</f>
        <v>7.6923076923076927E-2</v>
      </c>
      <c r="I33" s="980"/>
      <c r="J33" s="980"/>
      <c r="K33" s="980" t="b">
        <v>1</v>
      </c>
      <c r="L33" s="980" t="b">
        <v>0</v>
      </c>
      <c r="M33" s="980"/>
      <c r="N33" s="980" t="b">
        <v>0</v>
      </c>
      <c r="O33" s="980" t="b">
        <v>0</v>
      </c>
      <c r="P33" s="980" t="b">
        <v>0</v>
      </c>
      <c r="Q33" s="980"/>
      <c r="R33" s="980"/>
      <c r="S33" s="980" t="b">
        <v>0</v>
      </c>
      <c r="T33" s="980"/>
      <c r="U33" s="980"/>
      <c r="V33" s="1138"/>
    </row>
    <row r="34" spans="1:22" s="33" customFormat="1" ht="20.100000000000001" customHeight="1">
      <c r="A34" s="1139"/>
      <c r="B34" s="1141"/>
      <c r="C34" s="1064"/>
      <c r="D34" s="1140"/>
      <c r="E34" s="1140"/>
      <c r="F34" s="1140"/>
      <c r="G34" s="1136"/>
      <c r="H34" s="1137"/>
      <c r="I34" s="100" t="str">
        <f t="shared" ref="I34" si="106">IF(OR(H33=TRUE,H33="NA",I33="NA"),"██████████████","---")</f>
        <v>---</v>
      </c>
      <c r="J34" s="100" t="str">
        <f t="shared" ref="J34:Q34" si="107">IF(OR(I33=TRUE,I33="NA",J33="NA"),"██████████████","---")</f>
        <v>---</v>
      </c>
      <c r="K34" s="100" t="str">
        <f t="shared" si="107"/>
        <v>---</v>
      </c>
      <c r="L34" s="100" t="str">
        <f t="shared" si="107"/>
        <v>██████████████</v>
      </c>
      <c r="M34" s="100" t="str">
        <f t="shared" si="107"/>
        <v>---</v>
      </c>
      <c r="N34" s="100" t="str">
        <f t="shared" si="107"/>
        <v>---</v>
      </c>
      <c r="O34" s="100" t="str">
        <f t="shared" si="107"/>
        <v>---</v>
      </c>
      <c r="P34" s="100" t="str">
        <f t="shared" si="107"/>
        <v>---</v>
      </c>
      <c r="Q34" s="100" t="str">
        <f t="shared" si="107"/>
        <v>---</v>
      </c>
      <c r="R34" s="100" t="str">
        <f t="shared" ref="R34" si="108">IF(OR(Q33=TRUE,Q33="NA",R33="NA"),"██████████████","---")</f>
        <v>---</v>
      </c>
      <c r="S34" s="100" t="str">
        <f t="shared" ref="S34" si="109">IF(OR(R33=TRUE,R33="NA",S33="NA"),"██████████████","---")</f>
        <v>---</v>
      </c>
      <c r="T34" s="100" t="str">
        <f t="shared" ref="T34" si="110">IF(OR(S33=TRUE,S33="NA",T33="NA"),"██████████████","---")</f>
        <v>---</v>
      </c>
      <c r="U34" s="100" t="str">
        <f t="shared" ref="U34" si="111">IF(OR(T33=TRUE,T33="NA",U33="NA"),"██████████████","---")</f>
        <v>---</v>
      </c>
      <c r="V34" s="1138"/>
    </row>
    <row r="35" spans="1:22" s="33" customFormat="1" ht="42.6" customHeight="1">
      <c r="A35" s="1139">
        <f>IF(B35&lt;&gt;"", COUNTA($B$2:B35), "")</f>
        <v>17</v>
      </c>
      <c r="B35" s="1141" t="s">
        <v>4898</v>
      </c>
      <c r="C35" s="1064" t="s">
        <v>4919</v>
      </c>
      <c r="D35" s="1140" t="s">
        <v>642</v>
      </c>
      <c r="E35" s="1140" t="s">
        <v>4177</v>
      </c>
      <c r="F35" s="1140" t="s">
        <v>4648</v>
      </c>
      <c r="G35" s="1136" t="str">
        <f t="shared" ref="G35" si="112">IF(H35=1,"Closed",IF(H35=0,"NA","Opening"))</f>
        <v>Opening</v>
      </c>
      <c r="H35" s="1137">
        <f>(COUNTIF(I35:U35,TRUE)+COUNTIF(I35:U35,"NA"))/COUNTA($I$1:$U$1)</f>
        <v>7.6923076923076927E-2</v>
      </c>
      <c r="I35" s="980"/>
      <c r="J35" s="980"/>
      <c r="K35" s="980" t="b">
        <v>1</v>
      </c>
      <c r="L35" s="980" t="b">
        <v>0</v>
      </c>
      <c r="M35" s="980"/>
      <c r="N35" s="980" t="b">
        <v>0</v>
      </c>
      <c r="O35" s="980" t="b">
        <v>0</v>
      </c>
      <c r="P35" s="980" t="b">
        <v>0</v>
      </c>
      <c r="Q35" s="980"/>
      <c r="R35" s="980"/>
      <c r="S35" s="980" t="b">
        <v>0</v>
      </c>
      <c r="T35" s="980"/>
      <c r="U35" s="980"/>
      <c r="V35" s="1138"/>
    </row>
    <row r="36" spans="1:22" s="33" customFormat="1" ht="20.100000000000001" customHeight="1">
      <c r="A36" s="1139"/>
      <c r="B36" s="1141"/>
      <c r="C36" s="1064"/>
      <c r="D36" s="1140"/>
      <c r="E36" s="1140"/>
      <c r="F36" s="1140"/>
      <c r="G36" s="1136"/>
      <c r="H36" s="1137"/>
      <c r="I36" s="100" t="str">
        <f t="shared" ref="I36" si="113">IF(OR(H35=TRUE,H35="NA",I35="NA"),"██████████████","---")</f>
        <v>---</v>
      </c>
      <c r="J36" s="100" t="str">
        <f t="shared" ref="J36:Q36" si="114">IF(OR(I35=TRUE,I35="NA",J35="NA"),"██████████████","---")</f>
        <v>---</v>
      </c>
      <c r="K36" s="100" t="str">
        <f t="shared" si="114"/>
        <v>---</v>
      </c>
      <c r="L36" s="100" t="str">
        <f t="shared" si="114"/>
        <v>██████████████</v>
      </c>
      <c r="M36" s="100" t="str">
        <f t="shared" si="114"/>
        <v>---</v>
      </c>
      <c r="N36" s="100" t="str">
        <f t="shared" si="114"/>
        <v>---</v>
      </c>
      <c r="O36" s="100" t="str">
        <f t="shared" si="114"/>
        <v>---</v>
      </c>
      <c r="P36" s="100" t="str">
        <f t="shared" si="114"/>
        <v>---</v>
      </c>
      <c r="Q36" s="100" t="str">
        <f t="shared" si="114"/>
        <v>---</v>
      </c>
      <c r="R36" s="100" t="str">
        <f t="shared" ref="R36" si="115">IF(OR(Q35=TRUE,Q35="NA",R35="NA"),"██████████████","---")</f>
        <v>---</v>
      </c>
      <c r="S36" s="100" t="str">
        <f t="shared" ref="S36" si="116">IF(OR(R35=TRUE,R35="NA",S35="NA"),"██████████████","---")</f>
        <v>---</v>
      </c>
      <c r="T36" s="100" t="str">
        <f t="shared" ref="T36" si="117">IF(OR(S35=TRUE,S35="NA",T35="NA"),"██████████████","---")</f>
        <v>---</v>
      </c>
      <c r="U36" s="100" t="str">
        <f t="shared" ref="U36" si="118">IF(OR(T35=TRUE,T35="NA",U35="NA"),"██████████████","---")</f>
        <v>---</v>
      </c>
      <c r="V36" s="1138"/>
    </row>
    <row r="37" spans="1:22" s="33" customFormat="1" ht="36.6" customHeight="1">
      <c r="A37" s="1139">
        <f>IF(B37&lt;&gt;"", COUNTA($B$2:B37), "")</f>
        <v>18</v>
      </c>
      <c r="B37" s="1141" t="s">
        <v>4899</v>
      </c>
      <c r="C37" s="1064" t="s">
        <v>4915</v>
      </c>
      <c r="D37" s="1140" t="s">
        <v>642</v>
      </c>
      <c r="E37" s="1140" t="s">
        <v>4177</v>
      </c>
      <c r="F37" s="1140" t="s">
        <v>4648</v>
      </c>
      <c r="G37" s="1136" t="str">
        <f t="shared" ref="G37" si="119">IF(H37=1,"Closed",IF(H37=0,"NA","Opening"))</f>
        <v>Opening</v>
      </c>
      <c r="H37" s="1137">
        <f>(COUNTIF(I37:U37,TRUE)+COUNTIF(I37:U37,"NA"))/COUNTA($I$1:$U$1)</f>
        <v>7.6923076923076927E-2</v>
      </c>
      <c r="I37" s="980"/>
      <c r="J37" s="980"/>
      <c r="K37" s="980" t="b">
        <v>1</v>
      </c>
      <c r="L37" s="980" t="b">
        <v>0</v>
      </c>
      <c r="M37" s="980"/>
      <c r="N37" s="980" t="b">
        <v>0</v>
      </c>
      <c r="O37" s="980" t="b">
        <v>0</v>
      </c>
      <c r="P37" s="980" t="b">
        <v>0</v>
      </c>
      <c r="Q37" s="980"/>
      <c r="R37" s="980"/>
      <c r="S37" s="980" t="b">
        <v>0</v>
      </c>
      <c r="T37" s="980"/>
      <c r="U37" s="980"/>
      <c r="V37" s="1138"/>
    </row>
    <row r="38" spans="1:22" s="33" customFormat="1" ht="20.100000000000001" customHeight="1">
      <c r="A38" s="1139"/>
      <c r="B38" s="1141"/>
      <c r="C38" s="1064"/>
      <c r="D38" s="1140"/>
      <c r="E38" s="1140"/>
      <c r="F38" s="1140"/>
      <c r="G38" s="1136"/>
      <c r="H38" s="1137"/>
      <c r="I38" s="100" t="str">
        <f t="shared" ref="I38" si="120">IF(OR(H37=TRUE,H37="NA",I37="NA"),"██████████████","---")</f>
        <v>---</v>
      </c>
      <c r="J38" s="100" t="str">
        <f t="shared" ref="J38:Q38" si="121">IF(OR(I37=TRUE,I37="NA",J37="NA"),"██████████████","---")</f>
        <v>---</v>
      </c>
      <c r="K38" s="100" t="str">
        <f t="shared" si="121"/>
        <v>---</v>
      </c>
      <c r="L38" s="100" t="str">
        <f t="shared" si="121"/>
        <v>██████████████</v>
      </c>
      <c r="M38" s="100" t="str">
        <f t="shared" si="121"/>
        <v>---</v>
      </c>
      <c r="N38" s="100" t="str">
        <f t="shared" si="121"/>
        <v>---</v>
      </c>
      <c r="O38" s="100" t="str">
        <f t="shared" si="121"/>
        <v>---</v>
      </c>
      <c r="P38" s="100" t="str">
        <f t="shared" si="121"/>
        <v>---</v>
      </c>
      <c r="Q38" s="100" t="str">
        <f t="shared" si="121"/>
        <v>---</v>
      </c>
      <c r="R38" s="100" t="str">
        <f t="shared" ref="R38" si="122">IF(OR(Q37=TRUE,Q37="NA",R37="NA"),"██████████████","---")</f>
        <v>---</v>
      </c>
      <c r="S38" s="100" t="str">
        <f t="shared" ref="S38" si="123">IF(OR(R37=TRUE,R37="NA",S37="NA"),"██████████████","---")</f>
        <v>---</v>
      </c>
      <c r="T38" s="100" t="str">
        <f t="shared" ref="T38" si="124">IF(OR(S37=TRUE,S37="NA",T37="NA"),"██████████████","---")</f>
        <v>---</v>
      </c>
      <c r="U38" s="100" t="str">
        <f t="shared" ref="U38" si="125">IF(OR(T37=TRUE,T37="NA",U37="NA"),"██████████████","---")</f>
        <v>---</v>
      </c>
      <c r="V38" s="1138"/>
    </row>
    <row r="39" spans="1:22" s="33" customFormat="1" ht="49.5">
      <c r="A39" s="1144">
        <f>IF(B39&lt;&gt;"", COUNTA($B$2:B39), "")</f>
        <v>19</v>
      </c>
      <c r="B39" s="1141" t="s">
        <v>4900</v>
      </c>
      <c r="C39" s="1064" t="s">
        <v>4920</v>
      </c>
      <c r="D39" s="1140" t="s">
        <v>642</v>
      </c>
      <c r="E39" s="1140" t="s">
        <v>4177</v>
      </c>
      <c r="F39" s="1140" t="s">
        <v>4648</v>
      </c>
      <c r="G39" s="1136" t="str">
        <f t="shared" ref="G39" si="126">IF(H39=1,"Closed",IF(H39=0,"NA","Opening"))</f>
        <v>Opening</v>
      </c>
      <c r="H39" s="1137">
        <f>(COUNTIF(I39:U39,TRUE)+COUNTIF(I39:U39,"NA"))/COUNTA($I$1:$U$1)</f>
        <v>7.6923076923076927E-2</v>
      </c>
      <c r="I39" s="980"/>
      <c r="J39" s="980"/>
      <c r="K39" s="980" t="b">
        <v>1</v>
      </c>
      <c r="L39" s="980" t="b">
        <v>0</v>
      </c>
      <c r="M39" s="980"/>
      <c r="N39" s="980" t="b">
        <v>0</v>
      </c>
      <c r="O39" s="980" t="b">
        <v>0</v>
      </c>
      <c r="P39" s="980" t="b">
        <v>0</v>
      </c>
      <c r="Q39" s="980"/>
      <c r="R39" s="980"/>
      <c r="S39" s="980" t="b">
        <v>0</v>
      </c>
      <c r="T39" s="980"/>
      <c r="U39" s="980"/>
      <c r="V39" s="1138"/>
    </row>
    <row r="40" spans="1:22" s="33" customFormat="1" ht="20.100000000000001" customHeight="1">
      <c r="A40" s="1144"/>
      <c r="B40" s="1141"/>
      <c r="C40" s="1064"/>
      <c r="D40" s="1140"/>
      <c r="E40" s="1140"/>
      <c r="F40" s="1140"/>
      <c r="G40" s="1136"/>
      <c r="H40" s="1137"/>
      <c r="I40" s="100" t="str">
        <f t="shared" ref="I40" si="127">IF(OR(H39=TRUE,H39="NA",I39="NA"),"██████████████","---")</f>
        <v>---</v>
      </c>
      <c r="J40" s="100" t="str">
        <f t="shared" ref="J40:Q40" si="128">IF(OR(I39=TRUE,I39="NA",J39="NA"),"██████████████","---")</f>
        <v>---</v>
      </c>
      <c r="K40" s="100" t="str">
        <f t="shared" si="128"/>
        <v>---</v>
      </c>
      <c r="L40" s="100" t="str">
        <f t="shared" si="128"/>
        <v>██████████████</v>
      </c>
      <c r="M40" s="100" t="str">
        <f t="shared" si="128"/>
        <v>---</v>
      </c>
      <c r="N40" s="100" t="str">
        <f t="shared" si="128"/>
        <v>---</v>
      </c>
      <c r="O40" s="100" t="str">
        <f t="shared" si="128"/>
        <v>---</v>
      </c>
      <c r="P40" s="100" t="str">
        <f t="shared" si="128"/>
        <v>---</v>
      </c>
      <c r="Q40" s="100" t="str">
        <f t="shared" si="128"/>
        <v>---</v>
      </c>
      <c r="R40" s="100" t="str">
        <f t="shared" ref="R40" si="129">IF(OR(Q39=TRUE,Q39="NA",R39="NA"),"██████████████","---")</f>
        <v>---</v>
      </c>
      <c r="S40" s="100" t="str">
        <f t="shared" ref="S40" si="130">IF(OR(R39=TRUE,R39="NA",S39="NA"),"██████████████","---")</f>
        <v>---</v>
      </c>
      <c r="T40" s="100" t="str">
        <f t="shared" ref="T40" si="131">IF(OR(S39=TRUE,S39="NA",T39="NA"),"██████████████","---")</f>
        <v>---</v>
      </c>
      <c r="U40" s="100" t="str">
        <f t="shared" ref="U40" si="132">IF(OR(T39=TRUE,T39="NA",U39="NA"),"██████████████","---")</f>
        <v>---</v>
      </c>
      <c r="V40" s="1138"/>
    </row>
    <row r="41" spans="1:22" s="33" customFormat="1" ht="64.5" customHeight="1">
      <c r="A41" s="1139">
        <f>IF(B41&lt;&gt;"", COUNTA($B$2:B41), "")</f>
        <v>20</v>
      </c>
      <c r="B41" s="1141" t="s">
        <v>4905</v>
      </c>
      <c r="C41" s="1064" t="s">
        <v>4921</v>
      </c>
      <c r="D41" s="1140" t="s">
        <v>642</v>
      </c>
      <c r="E41" s="1140" t="s">
        <v>4177</v>
      </c>
      <c r="F41" s="1140" t="s">
        <v>4648</v>
      </c>
      <c r="G41" s="1136" t="str">
        <f t="shared" ref="G41" si="133">IF(H41=1,"Closed",IF(H41=0,"NA","Opening"))</f>
        <v>NA</v>
      </c>
      <c r="H41" s="1137">
        <f>(COUNTIF(I41:U41,TRUE)+COUNTIF(I41:U41,"NA"))/COUNTA($I$1:$U$1)</f>
        <v>0</v>
      </c>
      <c r="I41" s="980"/>
      <c r="J41" s="980"/>
      <c r="K41" s="980" t="b">
        <v>0</v>
      </c>
      <c r="L41" s="980" t="b">
        <v>0</v>
      </c>
      <c r="M41" s="980"/>
      <c r="N41" s="980" t="b">
        <v>0</v>
      </c>
      <c r="O41" s="980" t="b">
        <v>0</v>
      </c>
      <c r="P41" s="980" t="b">
        <v>0</v>
      </c>
      <c r="Q41" s="980" t="b">
        <v>0</v>
      </c>
      <c r="R41" s="980" t="b">
        <v>0</v>
      </c>
      <c r="S41" s="980" t="b">
        <v>0</v>
      </c>
      <c r="T41" s="980" t="b">
        <v>0</v>
      </c>
      <c r="U41" s="980"/>
      <c r="V41" s="1138"/>
    </row>
    <row r="42" spans="1:22" s="33" customFormat="1" ht="20.100000000000001" customHeight="1">
      <c r="A42" s="1139"/>
      <c r="B42" s="1141"/>
      <c r="C42" s="1064"/>
      <c r="D42" s="1140"/>
      <c r="E42" s="1140"/>
      <c r="F42" s="1140"/>
      <c r="G42" s="1136"/>
      <c r="H42" s="1137"/>
      <c r="I42" s="100" t="str">
        <f t="shared" ref="I42" si="134">IF(OR(H41=TRUE,H41="NA",I41="NA"),"██████████████","---")</f>
        <v>---</v>
      </c>
      <c r="J42" s="100" t="str">
        <f t="shared" ref="J42:Q42" si="135">IF(OR(I41=TRUE,I41="NA",J41="NA"),"██████████████","---")</f>
        <v>---</v>
      </c>
      <c r="K42" s="100" t="str">
        <f t="shared" si="135"/>
        <v>---</v>
      </c>
      <c r="L42" s="100" t="str">
        <f t="shared" si="135"/>
        <v>---</v>
      </c>
      <c r="M42" s="100" t="str">
        <f t="shared" si="135"/>
        <v>---</v>
      </c>
      <c r="N42" s="100" t="str">
        <f t="shared" si="135"/>
        <v>---</v>
      </c>
      <c r="O42" s="100" t="str">
        <f t="shared" si="135"/>
        <v>---</v>
      </c>
      <c r="P42" s="100" t="str">
        <f t="shared" si="135"/>
        <v>---</v>
      </c>
      <c r="Q42" s="100" t="str">
        <f t="shared" si="135"/>
        <v>---</v>
      </c>
      <c r="R42" s="100" t="str">
        <f t="shared" ref="R42" si="136">IF(OR(Q41=TRUE,Q41="NA",R41="NA"),"██████████████","---")</f>
        <v>---</v>
      </c>
      <c r="S42" s="100" t="str">
        <f t="shared" ref="S42" si="137">IF(OR(R41=TRUE,R41="NA",S41="NA"),"██████████████","---")</f>
        <v>---</v>
      </c>
      <c r="T42" s="100" t="str">
        <f t="shared" ref="T42" si="138">IF(OR(S41=TRUE,S41="NA",T41="NA"),"██████████████","---")</f>
        <v>---</v>
      </c>
      <c r="U42" s="100" t="str">
        <f t="shared" ref="U42" si="139">IF(OR(T41=TRUE,T41="NA",U41="NA"),"██████████████","---")</f>
        <v>---</v>
      </c>
      <c r="V42" s="1138"/>
    </row>
    <row r="43" spans="1:22" s="33" customFormat="1" ht="39.6" customHeight="1">
      <c r="A43" s="1143">
        <f>IF(B43&lt;&gt;"", COUNTA($B$2:B43), "")</f>
        <v>21</v>
      </c>
      <c r="B43" s="1145" t="s">
        <v>4906</v>
      </c>
      <c r="C43" s="1065" t="s">
        <v>4922</v>
      </c>
      <c r="D43" s="1146" t="s">
        <v>642</v>
      </c>
      <c r="E43" s="1140" t="s">
        <v>4177</v>
      </c>
      <c r="F43" s="1140" t="s">
        <v>4648</v>
      </c>
      <c r="G43" s="1136" t="str">
        <f t="shared" ref="G43" si="140">IF(H43=1,"Closed",IF(H43=0,"NA","Opening"))</f>
        <v>Opening</v>
      </c>
      <c r="H43" s="1137">
        <f>(COUNTIF(I43:U43,TRUE)+COUNTIF(I43:U43,"NA"))/COUNTA($I$1:$U$1)</f>
        <v>7.6923076923076927E-2</v>
      </c>
      <c r="I43" s="980"/>
      <c r="J43" s="980"/>
      <c r="K43" s="980" t="b">
        <v>1</v>
      </c>
      <c r="L43" s="980" t="b">
        <v>0</v>
      </c>
      <c r="M43" s="980"/>
      <c r="N43" s="980" t="b">
        <v>0</v>
      </c>
      <c r="O43" s="980" t="b">
        <v>0</v>
      </c>
      <c r="P43" s="980" t="b">
        <v>0</v>
      </c>
      <c r="Q43" s="980"/>
      <c r="R43" s="980"/>
      <c r="S43" s="980" t="b">
        <v>0</v>
      </c>
      <c r="T43" s="980"/>
      <c r="U43" s="980"/>
      <c r="V43" s="1138"/>
    </row>
    <row r="44" spans="1:22" s="33" customFormat="1" ht="20.100000000000001" customHeight="1">
      <c r="A44" s="1143"/>
      <c r="B44" s="1145"/>
      <c r="C44" s="1065" t="s">
        <v>4923</v>
      </c>
      <c r="D44" s="1146"/>
      <c r="E44" s="1140"/>
      <c r="F44" s="1140"/>
      <c r="G44" s="1136"/>
      <c r="H44" s="1137"/>
      <c r="I44" s="100" t="str">
        <f t="shared" ref="I44" si="141">IF(OR(H43=TRUE,H43="NA",I43="NA"),"██████████████","---")</f>
        <v>---</v>
      </c>
      <c r="J44" s="100" t="str">
        <f t="shared" ref="J44:Q44" si="142">IF(OR(I43=TRUE,I43="NA",J43="NA"),"██████████████","---")</f>
        <v>---</v>
      </c>
      <c r="K44" s="100" t="str">
        <f t="shared" si="142"/>
        <v>---</v>
      </c>
      <c r="L44" s="100" t="str">
        <f t="shared" si="142"/>
        <v>██████████████</v>
      </c>
      <c r="M44" s="100" t="str">
        <f t="shared" si="142"/>
        <v>---</v>
      </c>
      <c r="N44" s="100" t="str">
        <f t="shared" si="142"/>
        <v>---</v>
      </c>
      <c r="O44" s="100" t="str">
        <f t="shared" si="142"/>
        <v>---</v>
      </c>
      <c r="P44" s="100" t="str">
        <f t="shared" si="142"/>
        <v>---</v>
      </c>
      <c r="Q44" s="100" t="str">
        <f t="shared" si="142"/>
        <v>---</v>
      </c>
      <c r="R44" s="100" t="str">
        <f t="shared" ref="R44" si="143">IF(OR(Q43=TRUE,Q43="NA",R43="NA"),"██████████████","---")</f>
        <v>---</v>
      </c>
      <c r="S44" s="100" t="str">
        <f t="shared" ref="S44" si="144">IF(OR(R43=TRUE,R43="NA",S43="NA"),"██████████████","---")</f>
        <v>---</v>
      </c>
      <c r="T44" s="100" t="str">
        <f t="shared" ref="T44" si="145">IF(OR(S43=TRUE,S43="NA",T43="NA"),"██████████████","---")</f>
        <v>---</v>
      </c>
      <c r="U44" s="100" t="str">
        <f t="shared" ref="U44" si="146">IF(OR(T43=TRUE,T43="NA",U43="NA"),"██████████████","---")</f>
        <v>---</v>
      </c>
      <c r="V44" s="1138"/>
    </row>
    <row r="45" spans="1:22" s="33" customFormat="1" ht="41.1" customHeight="1">
      <c r="A45" s="1143">
        <f>IF(B45&lt;&gt;"", COUNTA($B$2:B45), "")</f>
        <v>22</v>
      </c>
      <c r="B45" s="1145" t="s">
        <v>4907</v>
      </c>
      <c r="C45" s="1065" t="s">
        <v>4922</v>
      </c>
      <c r="D45" s="1146" t="s">
        <v>642</v>
      </c>
      <c r="E45" s="1140" t="s">
        <v>4177</v>
      </c>
      <c r="F45" s="1140" t="s">
        <v>4648</v>
      </c>
      <c r="G45" s="1136" t="str">
        <f t="shared" ref="G45" si="147">IF(H45=1,"Closed",IF(H45=0,"NA","Opening"))</f>
        <v>Opening</v>
      </c>
      <c r="H45" s="1137">
        <f>(COUNTIF(I45:U45,TRUE)+COUNTIF(I45:U45,"NA"))/COUNTA($I$1:$U$1)</f>
        <v>7.6923076923076927E-2</v>
      </c>
      <c r="I45" s="980"/>
      <c r="J45" s="980"/>
      <c r="K45" s="980" t="b">
        <v>1</v>
      </c>
      <c r="L45" s="980" t="b">
        <v>0</v>
      </c>
      <c r="M45" s="980" t="b">
        <v>0</v>
      </c>
      <c r="N45" s="980" t="b">
        <v>0</v>
      </c>
      <c r="O45" s="980" t="b">
        <v>0</v>
      </c>
      <c r="P45" s="980" t="b">
        <v>0</v>
      </c>
      <c r="Q45" s="980"/>
      <c r="R45" s="980"/>
      <c r="S45" s="980" t="b">
        <v>0</v>
      </c>
      <c r="T45" s="980"/>
      <c r="U45" s="980"/>
      <c r="V45" s="1138"/>
    </row>
    <row r="46" spans="1:22" s="33" customFormat="1" ht="20.100000000000001" customHeight="1">
      <c r="A46" s="1143"/>
      <c r="B46" s="1145"/>
      <c r="C46" s="1065" t="s">
        <v>4923</v>
      </c>
      <c r="D46" s="1146"/>
      <c r="E46" s="1140"/>
      <c r="F46" s="1140"/>
      <c r="G46" s="1136"/>
      <c r="H46" s="1137"/>
      <c r="I46" s="100" t="str">
        <f t="shared" ref="I46" si="148">IF(OR(H45=TRUE,H45="NA",I45="NA"),"██████████████","---")</f>
        <v>---</v>
      </c>
      <c r="J46" s="100" t="str">
        <f t="shared" ref="J46:Q46" si="149">IF(OR(I45=TRUE,I45="NA",J45="NA"),"██████████████","---")</f>
        <v>---</v>
      </c>
      <c r="K46" s="100" t="str">
        <f t="shared" si="149"/>
        <v>---</v>
      </c>
      <c r="L46" s="100" t="str">
        <f t="shared" si="149"/>
        <v>██████████████</v>
      </c>
      <c r="M46" s="100" t="str">
        <f t="shared" si="149"/>
        <v>---</v>
      </c>
      <c r="N46" s="100" t="str">
        <f t="shared" si="149"/>
        <v>---</v>
      </c>
      <c r="O46" s="100" t="str">
        <f t="shared" si="149"/>
        <v>---</v>
      </c>
      <c r="P46" s="100" t="str">
        <f t="shared" si="149"/>
        <v>---</v>
      </c>
      <c r="Q46" s="100" t="str">
        <f t="shared" si="149"/>
        <v>---</v>
      </c>
      <c r="R46" s="100" t="str">
        <f t="shared" ref="R46" si="150">IF(OR(Q45=TRUE,Q45="NA",R45="NA"),"██████████████","---")</f>
        <v>---</v>
      </c>
      <c r="S46" s="100" t="str">
        <f t="shared" ref="S46" si="151">IF(OR(R45=TRUE,R45="NA",S45="NA"),"██████████████","---")</f>
        <v>---</v>
      </c>
      <c r="T46" s="100" t="str">
        <f t="shared" ref="T46" si="152">IF(OR(S45=TRUE,S45="NA",T45="NA"),"██████████████","---")</f>
        <v>---</v>
      </c>
      <c r="U46" s="100" t="str">
        <f t="shared" ref="U46" si="153">IF(OR(T45=TRUE,T45="NA",U45="NA"),"██████████████","---")</f>
        <v>---</v>
      </c>
      <c r="V46" s="1138"/>
    </row>
    <row r="47" spans="1:22" s="33" customFormat="1" ht="53.1" customHeight="1">
      <c r="A47" s="1139">
        <f>IF(B47&lt;&gt;"", COUNTA($B$2:B47), "")</f>
        <v>23</v>
      </c>
      <c r="B47" s="1141" t="s">
        <v>4908</v>
      </c>
      <c r="C47" s="1066" t="s">
        <v>4924</v>
      </c>
      <c r="D47" s="1140" t="s">
        <v>642</v>
      </c>
      <c r="E47" s="1140" t="s">
        <v>4177</v>
      </c>
      <c r="F47" s="1140" t="s">
        <v>4648</v>
      </c>
      <c r="G47" s="1136" t="str">
        <f t="shared" ref="G47" si="154">IF(H47=1,"Closed",IF(H47=0,"NA","Opening"))</f>
        <v>NA</v>
      </c>
      <c r="H47" s="1137">
        <f>(COUNTIF(I47:U47,TRUE)+COUNTIF(I47:U47,"NA"))/COUNTA($I$1:$U$1)</f>
        <v>0</v>
      </c>
      <c r="I47" s="980"/>
      <c r="J47" s="980"/>
      <c r="K47" s="980" t="b">
        <v>0</v>
      </c>
      <c r="L47" s="980" t="b">
        <v>0</v>
      </c>
      <c r="M47" s="980" t="b">
        <v>0</v>
      </c>
      <c r="N47" s="980" t="b">
        <v>0</v>
      </c>
      <c r="O47" s="980" t="b">
        <v>0</v>
      </c>
      <c r="P47" s="980" t="b">
        <v>0</v>
      </c>
      <c r="Q47" s="980"/>
      <c r="R47" s="980"/>
      <c r="S47" s="980" t="b">
        <v>0</v>
      </c>
      <c r="T47" s="980"/>
      <c r="U47" s="980"/>
      <c r="V47" s="1138"/>
    </row>
    <row r="48" spans="1:22" s="33" customFormat="1" ht="20.100000000000001" customHeight="1">
      <c r="A48" s="1139"/>
      <c r="B48" s="1141"/>
      <c r="C48" s="1064"/>
      <c r="D48" s="1140"/>
      <c r="E48" s="1140"/>
      <c r="F48" s="1140"/>
      <c r="G48" s="1136"/>
      <c r="H48" s="1137"/>
      <c r="I48" s="100" t="str">
        <f t="shared" ref="I48" si="155">IF(OR(H47=TRUE,H47="NA",I47="NA"),"██████████████","---")</f>
        <v>---</v>
      </c>
      <c r="J48" s="100" t="str">
        <f t="shared" ref="J48:Q48" si="156">IF(OR(I47=TRUE,I47="NA",J47="NA"),"██████████████","---")</f>
        <v>---</v>
      </c>
      <c r="K48" s="100" t="str">
        <f t="shared" si="156"/>
        <v>---</v>
      </c>
      <c r="L48" s="100" t="str">
        <f t="shared" si="156"/>
        <v>---</v>
      </c>
      <c r="M48" s="100" t="str">
        <f t="shared" si="156"/>
        <v>---</v>
      </c>
      <c r="N48" s="100" t="str">
        <f t="shared" si="156"/>
        <v>---</v>
      </c>
      <c r="O48" s="100" t="str">
        <f t="shared" si="156"/>
        <v>---</v>
      </c>
      <c r="P48" s="100" t="str">
        <f t="shared" si="156"/>
        <v>---</v>
      </c>
      <c r="Q48" s="100" t="str">
        <f t="shared" si="156"/>
        <v>---</v>
      </c>
      <c r="R48" s="100" t="str">
        <f t="shared" ref="R48" si="157">IF(OR(Q47=TRUE,Q47="NA",R47="NA"),"██████████████","---")</f>
        <v>---</v>
      </c>
      <c r="S48" s="100" t="str">
        <f t="shared" ref="S48" si="158">IF(OR(R47=TRUE,R47="NA",S47="NA"),"██████████████","---")</f>
        <v>---</v>
      </c>
      <c r="T48" s="100" t="str">
        <f t="shared" ref="T48" si="159">IF(OR(S47=TRUE,S47="NA",T47="NA"),"██████████████","---")</f>
        <v>---</v>
      </c>
      <c r="U48" s="100" t="str">
        <f t="shared" ref="U48" si="160">IF(OR(T47=TRUE,T47="NA",U47="NA"),"██████████████","---")</f>
        <v>---</v>
      </c>
      <c r="V48" s="1138"/>
    </row>
    <row r="49" spans="1:22" s="33" customFormat="1" ht="51.95" customHeight="1">
      <c r="A49" s="1139">
        <f>IF(B49&lt;&gt;"", COUNTA($B$2:B49), "")</f>
        <v>24</v>
      </c>
      <c r="B49" s="1141" t="s">
        <v>4909</v>
      </c>
      <c r="C49" s="1064" t="s">
        <v>4925</v>
      </c>
      <c r="D49" s="1140" t="s">
        <v>642</v>
      </c>
      <c r="E49" s="1140" t="s">
        <v>4177</v>
      </c>
      <c r="F49" s="1140" t="s">
        <v>4648</v>
      </c>
      <c r="G49" s="1136" t="str">
        <f t="shared" ref="G49" si="161">IF(H49=1,"Closed",IF(H49=0,"NA","Opening"))</f>
        <v>NA</v>
      </c>
      <c r="H49" s="1137">
        <f>(COUNTIF(I49:U49,TRUE)+COUNTIF(I49:U49,"NA"))/COUNTA($I$1:$U$1)</f>
        <v>0</v>
      </c>
      <c r="I49" s="980"/>
      <c r="J49" s="980"/>
      <c r="K49" s="980" t="b">
        <v>0</v>
      </c>
      <c r="L49" s="980" t="b">
        <v>0</v>
      </c>
      <c r="M49" s="980"/>
      <c r="N49" s="980" t="b">
        <v>0</v>
      </c>
      <c r="O49" s="980" t="b">
        <v>0</v>
      </c>
      <c r="P49" s="980" t="b">
        <v>0</v>
      </c>
      <c r="Q49" s="980"/>
      <c r="R49" s="980" t="b">
        <v>0</v>
      </c>
      <c r="S49" s="980" t="b">
        <v>0</v>
      </c>
      <c r="T49" s="980"/>
      <c r="U49" s="980"/>
      <c r="V49" s="1138"/>
    </row>
    <row r="50" spans="1:22" s="33" customFormat="1" ht="20.100000000000001" customHeight="1">
      <c r="A50" s="1139"/>
      <c r="B50" s="1141"/>
      <c r="C50" s="1064"/>
      <c r="D50" s="1140"/>
      <c r="E50" s="1140"/>
      <c r="F50" s="1140"/>
      <c r="G50" s="1136"/>
      <c r="H50" s="1137"/>
      <c r="I50" s="100" t="str">
        <f t="shared" ref="I50" si="162">IF(OR(H49=TRUE,H49="NA",I49="NA"),"██████████████","---")</f>
        <v>---</v>
      </c>
      <c r="J50" s="100" t="str">
        <f t="shared" ref="J50:Q50" si="163">IF(OR(I49=TRUE,I49="NA",J49="NA"),"██████████████","---")</f>
        <v>---</v>
      </c>
      <c r="K50" s="100" t="str">
        <f t="shared" si="163"/>
        <v>---</v>
      </c>
      <c r="L50" s="100" t="str">
        <f t="shared" si="163"/>
        <v>---</v>
      </c>
      <c r="M50" s="100" t="str">
        <f t="shared" si="163"/>
        <v>---</v>
      </c>
      <c r="N50" s="100" t="str">
        <f t="shared" si="163"/>
        <v>---</v>
      </c>
      <c r="O50" s="100" t="str">
        <f t="shared" si="163"/>
        <v>---</v>
      </c>
      <c r="P50" s="100" t="str">
        <f t="shared" si="163"/>
        <v>---</v>
      </c>
      <c r="Q50" s="100" t="str">
        <f t="shared" si="163"/>
        <v>---</v>
      </c>
      <c r="R50" s="100" t="str">
        <f t="shared" ref="R50" si="164">IF(OR(Q49=TRUE,Q49="NA",R49="NA"),"██████████████","---")</f>
        <v>---</v>
      </c>
      <c r="S50" s="100" t="str">
        <f t="shared" ref="S50" si="165">IF(OR(R49=TRUE,R49="NA",S49="NA"),"██████████████","---")</f>
        <v>---</v>
      </c>
      <c r="T50" s="100" t="str">
        <f t="shared" ref="T50" si="166">IF(OR(S49=TRUE,S49="NA",T49="NA"),"██████████████","---")</f>
        <v>---</v>
      </c>
      <c r="U50" s="100" t="str">
        <f t="shared" ref="U50" si="167">IF(OR(T49=TRUE,T49="NA",U49="NA"),"██████████████","---")</f>
        <v>---</v>
      </c>
      <c r="V50" s="1138"/>
    </row>
    <row r="51" spans="1:22" s="33" customFormat="1" ht="54" customHeight="1">
      <c r="A51" s="1139">
        <f>IF(B51&lt;&gt;"", COUNTA($B$2:B51), "")</f>
        <v>25</v>
      </c>
      <c r="B51" s="1141" t="s">
        <v>4910</v>
      </c>
      <c r="C51" s="1064" t="s">
        <v>4926</v>
      </c>
      <c r="D51" s="1140" t="s">
        <v>642</v>
      </c>
      <c r="E51" s="1140" t="s">
        <v>4177</v>
      </c>
      <c r="F51" s="1140" t="s">
        <v>4648</v>
      </c>
      <c r="G51" s="1136" t="str">
        <f t="shared" ref="G51:G57" si="168">IF(H51=1,"Closed",IF(H51=0,"NA","Opening"))</f>
        <v>NA</v>
      </c>
      <c r="H51" s="1137">
        <f>(COUNTIF(I51:U51,TRUE)+COUNTIF(I51:U51,"NA"))/COUNTA($I$1:$U$1)</f>
        <v>0</v>
      </c>
      <c r="I51" s="980"/>
      <c r="J51" s="980"/>
      <c r="K51" s="980" t="b">
        <v>0</v>
      </c>
      <c r="L51" s="980" t="b">
        <v>0</v>
      </c>
      <c r="M51" s="980"/>
      <c r="N51" s="980" t="b">
        <v>0</v>
      </c>
      <c r="O51" s="980" t="b">
        <v>0</v>
      </c>
      <c r="P51" s="980" t="b">
        <v>0</v>
      </c>
      <c r="Q51" s="980"/>
      <c r="R51" s="980"/>
      <c r="S51" s="980" t="b">
        <v>0</v>
      </c>
      <c r="T51" s="980"/>
      <c r="U51" s="980"/>
      <c r="V51" s="1138"/>
    </row>
    <row r="52" spans="1:22" s="33" customFormat="1" ht="20.100000000000001" customHeight="1">
      <c r="A52" s="1139"/>
      <c r="B52" s="1141"/>
      <c r="C52" s="1064"/>
      <c r="D52" s="1140"/>
      <c r="E52" s="1140"/>
      <c r="F52" s="1140"/>
      <c r="G52" s="1136"/>
      <c r="H52" s="1137"/>
      <c r="I52" s="100" t="str">
        <f t="shared" ref="I52" si="169">IF(OR(H51=TRUE,H51="NA",I51="NA"),"██████████████","---")</f>
        <v>---</v>
      </c>
      <c r="J52" s="100" t="str">
        <f t="shared" ref="J52:Q52" si="170">IF(OR(I51=TRUE,I51="NA",J51="NA"),"██████████████","---")</f>
        <v>---</v>
      </c>
      <c r="K52" s="100" t="str">
        <f t="shared" si="170"/>
        <v>---</v>
      </c>
      <c r="L52" s="100" t="str">
        <f t="shared" si="170"/>
        <v>---</v>
      </c>
      <c r="M52" s="100" t="str">
        <f t="shared" si="170"/>
        <v>---</v>
      </c>
      <c r="N52" s="100" t="str">
        <f t="shared" si="170"/>
        <v>---</v>
      </c>
      <c r="O52" s="100" t="str">
        <f t="shared" si="170"/>
        <v>---</v>
      </c>
      <c r="P52" s="100" t="str">
        <f t="shared" si="170"/>
        <v>---</v>
      </c>
      <c r="Q52" s="100" t="str">
        <f t="shared" si="170"/>
        <v>---</v>
      </c>
      <c r="R52" s="100" t="str">
        <f t="shared" ref="R52" si="171">IF(OR(Q51=TRUE,Q51="NA",R51="NA"),"██████████████","---")</f>
        <v>---</v>
      </c>
      <c r="S52" s="100" t="str">
        <f t="shared" ref="S52" si="172">IF(OR(R51=TRUE,R51="NA",S51="NA"),"██████████████","---")</f>
        <v>---</v>
      </c>
      <c r="T52" s="100" t="str">
        <f t="shared" ref="T52" si="173">IF(OR(S51=TRUE,S51="NA",T51="NA"),"██████████████","---")</f>
        <v>---</v>
      </c>
      <c r="U52" s="100" t="str">
        <f t="shared" ref="U52" si="174">IF(OR(T51=TRUE,T51="NA",U51="NA"),"██████████████","---")</f>
        <v>---</v>
      </c>
      <c r="V52" s="1138"/>
    </row>
    <row r="53" spans="1:22" s="33" customFormat="1" ht="30" hidden="1" customHeight="1">
      <c r="A53" s="1139">
        <f>IF(B53&lt;&gt;"", COUNTA($B$2:B53), "")</f>
        <v>26</v>
      </c>
      <c r="B53" s="1140" t="s">
        <v>4911</v>
      </c>
      <c r="C53" s="1062"/>
      <c r="D53" s="1140" t="s">
        <v>642</v>
      </c>
      <c r="E53" s="1140" t="s">
        <v>4177</v>
      </c>
      <c r="F53" s="1140" t="s">
        <v>4648</v>
      </c>
      <c r="G53" s="1136" t="str">
        <f t="shared" si="168"/>
        <v>Opening</v>
      </c>
      <c r="H53" s="1137">
        <f t="shared" ref="H53" si="175">(COUNTIF(I53:U53,TRUE)+COUNTIF(I53:U53,"NA"))/COUNTA($I$1:$U$1)</f>
        <v>7.6923076923076927E-2</v>
      </c>
      <c r="I53" s="980"/>
      <c r="J53" s="980"/>
      <c r="K53" s="980" t="b">
        <v>1</v>
      </c>
      <c r="L53" s="980" t="b">
        <v>0</v>
      </c>
      <c r="M53" s="980"/>
      <c r="N53" s="980" t="b">
        <v>0</v>
      </c>
      <c r="O53" s="980" t="b">
        <v>0</v>
      </c>
      <c r="P53" s="980" t="b">
        <v>0</v>
      </c>
      <c r="Q53" s="980" t="b">
        <v>0</v>
      </c>
      <c r="R53" s="980"/>
      <c r="S53" s="980" t="b">
        <v>0</v>
      </c>
      <c r="T53" s="980"/>
      <c r="U53" s="980"/>
      <c r="V53" s="1138"/>
    </row>
    <row r="54" spans="1:22" s="33" customFormat="1" ht="20.100000000000001" hidden="1" customHeight="1">
      <c r="A54" s="1139"/>
      <c r="B54" s="1140"/>
      <c r="C54" s="1062"/>
      <c r="D54" s="1140"/>
      <c r="E54" s="1140"/>
      <c r="F54" s="1140"/>
      <c r="G54" s="1136"/>
      <c r="H54" s="1137"/>
      <c r="I54" s="100" t="str">
        <f t="shared" ref="I54" si="176">IF(OR(H53=TRUE,H53="NA",I53="NA"),"██████████████","---")</f>
        <v>---</v>
      </c>
      <c r="J54" s="100" t="str">
        <f t="shared" ref="J54:Q54" si="177">IF(OR(I53=TRUE,I53="NA",J53="NA"),"██████████████","---")</f>
        <v>---</v>
      </c>
      <c r="K54" s="100" t="str">
        <f t="shared" si="177"/>
        <v>---</v>
      </c>
      <c r="L54" s="100" t="str">
        <f t="shared" si="177"/>
        <v>██████████████</v>
      </c>
      <c r="M54" s="100" t="str">
        <f t="shared" si="177"/>
        <v>---</v>
      </c>
      <c r="N54" s="100" t="str">
        <f t="shared" si="177"/>
        <v>---</v>
      </c>
      <c r="O54" s="100" t="str">
        <f t="shared" si="177"/>
        <v>---</v>
      </c>
      <c r="P54" s="100" t="str">
        <f t="shared" si="177"/>
        <v>---</v>
      </c>
      <c r="Q54" s="100" t="str">
        <f t="shared" si="177"/>
        <v>---</v>
      </c>
      <c r="R54" s="100" t="str">
        <f t="shared" ref="R54" si="178">IF(OR(Q53=TRUE,Q53="NA",R53="NA"),"██████████████","---")</f>
        <v>---</v>
      </c>
      <c r="S54" s="100" t="str">
        <f t="shared" ref="S54" si="179">IF(OR(R53=TRUE,R53="NA",S53="NA"),"██████████████","---")</f>
        <v>---</v>
      </c>
      <c r="T54" s="100" t="str">
        <f t="shared" ref="T54" si="180">IF(OR(S53=TRUE,S53="NA",T53="NA"),"██████████████","---")</f>
        <v>---</v>
      </c>
      <c r="U54" s="100" t="str">
        <f t="shared" ref="U54" si="181">IF(OR(T53=TRUE,T53="NA",U53="NA"),"██████████████","---")</f>
        <v>---</v>
      </c>
      <c r="V54" s="1138" t="str">
        <f>IF(OR(U53=TRUE,V53="NA"),"██████████████","---")</f>
        <v>---</v>
      </c>
    </row>
    <row r="55" spans="1:22" s="33" customFormat="1" ht="54" customHeight="1">
      <c r="A55" s="1139">
        <f>IF(B55&lt;&gt;"", COUNTA($B$2:B55), "")</f>
        <v>27</v>
      </c>
      <c r="B55" s="1141" t="s">
        <v>4912</v>
      </c>
      <c r="C55" s="1064" t="s">
        <v>4927</v>
      </c>
      <c r="D55" s="1140" t="s">
        <v>642</v>
      </c>
      <c r="E55" s="1140" t="s">
        <v>4177</v>
      </c>
      <c r="F55" s="1140" t="s">
        <v>4648</v>
      </c>
      <c r="G55" s="1136" t="str">
        <f t="shared" si="168"/>
        <v>NA</v>
      </c>
      <c r="H55" s="1137">
        <f t="shared" ref="H55:H57" si="182">(COUNTIF(I55:U55,TRUE)+COUNTIF(I55:U55,"NA"))/COUNTA($I$1:$U$1)</f>
        <v>0</v>
      </c>
      <c r="I55" s="980"/>
      <c r="J55" s="980"/>
      <c r="K55" s="980" t="b">
        <v>0</v>
      </c>
      <c r="L55" s="980" t="b">
        <v>0</v>
      </c>
      <c r="M55" s="980"/>
      <c r="N55" s="980" t="b">
        <v>0</v>
      </c>
      <c r="O55" s="980" t="b">
        <v>0</v>
      </c>
      <c r="P55" s="980" t="b">
        <v>0</v>
      </c>
      <c r="Q55" s="980"/>
      <c r="R55" s="980"/>
      <c r="S55" s="980" t="b">
        <v>0</v>
      </c>
      <c r="T55" s="980"/>
      <c r="U55" s="980"/>
      <c r="V55" s="1138"/>
    </row>
    <row r="56" spans="1:22" s="33" customFormat="1" ht="20.100000000000001" customHeight="1">
      <c r="A56" s="1139"/>
      <c r="B56" s="1141"/>
      <c r="C56" s="1064"/>
      <c r="D56" s="1140"/>
      <c r="E56" s="1140"/>
      <c r="F56" s="1140"/>
      <c r="G56" s="1136"/>
      <c r="H56" s="1137"/>
      <c r="I56" s="100" t="str">
        <f t="shared" ref="I56" si="183">IF(OR(H55=TRUE,H55="NA",I55="NA"),"██████████████","---")</f>
        <v>---</v>
      </c>
      <c r="J56" s="100" t="str">
        <f t="shared" ref="J56:Q56" si="184">IF(OR(I55=TRUE,I55="NA",J55="NA"),"██████████████","---")</f>
        <v>---</v>
      </c>
      <c r="K56" s="100" t="str">
        <f t="shared" si="184"/>
        <v>---</v>
      </c>
      <c r="L56" s="100" t="str">
        <f t="shared" si="184"/>
        <v>---</v>
      </c>
      <c r="M56" s="100" t="str">
        <f t="shared" si="184"/>
        <v>---</v>
      </c>
      <c r="N56" s="100" t="str">
        <f t="shared" si="184"/>
        <v>---</v>
      </c>
      <c r="O56" s="100" t="str">
        <f t="shared" si="184"/>
        <v>---</v>
      </c>
      <c r="P56" s="100" t="str">
        <f t="shared" si="184"/>
        <v>---</v>
      </c>
      <c r="Q56" s="100" t="str">
        <f t="shared" si="184"/>
        <v>---</v>
      </c>
      <c r="R56" s="100" t="str">
        <f t="shared" ref="R56" si="185">IF(OR(Q55=TRUE,Q55="NA",R55="NA"),"██████████████","---")</f>
        <v>---</v>
      </c>
      <c r="S56" s="100" t="str">
        <f t="shared" ref="S56" si="186">IF(OR(R55=TRUE,R55="NA",S55="NA"),"██████████████","---")</f>
        <v>---</v>
      </c>
      <c r="T56" s="100" t="str">
        <f t="shared" ref="T56" si="187">IF(OR(S55=TRUE,S55="NA",T55="NA"),"██████████████","---")</f>
        <v>---</v>
      </c>
      <c r="U56" s="100" t="str">
        <f t="shared" ref="U56" si="188">IF(OR(T55=TRUE,T55="NA",U55="NA"),"██████████████","---")</f>
        <v>---</v>
      </c>
      <c r="V56" s="1138"/>
    </row>
    <row r="57" spans="1:22" s="33" customFormat="1" ht="30" hidden="1" customHeight="1">
      <c r="A57" s="1139">
        <f>IF(B57&lt;&gt;"", COUNTA($B$2:B57), "")</f>
        <v>28</v>
      </c>
      <c r="B57" s="1140" t="s">
        <v>4913</v>
      </c>
      <c r="C57" s="1062"/>
      <c r="D57" s="1140" t="s">
        <v>642</v>
      </c>
      <c r="E57" s="1140" t="s">
        <v>4177</v>
      </c>
      <c r="F57" s="1140" t="s">
        <v>4648</v>
      </c>
      <c r="G57" s="1136" t="str">
        <f t="shared" si="168"/>
        <v>Opening</v>
      </c>
      <c r="H57" s="1137">
        <f t="shared" si="182"/>
        <v>7.6923076923076927E-2</v>
      </c>
      <c r="I57" s="980"/>
      <c r="J57" s="980"/>
      <c r="K57" s="980" t="b">
        <v>1</v>
      </c>
      <c r="L57" s="980" t="b">
        <v>0</v>
      </c>
      <c r="M57" s="980"/>
      <c r="N57" s="980" t="b">
        <v>0</v>
      </c>
      <c r="O57" s="980" t="b">
        <v>0</v>
      </c>
      <c r="P57" s="980" t="b">
        <v>0</v>
      </c>
      <c r="Q57" s="980"/>
      <c r="R57" s="980"/>
      <c r="S57" s="980" t="b">
        <v>0</v>
      </c>
      <c r="T57" s="980"/>
      <c r="U57" s="980"/>
      <c r="V57" s="1138"/>
    </row>
    <row r="58" spans="1:22" s="33" customFormat="1" ht="20.100000000000001" hidden="1" customHeight="1">
      <c r="A58" s="1139"/>
      <c r="B58" s="1140"/>
      <c r="C58" s="1062"/>
      <c r="D58" s="1140"/>
      <c r="E58" s="1140"/>
      <c r="F58" s="1140"/>
      <c r="G58" s="1136"/>
      <c r="H58" s="1137"/>
      <c r="I58" s="100" t="str">
        <f t="shared" ref="I58" si="189">IF(OR(H57=TRUE,H57="NA",I57="NA"),"██████████████","---")</f>
        <v>---</v>
      </c>
      <c r="J58" s="100" t="str">
        <f t="shared" ref="J58" si="190">IF(OR(I57=TRUE,I57="NA",J57="NA"),"██████████████","---")</f>
        <v>---</v>
      </c>
      <c r="K58" s="100" t="str">
        <f t="shared" ref="K58" si="191">IF(OR(J57=TRUE,J57="NA",K57="NA"),"██████████████","---")</f>
        <v>---</v>
      </c>
      <c r="L58" s="100" t="str">
        <f t="shared" ref="L58" si="192">IF(OR(K57=TRUE,K57="NA",L57="NA"),"██████████████","---")</f>
        <v>██████████████</v>
      </c>
      <c r="M58" s="100" t="str">
        <f t="shared" ref="M58" si="193">IF(OR(L57=TRUE,L57="NA",M57="NA"),"██████████████","---")</f>
        <v>---</v>
      </c>
      <c r="N58" s="100" t="str">
        <f t="shared" ref="N58" si="194">IF(OR(M57=TRUE,M57="NA",N57="NA"),"██████████████","---")</f>
        <v>---</v>
      </c>
      <c r="O58" s="100" t="str">
        <f t="shared" ref="O58" si="195">IF(OR(N57=TRUE,N57="NA",O57="NA"),"██████████████","---")</f>
        <v>---</v>
      </c>
      <c r="P58" s="100" t="str">
        <f t="shared" ref="P58" si="196">IF(OR(O57=TRUE,O57="NA",P57="NA"),"██████████████","---")</f>
        <v>---</v>
      </c>
      <c r="Q58" s="100" t="str">
        <f t="shared" ref="Q58" si="197">IF(OR(P57=TRUE,P57="NA",Q57="NA"),"██████████████","---")</f>
        <v>---</v>
      </c>
      <c r="R58" s="100" t="str">
        <f t="shared" ref="R58" si="198">IF(OR(Q57=TRUE,Q57="NA",R57="NA"),"██████████████","---")</f>
        <v>---</v>
      </c>
      <c r="S58" s="100" t="str">
        <f t="shared" ref="S58" si="199">IF(OR(R57=TRUE,R57="NA",S57="NA"),"██████████████","---")</f>
        <v>---</v>
      </c>
      <c r="T58" s="100" t="str">
        <f t="shared" ref="T58" si="200">IF(OR(S57=TRUE,S57="NA",T57="NA"),"██████████████","---")</f>
        <v>---</v>
      </c>
      <c r="U58" s="100" t="str">
        <f t="shared" ref="U58" si="201">IF(OR(T57=TRUE,T57="NA",U57="NA"),"██████████████","---")</f>
        <v>---</v>
      </c>
      <c r="V58" s="1138"/>
    </row>
  </sheetData>
  <autoFilter ref="B1:V58" xr:uid="{8200549F-C809-4F0B-B939-78C479D2CEAE}">
    <filterColumn colId="1">
      <colorFilter dxfId="853"/>
    </filterColumn>
  </autoFilter>
  <mergeCells count="225">
    <mergeCell ref="V3:V4"/>
    <mergeCell ref="B5:B6"/>
    <mergeCell ref="D5:D6"/>
    <mergeCell ref="E5:E6"/>
    <mergeCell ref="F5:F6"/>
    <mergeCell ref="G5:G6"/>
    <mergeCell ref="H5:H6"/>
    <mergeCell ref="V5:V6"/>
    <mergeCell ref="B7:B8"/>
    <mergeCell ref="D7:D8"/>
    <mergeCell ref="E7:E8"/>
    <mergeCell ref="F7:F8"/>
    <mergeCell ref="G7:G8"/>
    <mergeCell ref="H7:H8"/>
    <mergeCell ref="V7:V8"/>
    <mergeCell ref="B3:B4"/>
    <mergeCell ref="D3:D4"/>
    <mergeCell ref="E3:E4"/>
    <mergeCell ref="F3:F4"/>
    <mergeCell ref="G3:G4"/>
    <mergeCell ref="H3:H4"/>
    <mergeCell ref="V9:V10"/>
    <mergeCell ref="F13:F14"/>
    <mergeCell ref="B11:B12"/>
    <mergeCell ref="B13:B14"/>
    <mergeCell ref="B9:B10"/>
    <mergeCell ref="G11:G12"/>
    <mergeCell ref="G13:G14"/>
    <mergeCell ref="H11:H12"/>
    <mergeCell ref="H13:H14"/>
    <mergeCell ref="E11:E12"/>
    <mergeCell ref="D11:D12"/>
    <mergeCell ref="D13:D14"/>
    <mergeCell ref="E13:E14"/>
    <mergeCell ref="F11:F12"/>
    <mergeCell ref="H9:H10"/>
    <mergeCell ref="G9:G10"/>
    <mergeCell ref="F9:F10"/>
    <mergeCell ref="E9:E10"/>
    <mergeCell ref="D9:D10"/>
    <mergeCell ref="E17:E18"/>
    <mergeCell ref="F17:F18"/>
    <mergeCell ref="G17:G18"/>
    <mergeCell ref="H17:H18"/>
    <mergeCell ref="E19:E20"/>
    <mergeCell ref="F19:F20"/>
    <mergeCell ref="G19:G20"/>
    <mergeCell ref="D15:D16"/>
    <mergeCell ref="D17:D18"/>
    <mergeCell ref="D19:D20"/>
    <mergeCell ref="F15:F16"/>
    <mergeCell ref="G15:G16"/>
    <mergeCell ref="H15:H16"/>
    <mergeCell ref="D23:D24"/>
    <mergeCell ref="D27:D28"/>
    <mergeCell ref="B15:B16"/>
    <mergeCell ref="B17:B18"/>
    <mergeCell ref="B19:B20"/>
    <mergeCell ref="E15:E16"/>
    <mergeCell ref="H19:H20"/>
    <mergeCell ref="D21:D22"/>
    <mergeCell ref="E21:E22"/>
    <mergeCell ref="F21:F22"/>
    <mergeCell ref="G21:G22"/>
    <mergeCell ref="H21:H22"/>
    <mergeCell ref="B21:B22"/>
    <mergeCell ref="B23:B24"/>
    <mergeCell ref="B25:B26"/>
    <mergeCell ref="E23:E24"/>
    <mergeCell ref="F23:F24"/>
    <mergeCell ref="G23:G24"/>
    <mergeCell ref="H23:H24"/>
    <mergeCell ref="D25:D26"/>
    <mergeCell ref="E25:E26"/>
    <mergeCell ref="F25:F26"/>
    <mergeCell ref="G25:G26"/>
    <mergeCell ref="H25:H26"/>
    <mergeCell ref="E27:E28"/>
    <mergeCell ref="F27:F28"/>
    <mergeCell ref="G27:G28"/>
    <mergeCell ref="H27:H28"/>
    <mergeCell ref="B29:B30"/>
    <mergeCell ref="D29:D30"/>
    <mergeCell ref="E29:E30"/>
    <mergeCell ref="F29:F30"/>
    <mergeCell ref="G29:G30"/>
    <mergeCell ref="H29:H30"/>
    <mergeCell ref="B27:B28"/>
    <mergeCell ref="H31:H32"/>
    <mergeCell ref="B33:B34"/>
    <mergeCell ref="D33:D34"/>
    <mergeCell ref="E33:E34"/>
    <mergeCell ref="F33:F34"/>
    <mergeCell ref="G33:G34"/>
    <mergeCell ref="H33:H34"/>
    <mergeCell ref="B31:B32"/>
    <mergeCell ref="D31:D32"/>
    <mergeCell ref="E31:E32"/>
    <mergeCell ref="F31:F32"/>
    <mergeCell ref="G31:G32"/>
    <mergeCell ref="H35:H36"/>
    <mergeCell ref="B37:B38"/>
    <mergeCell ref="D37:D38"/>
    <mergeCell ref="E37:E38"/>
    <mergeCell ref="F37:F38"/>
    <mergeCell ref="G37:G38"/>
    <mergeCell ref="H37:H38"/>
    <mergeCell ref="B35:B36"/>
    <mergeCell ref="D35:D36"/>
    <mergeCell ref="E35:E36"/>
    <mergeCell ref="F35:F36"/>
    <mergeCell ref="G35:G36"/>
    <mergeCell ref="B43:B44"/>
    <mergeCell ref="D43:D44"/>
    <mergeCell ref="E43:E44"/>
    <mergeCell ref="F43:F44"/>
    <mergeCell ref="G43:G44"/>
    <mergeCell ref="H39:H40"/>
    <mergeCell ref="B41:B42"/>
    <mergeCell ref="D41:D42"/>
    <mergeCell ref="E41:E42"/>
    <mergeCell ref="F41:F42"/>
    <mergeCell ref="G41:G42"/>
    <mergeCell ref="H41:H42"/>
    <mergeCell ref="B39:B40"/>
    <mergeCell ref="D39:D40"/>
    <mergeCell ref="E39:E40"/>
    <mergeCell ref="F39:F40"/>
    <mergeCell ref="G39:G40"/>
    <mergeCell ref="A3:A4"/>
    <mergeCell ref="A5:A6"/>
    <mergeCell ref="A7:A8"/>
    <mergeCell ref="A9:A10"/>
    <mergeCell ref="A11:A12"/>
    <mergeCell ref="H49:H50"/>
    <mergeCell ref="B49:B50"/>
    <mergeCell ref="D49:D50"/>
    <mergeCell ref="E49:E50"/>
    <mergeCell ref="F49:F50"/>
    <mergeCell ref="G49:G50"/>
    <mergeCell ref="H45:H46"/>
    <mergeCell ref="B47:B48"/>
    <mergeCell ref="D47:D48"/>
    <mergeCell ref="E47:E48"/>
    <mergeCell ref="F47:F48"/>
    <mergeCell ref="G47:G48"/>
    <mergeCell ref="H47:H48"/>
    <mergeCell ref="B45:B46"/>
    <mergeCell ref="D45:D46"/>
    <mergeCell ref="E45:E46"/>
    <mergeCell ref="F45:F46"/>
    <mergeCell ref="G45:G46"/>
    <mergeCell ref="H43:H44"/>
    <mergeCell ref="A39:A40"/>
    <mergeCell ref="A41:A42"/>
    <mergeCell ref="A23:A24"/>
    <mergeCell ref="A25:A26"/>
    <mergeCell ref="A27:A28"/>
    <mergeCell ref="A29:A30"/>
    <mergeCell ref="A31:A32"/>
    <mergeCell ref="A13:A14"/>
    <mergeCell ref="A15:A16"/>
    <mergeCell ref="A17:A18"/>
    <mergeCell ref="A19:A20"/>
    <mergeCell ref="A21:A22"/>
    <mergeCell ref="V35:V36"/>
    <mergeCell ref="V37:V38"/>
    <mergeCell ref="V39:V40"/>
    <mergeCell ref="V41:V42"/>
    <mergeCell ref="V43:V44"/>
    <mergeCell ref="A51:A52"/>
    <mergeCell ref="A2:H2"/>
    <mergeCell ref="V11:V12"/>
    <mergeCell ref="V13:V14"/>
    <mergeCell ref="V15:V16"/>
    <mergeCell ref="V17:V18"/>
    <mergeCell ref="V19:V20"/>
    <mergeCell ref="V21:V22"/>
    <mergeCell ref="V23:V24"/>
    <mergeCell ref="V25:V26"/>
    <mergeCell ref="V27:V28"/>
    <mergeCell ref="V29:V30"/>
    <mergeCell ref="V31:V32"/>
    <mergeCell ref="V33:V34"/>
    <mergeCell ref="A43:A44"/>
    <mergeCell ref="A45:A46"/>
    <mergeCell ref="A33:A34"/>
    <mergeCell ref="A35:A36"/>
    <mergeCell ref="A37:A38"/>
    <mergeCell ref="V51:V52"/>
    <mergeCell ref="A53:A54"/>
    <mergeCell ref="A55:A56"/>
    <mergeCell ref="D53:D54"/>
    <mergeCell ref="E53:E54"/>
    <mergeCell ref="G53:G54"/>
    <mergeCell ref="H53:H54"/>
    <mergeCell ref="V45:V46"/>
    <mergeCell ref="V47:V48"/>
    <mergeCell ref="V49:V50"/>
    <mergeCell ref="A47:A48"/>
    <mergeCell ref="A49:A50"/>
    <mergeCell ref="B51:B52"/>
    <mergeCell ref="D51:D52"/>
    <mergeCell ref="E51:E52"/>
    <mergeCell ref="F51:F52"/>
    <mergeCell ref="G51:G52"/>
    <mergeCell ref="H51:H52"/>
    <mergeCell ref="G57:G58"/>
    <mergeCell ref="H57:H58"/>
    <mergeCell ref="V57:V58"/>
    <mergeCell ref="A57:A58"/>
    <mergeCell ref="B57:B58"/>
    <mergeCell ref="D57:D58"/>
    <mergeCell ref="E57:E58"/>
    <mergeCell ref="F57:F58"/>
    <mergeCell ref="F53:F54"/>
    <mergeCell ref="V53:V54"/>
    <mergeCell ref="D55:D56"/>
    <mergeCell ref="E55:E56"/>
    <mergeCell ref="F55:F56"/>
    <mergeCell ref="G55:G56"/>
    <mergeCell ref="H55:H56"/>
    <mergeCell ref="V55:V56"/>
    <mergeCell ref="B53:B54"/>
    <mergeCell ref="B55:B56"/>
  </mergeCells>
  <phoneticPr fontId="43" type="noConversion"/>
  <conditionalFormatting sqref="G1 G3:G1048576">
    <cfRule type="cellIs" dxfId="852" priority="1084" operator="equal">
      <formula>"Closed"</formula>
    </cfRule>
    <cfRule type="cellIs" dxfId="851" priority="1085" operator="equal">
      <formula>"Opening"</formula>
    </cfRule>
  </conditionalFormatting>
  <conditionalFormatting sqref="I4 I11:L11 I13:L13 I6 I8 I10 I12 I14 I16 I18 I20 I22 I24 I26 I28 I30 I32 I34 I36 I38 I40 I42 I44 I46 I48 I50 I52 I54 I56">
    <cfRule type="expression" dxfId="850" priority="1049">
      <formula>I3=TRUE</formula>
    </cfRule>
    <cfRule type="expression" dxfId="849" priority="1057">
      <formula>AND(H3=TRUE,I3=FALSE)</formula>
    </cfRule>
  </conditionalFormatting>
  <conditionalFormatting sqref="M13:P13 M17:P17 M55:P55 M19:P19 M21:P21 M23:P23 M25:P25 M27:P27">
    <cfRule type="expression" dxfId="848" priority="2525">
      <formula>M12=TRUE</formula>
    </cfRule>
    <cfRule type="expression" dxfId="847" priority="2526">
      <formula>AND(K12=TRUE,M12=FALSE)</formula>
    </cfRule>
  </conditionalFormatting>
  <conditionalFormatting sqref="N11:P11">
    <cfRule type="expression" dxfId="846" priority="1040">
      <formula>N10=TRUE</formula>
    </cfRule>
    <cfRule type="expression" dxfId="845" priority="1041">
      <formula>AND(L10=TRUE,N10=FALSE)</formula>
    </cfRule>
  </conditionalFormatting>
  <conditionalFormatting sqref="I9:L9">
    <cfRule type="expression" dxfId="844" priority="2527">
      <formula>I2=TRUE</formula>
    </cfRule>
    <cfRule type="expression" dxfId="843" priority="2528">
      <formula>AND(H2=TRUE,I2=FALSE)</formula>
    </cfRule>
  </conditionalFormatting>
  <conditionalFormatting sqref="N9:P9">
    <cfRule type="expression" dxfId="842" priority="2531">
      <formula>N2=TRUE</formula>
    </cfRule>
    <cfRule type="expression" dxfId="841" priority="2532">
      <formula>AND(L2=TRUE,N2=FALSE)</formula>
    </cfRule>
  </conditionalFormatting>
  <conditionalFormatting sqref="I5:L5 I3:L3 I7:L7">
    <cfRule type="expression" dxfId="840" priority="1002">
      <formula>I1048559=TRUE</formula>
    </cfRule>
    <cfRule type="expression" dxfId="839" priority="1003">
      <formula>AND(H1048559=TRUE,I1048559=FALSE)</formula>
    </cfRule>
  </conditionalFormatting>
  <conditionalFormatting sqref="M3:Q3 M5:Q5 M7:R7">
    <cfRule type="expression" dxfId="838" priority="1004">
      <formula>M1048559=TRUE</formula>
    </cfRule>
    <cfRule type="expression" dxfId="837" priority="1005">
      <formula>AND(K1048559=TRUE,M1048559=FALSE)</formula>
    </cfRule>
  </conditionalFormatting>
  <conditionalFormatting sqref="I15:L15 I17:L17 I19:L19 I21:L21 I23:L23 I25:L25 I27:L27">
    <cfRule type="expression" dxfId="836" priority="948">
      <formula>I14=TRUE</formula>
    </cfRule>
    <cfRule type="expression" dxfId="835" priority="949">
      <formula>AND(H14=TRUE,I14=FALSE)</formula>
    </cfRule>
  </conditionalFormatting>
  <conditionalFormatting sqref="M15:P15">
    <cfRule type="expression" dxfId="834" priority="946">
      <formula>M14=TRUE</formula>
    </cfRule>
    <cfRule type="expression" dxfId="833" priority="947">
      <formula>AND(K14=TRUE,M14=FALSE)</formula>
    </cfRule>
  </conditionalFormatting>
  <conditionalFormatting sqref="I29:L29">
    <cfRule type="expression" dxfId="832" priority="932">
      <formula>I28=TRUE</formula>
    </cfRule>
    <cfRule type="expression" dxfId="831" priority="933">
      <formula>AND(H28=TRUE,I28=FALSE)</formula>
    </cfRule>
  </conditionalFormatting>
  <conditionalFormatting sqref="M29:P29">
    <cfRule type="expression" dxfId="830" priority="930">
      <formula>M28=TRUE</formula>
    </cfRule>
    <cfRule type="expression" dxfId="829" priority="931">
      <formula>AND(K28=TRUE,M28=FALSE)</formula>
    </cfRule>
  </conditionalFormatting>
  <conditionalFormatting sqref="J31 L31">
    <cfRule type="expression" dxfId="828" priority="900">
      <formula>J30=TRUE</formula>
    </cfRule>
    <cfRule type="expression" dxfId="827" priority="901">
      <formula>AND(I30=TRUE,J30=FALSE)</formula>
    </cfRule>
  </conditionalFormatting>
  <conditionalFormatting sqref="M31:P31">
    <cfRule type="expression" dxfId="826" priority="898">
      <formula>M30=TRUE</formula>
    </cfRule>
    <cfRule type="expression" dxfId="825" priority="899">
      <formula>AND(K30=TRUE,M30=FALSE)</formula>
    </cfRule>
  </conditionalFormatting>
  <conditionalFormatting sqref="I33:J33 L33">
    <cfRule type="expression" dxfId="824" priority="884">
      <formula>I32=TRUE</formula>
    </cfRule>
    <cfRule type="expression" dxfId="823" priority="885">
      <formula>AND(H32=TRUE,I32=FALSE)</formula>
    </cfRule>
  </conditionalFormatting>
  <conditionalFormatting sqref="M33:P33">
    <cfRule type="expression" dxfId="822" priority="882">
      <formula>M32=TRUE</formula>
    </cfRule>
    <cfRule type="expression" dxfId="821" priority="883">
      <formula>AND(K32=TRUE,M32=FALSE)</formula>
    </cfRule>
  </conditionalFormatting>
  <conditionalFormatting sqref="I35:J35 L35">
    <cfRule type="expression" dxfId="820" priority="868">
      <formula>I34=TRUE</formula>
    </cfRule>
    <cfRule type="expression" dxfId="819" priority="869">
      <formula>AND(H34=TRUE,I34=FALSE)</formula>
    </cfRule>
  </conditionalFormatting>
  <conditionalFormatting sqref="M35:P35">
    <cfRule type="expression" dxfId="818" priority="866">
      <formula>M34=TRUE</formula>
    </cfRule>
    <cfRule type="expression" dxfId="817" priority="867">
      <formula>AND(K34=TRUE,M34=FALSE)</formula>
    </cfRule>
  </conditionalFormatting>
  <conditionalFormatting sqref="I37:J37 L37">
    <cfRule type="expression" dxfId="816" priority="852">
      <formula>I36=TRUE</formula>
    </cfRule>
    <cfRule type="expression" dxfId="815" priority="853">
      <formula>AND(H36=TRUE,I36=FALSE)</formula>
    </cfRule>
  </conditionalFormatting>
  <conditionalFormatting sqref="M37:P37">
    <cfRule type="expression" dxfId="814" priority="850">
      <formula>M36=TRUE</formula>
    </cfRule>
    <cfRule type="expression" dxfId="813" priority="851">
      <formula>AND(K36=TRUE,M36=FALSE)</formula>
    </cfRule>
  </conditionalFormatting>
  <conditionalFormatting sqref="I39:J39 L39">
    <cfRule type="expression" dxfId="812" priority="836">
      <formula>I38=TRUE</formula>
    </cfRule>
    <cfRule type="expression" dxfId="811" priority="837">
      <formula>AND(H38=TRUE,I38=FALSE)</formula>
    </cfRule>
  </conditionalFormatting>
  <conditionalFormatting sqref="M39:P39">
    <cfRule type="expression" dxfId="810" priority="834">
      <formula>M38=TRUE</formula>
    </cfRule>
    <cfRule type="expression" dxfId="809" priority="835">
      <formula>AND(K38=TRUE,M38=FALSE)</formula>
    </cfRule>
  </conditionalFormatting>
  <conditionalFormatting sqref="I41:J41 L41">
    <cfRule type="expression" dxfId="808" priority="820">
      <formula>I40=TRUE</formula>
    </cfRule>
    <cfRule type="expression" dxfId="807" priority="821">
      <formula>AND(H40=TRUE,I40=FALSE)</formula>
    </cfRule>
  </conditionalFormatting>
  <conditionalFormatting sqref="N41:O41">
    <cfRule type="expression" dxfId="806" priority="818">
      <formula>N40=TRUE</formula>
    </cfRule>
    <cfRule type="expression" dxfId="805" priority="819">
      <formula>AND(L40=TRUE,N40=FALSE)</formula>
    </cfRule>
  </conditionalFormatting>
  <conditionalFormatting sqref="I43:J43 L43">
    <cfRule type="expression" dxfId="804" priority="804">
      <formula>I42=TRUE</formula>
    </cfRule>
    <cfRule type="expression" dxfId="803" priority="805">
      <formula>AND(H42=TRUE,I42=FALSE)</formula>
    </cfRule>
  </conditionalFormatting>
  <conditionalFormatting sqref="M43:P43">
    <cfRule type="expression" dxfId="802" priority="802">
      <formula>M42=TRUE</formula>
    </cfRule>
    <cfRule type="expression" dxfId="801" priority="803">
      <formula>AND(K42=TRUE,M42=FALSE)</formula>
    </cfRule>
  </conditionalFormatting>
  <conditionalFormatting sqref="I45:J45 Q45:U45 L45">
    <cfRule type="expression" dxfId="800" priority="772">
      <formula>#REF!=TRUE</formula>
    </cfRule>
    <cfRule type="expression" dxfId="799" priority="773">
      <formula>AND(#REF!=TRUE,#REF!=FALSE)</formula>
    </cfRule>
  </conditionalFormatting>
  <conditionalFormatting sqref="M45:P45">
    <cfRule type="expression" dxfId="798" priority="770">
      <formula>#REF!=TRUE</formula>
    </cfRule>
    <cfRule type="expression" dxfId="797" priority="771">
      <formula>AND(#REF!=TRUE,#REF!=FALSE)</formula>
    </cfRule>
  </conditionalFormatting>
  <conditionalFormatting sqref="I47:J47 L47">
    <cfRule type="expression" dxfId="796" priority="756">
      <formula>I46=TRUE</formula>
    </cfRule>
    <cfRule type="expression" dxfId="795" priority="757">
      <formula>AND(H46=TRUE,I46=FALSE)</formula>
    </cfRule>
  </conditionalFormatting>
  <conditionalFormatting sqref="M47:P47">
    <cfRule type="expression" dxfId="794" priority="754">
      <formula>M46=TRUE</formula>
    </cfRule>
    <cfRule type="expression" dxfId="793" priority="755">
      <formula>AND(K46=TRUE,M46=FALSE)</formula>
    </cfRule>
  </conditionalFormatting>
  <conditionalFormatting sqref="I49:J49 L49">
    <cfRule type="expression" dxfId="792" priority="740">
      <formula>I48=TRUE</formula>
    </cfRule>
    <cfRule type="expression" dxfId="791" priority="741">
      <formula>AND(H48=TRUE,I48=FALSE)</formula>
    </cfRule>
  </conditionalFormatting>
  <conditionalFormatting sqref="M49:P49">
    <cfRule type="expression" dxfId="790" priority="738">
      <formula>M48=TRUE</formula>
    </cfRule>
    <cfRule type="expression" dxfId="789" priority="739">
      <formula>AND(K48=TRUE,M48=FALSE)</formula>
    </cfRule>
  </conditionalFormatting>
  <conditionalFormatting sqref="Q51:U51">
    <cfRule type="expression" dxfId="788" priority="708">
      <formula>#REF!=TRUE</formula>
    </cfRule>
    <cfRule type="expression" dxfId="787" priority="709">
      <formula>AND(#REF!=TRUE,#REF!=FALSE)</formula>
    </cfRule>
  </conditionalFormatting>
  <conditionalFormatting sqref="I51:L51">
    <cfRule type="expression" dxfId="786" priority="692">
      <formula>#REF!=TRUE</formula>
    </cfRule>
    <cfRule type="expression" dxfId="785" priority="693">
      <formula>AND(#REF!=TRUE,#REF!=FALSE)</formula>
    </cfRule>
  </conditionalFormatting>
  <conditionalFormatting sqref="M51:P51">
    <cfRule type="expression" dxfId="784" priority="690">
      <formula>#REF!=TRUE</formula>
    </cfRule>
    <cfRule type="expression" dxfId="783" priority="691">
      <formula>AND(#REF!=TRUE,#REF!=FALSE)</formula>
    </cfRule>
  </conditionalFormatting>
  <conditionalFormatting sqref="K53:L53 K55:L55">
    <cfRule type="expression" dxfId="782" priority="394">
      <formula>K52=TRUE</formula>
    </cfRule>
    <cfRule type="expression" dxfId="781" priority="395">
      <formula>AND(J52=TRUE,K52=FALSE)</formula>
    </cfRule>
  </conditionalFormatting>
  <conditionalFormatting sqref="M53:P53">
    <cfRule type="expression" dxfId="780" priority="392">
      <formula>M52=TRUE</formula>
    </cfRule>
    <cfRule type="expression" dxfId="779" priority="393">
      <formula>AND(K52=TRUE,M52=FALSE)</formula>
    </cfRule>
  </conditionalFormatting>
  <conditionalFormatting sqref="I53:J53">
    <cfRule type="expression" dxfId="778" priority="378">
      <formula>I52=TRUE</formula>
    </cfRule>
    <cfRule type="expression" dxfId="777" priority="379">
      <formula>AND(H52=TRUE,I52=FALSE)</formula>
    </cfRule>
  </conditionalFormatting>
  <conditionalFormatting sqref="I55:J55">
    <cfRule type="expression" dxfId="776" priority="370">
      <formula>I54=TRUE</formula>
    </cfRule>
    <cfRule type="expression" dxfId="775" priority="371">
      <formula>AND(H54=TRUE,I54=FALSE)</formula>
    </cfRule>
  </conditionalFormatting>
  <conditionalFormatting sqref="J4:U4 J6:U6 J8:U8 J10:U10 J12:U12 J14:U14 J16:U16 J18:U18 J20:U20 J22:U22 J24:U24 J26:U26 J28:U28 J30:U30 J32:U32 J34:U34 J36:U36 J38:U38 J40:U40 J42:U42 J44:U44 J46:U46 J48:U48 J50:U50 J52:U52 J54:U54 J56:U56">
    <cfRule type="expression" dxfId="774" priority="2535">
      <formula>J3=TRUE</formula>
    </cfRule>
    <cfRule type="expression" dxfId="773" priority="2536">
      <formula>AND(E3=TRUE,J3=FALSE)</formula>
    </cfRule>
  </conditionalFormatting>
  <conditionalFormatting sqref="S11:U11 Q13:U13 Q15:U15 Q17:U17 Q19:U19 Q21:U21 Q23:U23 Q25:U25 Q27:U27 Q29:U29 Q31:U31 Q33:U33 Q35:U35 Q37:U37 Q39:U39 S41:U41 Q43:U43 Q47:U47 Q53:U53 Q49:U49 Q55:U55">
    <cfRule type="expression" dxfId="772" priority="3087">
      <formula>Q10=TRUE</formula>
    </cfRule>
    <cfRule type="expression" dxfId="771" priority="3088">
      <formula>AND(K10=TRUE,Q10=FALSE)</formula>
    </cfRule>
  </conditionalFormatting>
  <conditionalFormatting sqref="Q9:U9">
    <cfRule type="expression" dxfId="770" priority="3139">
      <formula>Q2=TRUE</formula>
    </cfRule>
    <cfRule type="expression" dxfId="769" priority="3140">
      <formula>AND(K2=TRUE,Q2=FALSE)</formula>
    </cfRule>
  </conditionalFormatting>
  <conditionalFormatting sqref="S7:U7 R5:U5 S3:U3">
    <cfRule type="expression" dxfId="768" priority="3141">
      <formula>R1048559=TRUE</formula>
    </cfRule>
    <cfRule type="expression" dxfId="767" priority="3142">
      <formula>AND(L1048559=TRUE,R1048559=FALSE)</formula>
    </cfRule>
  </conditionalFormatting>
  <conditionalFormatting sqref="M9">
    <cfRule type="expression" dxfId="766" priority="117">
      <formula>M1048565=TRUE</formula>
    </cfRule>
    <cfRule type="expression" dxfId="765" priority="118">
      <formula>AND(K1048565=TRUE,M1048565=FALSE)</formula>
    </cfRule>
  </conditionalFormatting>
  <conditionalFormatting sqref="M11">
    <cfRule type="expression" dxfId="764" priority="115">
      <formula>M1048567=TRUE</formula>
    </cfRule>
    <cfRule type="expression" dxfId="763" priority="116">
      <formula>AND(K1048567=TRUE,M1048567=FALSE)</formula>
    </cfRule>
  </conditionalFormatting>
  <conditionalFormatting sqref="R3">
    <cfRule type="expression" dxfId="762" priority="113">
      <formula>R1048559=TRUE</formula>
    </cfRule>
    <cfRule type="expression" dxfId="761" priority="114">
      <formula>AND(P1048559=TRUE,R1048559=FALSE)</formula>
    </cfRule>
  </conditionalFormatting>
  <conditionalFormatting sqref="Q11">
    <cfRule type="expression" dxfId="760" priority="111">
      <formula>Q1048567=TRUE</formula>
    </cfRule>
    <cfRule type="expression" dxfId="759" priority="112">
      <formula>AND(O1048567=TRUE,Q1048567=FALSE)</formula>
    </cfRule>
  </conditionalFormatting>
  <conditionalFormatting sqref="R11">
    <cfRule type="expression" dxfId="758" priority="109">
      <formula>R1048567=TRUE</formula>
    </cfRule>
    <cfRule type="expression" dxfId="757" priority="110">
      <formula>AND(P1048567=TRUE,R1048567=FALSE)</formula>
    </cfRule>
  </conditionalFormatting>
  <conditionalFormatting sqref="Q41">
    <cfRule type="expression" dxfId="756" priority="107">
      <formula>Q27=TRUE</formula>
    </cfRule>
    <cfRule type="expression" dxfId="755" priority="108">
      <formula>AND(O27=TRUE,Q27=FALSE)</formula>
    </cfRule>
  </conditionalFormatting>
  <conditionalFormatting sqref="R41">
    <cfRule type="expression" dxfId="754" priority="105">
      <formula>R27=TRUE</formula>
    </cfRule>
    <cfRule type="expression" dxfId="753" priority="106">
      <formula>AND(P27=TRUE,R27=FALSE)</formula>
    </cfRule>
  </conditionalFormatting>
  <conditionalFormatting sqref="P41">
    <cfRule type="expression" dxfId="752" priority="99">
      <formula>P27=TRUE</formula>
    </cfRule>
    <cfRule type="expression" dxfId="751" priority="100">
      <formula>AND(N27=TRUE,P27=FALSE)</formula>
    </cfRule>
  </conditionalFormatting>
  <conditionalFormatting sqref="M41">
    <cfRule type="expression" dxfId="750" priority="73">
      <formula>M40=TRUE</formula>
    </cfRule>
    <cfRule type="expression" dxfId="749" priority="74">
      <formula>AND(K40=TRUE,M40=FALSE)</formula>
    </cfRule>
  </conditionalFormatting>
  <conditionalFormatting sqref="I58">
    <cfRule type="expression" dxfId="748" priority="27">
      <formula>I57=TRUE</formula>
    </cfRule>
    <cfRule type="expression" dxfId="747" priority="28">
      <formula>AND(H57=TRUE,I57=FALSE)</formula>
    </cfRule>
  </conditionalFormatting>
  <conditionalFormatting sqref="M57:P57">
    <cfRule type="expression" dxfId="746" priority="29">
      <formula>M56=TRUE</formula>
    </cfRule>
    <cfRule type="expression" dxfId="745" priority="30">
      <formula>AND(K56=TRUE,M56=FALSE)</formula>
    </cfRule>
  </conditionalFormatting>
  <conditionalFormatting sqref="K57:L57">
    <cfRule type="expression" dxfId="744" priority="25">
      <formula>K56=TRUE</formula>
    </cfRule>
    <cfRule type="expression" dxfId="743" priority="26">
      <formula>AND(J56=TRUE,K56=FALSE)</formula>
    </cfRule>
  </conditionalFormatting>
  <conditionalFormatting sqref="I57:J57">
    <cfRule type="expression" dxfId="742" priority="23">
      <formula>I56=TRUE</formula>
    </cfRule>
    <cfRule type="expression" dxfId="741" priority="24">
      <formula>AND(H56=TRUE,I56=FALSE)</formula>
    </cfRule>
  </conditionalFormatting>
  <conditionalFormatting sqref="J58:U58">
    <cfRule type="expression" dxfId="740" priority="31">
      <formula>J57=TRUE</formula>
    </cfRule>
    <cfRule type="expression" dxfId="739" priority="32">
      <formula>AND(E57=TRUE,J57=FALSE)</formula>
    </cfRule>
  </conditionalFormatting>
  <conditionalFormatting sqref="Q57:U57">
    <cfRule type="expression" dxfId="738" priority="33">
      <formula>Q56=TRUE</formula>
    </cfRule>
    <cfRule type="expression" dxfId="737" priority="34">
      <formula>AND(K56=TRUE,Q56=FALSE)</formula>
    </cfRule>
  </conditionalFormatting>
  <conditionalFormatting sqref="K47">
    <cfRule type="expression" dxfId="736" priority="21">
      <formula>#REF!=TRUE</formula>
    </cfRule>
    <cfRule type="expression" dxfId="735" priority="22">
      <formula>AND(#REF!=TRUE,#REF!=FALSE)</formula>
    </cfRule>
  </conditionalFormatting>
  <conditionalFormatting sqref="K49">
    <cfRule type="expression" dxfId="734" priority="19">
      <formula>#REF!=TRUE</formula>
    </cfRule>
    <cfRule type="expression" dxfId="733" priority="20">
      <formula>AND(#REF!=TRUE,#REF!=FALSE)</formula>
    </cfRule>
  </conditionalFormatting>
  <conditionalFormatting sqref="K45">
    <cfRule type="expression" dxfId="732" priority="17">
      <formula>#REF!=TRUE</formula>
    </cfRule>
    <cfRule type="expression" dxfId="731" priority="18">
      <formula>AND(#REF!=TRUE,#REF!=FALSE)</formula>
    </cfRule>
  </conditionalFormatting>
  <conditionalFormatting sqref="K43">
    <cfRule type="expression" dxfId="730" priority="15">
      <formula>#REF!=TRUE</formula>
    </cfRule>
    <cfRule type="expression" dxfId="729" priority="16">
      <formula>AND(#REF!=TRUE,#REF!=FALSE)</formula>
    </cfRule>
  </conditionalFormatting>
  <conditionalFormatting sqref="K41">
    <cfRule type="expression" dxfId="728" priority="13">
      <formula>#REF!=TRUE</formula>
    </cfRule>
    <cfRule type="expression" dxfId="727" priority="14">
      <formula>AND(#REF!=TRUE,#REF!=FALSE)</formula>
    </cfRule>
  </conditionalFormatting>
  <conditionalFormatting sqref="K39">
    <cfRule type="expression" dxfId="726" priority="11">
      <formula>#REF!=TRUE</formula>
    </cfRule>
    <cfRule type="expression" dxfId="725" priority="12">
      <formula>AND(#REF!=TRUE,#REF!=FALSE)</formula>
    </cfRule>
  </conditionalFormatting>
  <conditionalFormatting sqref="K37">
    <cfRule type="expression" dxfId="724" priority="9">
      <formula>#REF!=TRUE</formula>
    </cfRule>
    <cfRule type="expression" dxfId="723" priority="10">
      <formula>AND(#REF!=TRUE,#REF!=FALSE)</formula>
    </cfRule>
  </conditionalFormatting>
  <conditionalFormatting sqref="K35">
    <cfRule type="expression" dxfId="722" priority="7">
      <formula>#REF!=TRUE</formula>
    </cfRule>
    <cfRule type="expression" dxfId="721" priority="8">
      <formula>AND(#REF!=TRUE,#REF!=FALSE)</formula>
    </cfRule>
  </conditionalFormatting>
  <conditionalFormatting sqref="K33">
    <cfRule type="expression" dxfId="720" priority="5">
      <formula>#REF!=TRUE</formula>
    </cfRule>
    <cfRule type="expression" dxfId="719" priority="6">
      <formula>AND(#REF!=TRUE,#REF!=FALSE)</formula>
    </cfRule>
  </conditionalFormatting>
  <conditionalFormatting sqref="K31">
    <cfRule type="expression" dxfId="718" priority="3">
      <formula>#REF!=TRUE</formula>
    </cfRule>
    <cfRule type="expression" dxfId="717" priority="4">
      <formula>AND(#REF!=TRUE,#REF!=FALSE)</formula>
    </cfRule>
  </conditionalFormatting>
  <conditionalFormatting sqref="I31">
    <cfRule type="expression" dxfId="716" priority="1">
      <formula>#REF!=TRUE</formula>
    </cfRule>
    <cfRule type="expression" dxfId="715" priority="2">
      <formula>AND(#REF!=TRUE,#REF!=FALSE)</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B2C5AFB-BCBE-416B-A104-69A15315D59D}">
          <x14:formula1>
            <xm:f>Filter!$D$24:$D$26</xm:f>
          </x14:formula1>
          <xm:sqref>N9:U9 I13:U13 I9:L9 I11:L11 N11:P11 S11:U11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DB67C7-024C-4E56-8953-EAE46806DD5E}">
  <sheetPr codeName="Sheet18">
    <tabColor theme="0" tint="-0.34998626667073579"/>
  </sheetPr>
  <dimension ref="A1:F7"/>
  <sheetViews>
    <sheetView zoomScale="85" zoomScaleNormal="85" workbookViewId="0">
      <selection activeCell="C14" sqref="C14"/>
    </sheetView>
  </sheetViews>
  <sheetFormatPr defaultColWidth="8.7109375" defaultRowHeight="29.25" customHeight="1"/>
  <cols>
    <col min="1" max="1" width="17.42578125" style="100" customWidth="1"/>
    <col min="2" max="2" width="21.5703125" style="40" customWidth="1"/>
    <col min="3" max="3" width="45.7109375" style="40" customWidth="1"/>
    <col min="4" max="6" width="21.5703125" style="40" customWidth="1"/>
    <col min="7" max="7" width="44.28515625" style="40" bestFit="1" customWidth="1"/>
    <col min="8" max="16384" width="8.7109375" style="40"/>
  </cols>
  <sheetData>
    <row r="1" spans="1:6" ht="30" customHeight="1">
      <c r="A1" s="793" t="s">
        <v>0</v>
      </c>
      <c r="B1" s="793" t="s">
        <v>986</v>
      </c>
      <c r="C1" s="793" t="s">
        <v>2437</v>
      </c>
      <c r="D1" s="794" t="s">
        <v>4039</v>
      </c>
      <c r="E1" s="794" t="s">
        <v>2379</v>
      </c>
      <c r="F1" s="794" t="s">
        <v>2380</v>
      </c>
    </row>
    <row r="2" spans="1:6" ht="30" customHeight="1">
      <c r="A2" s="791">
        <v>1</v>
      </c>
      <c r="B2" s="787" t="s">
        <v>2435</v>
      </c>
      <c r="C2" s="824" t="s">
        <v>2826</v>
      </c>
      <c r="D2" s="788">
        <v>1</v>
      </c>
      <c r="E2" s="788">
        <v>1</v>
      </c>
      <c r="F2" s="788">
        <v>1</v>
      </c>
    </row>
    <row r="3" spans="1:6" ht="30" customHeight="1">
      <c r="A3" s="792">
        <v>2</v>
      </c>
      <c r="B3" s="789" t="s">
        <v>1161</v>
      </c>
      <c r="C3" s="823" t="s">
        <v>2846</v>
      </c>
      <c r="D3" s="790">
        <v>1</v>
      </c>
      <c r="E3" s="790">
        <v>1</v>
      </c>
      <c r="F3" s="790">
        <v>1</v>
      </c>
    </row>
    <row r="4" spans="1:6" ht="30" customHeight="1">
      <c r="A4" s="791">
        <v>3</v>
      </c>
      <c r="B4" s="787" t="s">
        <v>2725</v>
      </c>
      <c r="C4" s="824" t="s">
        <v>2825</v>
      </c>
      <c r="D4" s="788">
        <v>1</v>
      </c>
      <c r="E4" s="788">
        <v>1</v>
      </c>
      <c r="F4" s="788">
        <v>1</v>
      </c>
    </row>
    <row r="5" spans="1:6" ht="30" customHeight="1">
      <c r="A5" s="792">
        <v>4</v>
      </c>
      <c r="B5" s="789" t="s">
        <v>1454</v>
      </c>
      <c r="C5" s="823" t="s">
        <v>2847</v>
      </c>
      <c r="D5" s="790">
        <v>1</v>
      </c>
      <c r="E5" s="790">
        <v>1</v>
      </c>
      <c r="F5" s="790">
        <v>1</v>
      </c>
    </row>
    <row r="6" spans="1:6" ht="30" customHeight="1">
      <c r="A6" s="791">
        <v>5</v>
      </c>
      <c r="B6" s="787" t="s">
        <v>1045</v>
      </c>
      <c r="C6" s="824" t="s">
        <v>2848</v>
      </c>
      <c r="D6" s="788">
        <v>1</v>
      </c>
      <c r="E6" s="788">
        <v>1</v>
      </c>
      <c r="F6" s="788">
        <v>1</v>
      </c>
    </row>
    <row r="7" spans="1:6" ht="30" customHeight="1">
      <c r="A7" s="792">
        <v>6</v>
      </c>
      <c r="B7" s="789" t="s">
        <v>2397</v>
      </c>
      <c r="C7" s="823" t="s">
        <v>2849</v>
      </c>
      <c r="D7" s="790">
        <v>1</v>
      </c>
      <c r="E7" s="790">
        <v>1</v>
      </c>
      <c r="F7" s="790">
        <v>1</v>
      </c>
    </row>
  </sheetData>
  <sheetProtection selectLockedCells="1"/>
  <phoneticPr fontId="164" type="noConversion"/>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B9FDB-A51D-4EB5-827C-E6BDB73353A0}">
  <sheetPr codeName="Sheet3">
    <tabColor theme="0" tint="-0.14999847407452621"/>
  </sheetPr>
  <dimension ref="A1:K241"/>
  <sheetViews>
    <sheetView zoomScale="72" zoomScaleNormal="72" workbookViewId="0">
      <pane xSplit="1" ySplit="1" topLeftCell="B2" activePane="bottomRight" state="frozen"/>
      <selection pane="topRight" activeCell="B1" sqref="B1"/>
      <selection pane="bottomLeft" activeCell="A5" sqref="A5"/>
      <selection pane="bottomRight" activeCell="C271" sqref="C270:C271"/>
    </sheetView>
  </sheetViews>
  <sheetFormatPr defaultColWidth="8.7109375" defaultRowHeight="14.25" outlineLevelRow="1" outlineLevelCol="2"/>
  <cols>
    <col min="1" max="1" width="11.7109375" style="6" bestFit="1" customWidth="1"/>
    <col min="2" max="2" width="34.28515625" style="3" bestFit="1" customWidth="1"/>
    <col min="3" max="3" width="130.42578125" style="3" bestFit="1" customWidth="1"/>
    <col min="4" max="4" width="19.7109375" style="3" bestFit="1" customWidth="1" outlineLevel="1"/>
    <col min="5" max="5" width="13" style="3" customWidth="1" outlineLevel="1"/>
    <col min="6" max="6" width="26.28515625" style="6" hidden="1" customWidth="1" outlineLevel="2"/>
    <col min="7" max="7" width="17.7109375" style="4" customWidth="1" outlineLevel="1" collapsed="1"/>
    <col min="8" max="8" width="21.42578125" style="5" customWidth="1" outlineLevel="1"/>
    <col min="9" max="9" width="25.28515625" style="3" customWidth="1" outlineLevel="1"/>
    <col min="10" max="10" width="22.42578125" style="6" customWidth="1" outlineLevel="1"/>
    <col min="11" max="11" width="53.28515625" style="6" customWidth="1" outlineLevel="1"/>
    <col min="12" max="15" width="8.7109375" style="3"/>
    <col min="16" max="16" width="41.42578125" style="3" customWidth="1"/>
    <col min="17" max="16384" width="8.7109375" style="3"/>
  </cols>
  <sheetData>
    <row r="1" spans="1:11" s="9" customFormat="1" ht="62.1" customHeight="1" thickBot="1">
      <c r="A1" s="93" t="s">
        <v>0</v>
      </c>
      <c r="B1" s="94" t="s">
        <v>57</v>
      </c>
      <c r="C1" s="94" t="s">
        <v>58</v>
      </c>
      <c r="D1" s="94" t="s">
        <v>59</v>
      </c>
      <c r="E1" s="94" t="s">
        <v>60</v>
      </c>
      <c r="F1" s="94" t="s">
        <v>61</v>
      </c>
      <c r="G1" s="94" t="s">
        <v>27</v>
      </c>
      <c r="H1" s="95" t="s">
        <v>62</v>
      </c>
      <c r="I1" s="94" t="s">
        <v>63</v>
      </c>
      <c r="J1" s="96" t="s">
        <v>64</v>
      </c>
      <c r="K1" s="96" t="s">
        <v>1</v>
      </c>
    </row>
    <row r="2" spans="1:11" s="15" customFormat="1" ht="33" customHeight="1">
      <c r="A2" s="1154" t="s">
        <v>29</v>
      </c>
      <c r="B2" s="1155"/>
      <c r="C2" s="1155"/>
      <c r="D2" s="1155"/>
      <c r="E2" s="1155"/>
      <c r="F2" s="1155"/>
      <c r="G2" s="1155"/>
      <c r="H2" s="1155"/>
      <c r="I2" s="1155"/>
      <c r="J2" s="1155"/>
      <c r="K2" s="92"/>
    </row>
    <row r="3" spans="1:11" s="8" customFormat="1" ht="35.1" hidden="1" customHeight="1" outlineLevel="1">
      <c r="A3" s="80">
        <f>IF(B3&lt;&gt;"", COUNTIF($B$3:B3, "&lt;&gt;"), "")</f>
        <v>1</v>
      </c>
      <c r="B3" s="10" t="s">
        <v>65</v>
      </c>
      <c r="C3" s="135" t="s">
        <v>66</v>
      </c>
      <c r="D3" s="7" t="s">
        <v>67</v>
      </c>
      <c r="E3" s="128">
        <v>6</v>
      </c>
      <c r="F3" s="7" t="s">
        <v>68</v>
      </c>
      <c r="G3" s="7" t="s">
        <v>69</v>
      </c>
      <c r="H3" s="14">
        <f>IF(OR(G3="N/A",G3="approved",G3="Approved w/ comment",G3="Ongoing",G3="IFI",G3="IFR"),1,0)</f>
        <v>1</v>
      </c>
      <c r="I3" s="1148">
        <f>COUNTIF(D3:D18,"&lt;&gt;")/COUNTA(B3:B18)</f>
        <v>0.8125</v>
      </c>
      <c r="J3" s="1148">
        <f>AVERAGE(H3:H18)</f>
        <v>0.7578125</v>
      </c>
      <c r="K3" s="81"/>
    </row>
    <row r="4" spans="1:11" s="8" customFormat="1" ht="35.1" hidden="1" customHeight="1" outlineLevel="1">
      <c r="A4" s="80">
        <f>IF(B4&lt;&gt;"", COUNTIF($B$3:B4, "&lt;&gt;"), "")</f>
        <v>2</v>
      </c>
      <c r="B4" s="11" t="s">
        <v>70</v>
      </c>
      <c r="C4" s="135" t="s">
        <v>71</v>
      </c>
      <c r="D4" s="7" t="s">
        <v>67</v>
      </c>
      <c r="E4" s="106">
        <v>6</v>
      </c>
      <c r="F4" s="7" t="s">
        <v>72</v>
      </c>
      <c r="G4" s="7" t="s">
        <v>73</v>
      </c>
      <c r="H4" s="14">
        <f t="shared" ref="H4:H17" si="0">IF(OR(G4="N/A",G4="approved",G4="Approved w/ comment",G4="Ongoing",G4="IFI",G4="IFR"),1,0)</f>
        <v>1</v>
      </c>
      <c r="I4" s="1149"/>
      <c r="J4" s="1149"/>
      <c r="K4" s="82"/>
    </row>
    <row r="5" spans="1:11" s="8" customFormat="1" ht="35.1" hidden="1" customHeight="1" outlineLevel="1">
      <c r="A5" s="80">
        <f>IF(B5&lt;&gt;"", COUNTIF($B$3:B5, "&lt;&gt;"), "")</f>
        <v>3</v>
      </c>
      <c r="B5" s="10" t="s">
        <v>74</v>
      </c>
      <c r="C5" s="135" t="s">
        <v>75</v>
      </c>
      <c r="D5" s="7" t="s">
        <v>67</v>
      </c>
      <c r="E5" s="106">
        <v>3</v>
      </c>
      <c r="F5" s="7" t="s">
        <v>76</v>
      </c>
      <c r="G5" s="7" t="s">
        <v>73</v>
      </c>
      <c r="H5" s="14">
        <f t="shared" si="0"/>
        <v>1</v>
      </c>
      <c r="I5" s="1149"/>
      <c r="J5" s="1149"/>
      <c r="K5" s="83" t="s">
        <v>77</v>
      </c>
    </row>
    <row r="6" spans="1:11" s="8" customFormat="1" ht="35.1" hidden="1" customHeight="1" outlineLevel="1">
      <c r="A6" s="80">
        <f>IF(B6&lt;&gt;"", COUNTIF($B$3:B6, "&lt;&gt;"), "")</f>
        <v>4</v>
      </c>
      <c r="B6" s="11" t="s">
        <v>78</v>
      </c>
      <c r="C6" s="135" t="s">
        <v>79</v>
      </c>
      <c r="D6" s="7" t="s">
        <v>67</v>
      </c>
      <c r="E6" s="106">
        <v>5</v>
      </c>
      <c r="F6" s="7" t="s">
        <v>80</v>
      </c>
      <c r="G6" s="7" t="s">
        <v>73</v>
      </c>
      <c r="H6" s="14">
        <f t="shared" si="0"/>
        <v>1</v>
      </c>
      <c r="I6" s="1149"/>
      <c r="J6" s="1149"/>
      <c r="K6" s="83"/>
    </row>
    <row r="7" spans="1:11" s="8" customFormat="1" ht="35.1" hidden="1" customHeight="1" outlineLevel="1">
      <c r="A7" s="80">
        <f>IF(B7&lt;&gt;"", COUNTIF($B$3:B7, "&lt;&gt;"), "")</f>
        <v>5</v>
      </c>
      <c r="B7" s="13" t="s">
        <v>81</v>
      </c>
      <c r="C7" s="136" t="s">
        <v>82</v>
      </c>
      <c r="D7" s="22" t="s">
        <v>31</v>
      </c>
      <c r="E7" s="106" t="s">
        <v>31</v>
      </c>
      <c r="F7" s="7" t="s">
        <v>31</v>
      </c>
      <c r="G7" s="7" t="s">
        <v>31</v>
      </c>
      <c r="H7" s="14">
        <f t="shared" si="0"/>
        <v>1</v>
      </c>
      <c r="I7" s="1149"/>
      <c r="J7" s="1149"/>
      <c r="K7" s="83"/>
    </row>
    <row r="8" spans="1:11" s="8" customFormat="1" ht="35.1" hidden="1" customHeight="1" outlineLevel="1">
      <c r="A8" s="80">
        <f>IF(B8&lt;&gt;"", COUNTIF($B$3:B8, "&lt;&gt;"), "")</f>
        <v>6</v>
      </c>
      <c r="B8" s="11" t="s">
        <v>83</v>
      </c>
      <c r="C8" s="12" t="s">
        <v>84</v>
      </c>
      <c r="D8" s="7" t="s">
        <v>31</v>
      </c>
      <c r="E8" s="106" t="s">
        <v>31</v>
      </c>
      <c r="F8" s="7" t="s">
        <v>31</v>
      </c>
      <c r="G8" s="7" t="s">
        <v>31</v>
      </c>
      <c r="H8" s="14">
        <f t="shared" si="0"/>
        <v>1</v>
      </c>
      <c r="I8" s="1149"/>
      <c r="J8" s="1149"/>
      <c r="K8" s="83"/>
    </row>
    <row r="9" spans="1:11" s="8" customFormat="1" ht="35.1" hidden="1" customHeight="1" outlineLevel="1">
      <c r="A9" s="80">
        <f>IF(B9&lt;&gt;"", COUNTIF($B$3:B9, "&lt;&gt;"), "")</f>
        <v>7</v>
      </c>
      <c r="B9" s="11" t="s">
        <v>85</v>
      </c>
      <c r="C9" s="12" t="s">
        <v>86</v>
      </c>
      <c r="D9" s="12"/>
      <c r="E9" s="18"/>
      <c r="F9" s="7"/>
      <c r="G9" s="7" t="s">
        <v>87</v>
      </c>
      <c r="H9" s="14">
        <f t="shared" si="0"/>
        <v>0</v>
      </c>
      <c r="I9" s="1149"/>
      <c r="J9" s="1149"/>
      <c r="K9" s="83"/>
    </row>
    <row r="10" spans="1:11" s="8" customFormat="1" ht="92.25" hidden="1" customHeight="1" outlineLevel="1">
      <c r="A10" s="80">
        <f>IF(B10&lt;&gt;"", COUNTIF($B$3:B10, "&lt;&gt;"), "")</f>
        <v>8</v>
      </c>
      <c r="B10" s="10" t="s">
        <v>88</v>
      </c>
      <c r="C10" s="12" t="s">
        <v>89</v>
      </c>
      <c r="D10" s="22" t="s">
        <v>67</v>
      </c>
      <c r="E10" s="106" t="s">
        <v>90</v>
      </c>
      <c r="F10" s="7" t="s">
        <v>31</v>
      </c>
      <c r="G10" s="7" t="s">
        <v>73</v>
      </c>
      <c r="H10" s="14">
        <f t="shared" si="0"/>
        <v>1</v>
      </c>
      <c r="I10" s="1149"/>
      <c r="J10" s="1149"/>
      <c r="K10" s="83"/>
    </row>
    <row r="11" spans="1:11" s="8" customFormat="1" ht="35.1" hidden="1" customHeight="1" outlineLevel="1">
      <c r="A11" s="80">
        <f>IF(B11&lt;&gt;"", COUNTIF($B$3:B11, "&lt;&gt;"), "")</f>
        <v>9</v>
      </c>
      <c r="B11" s="12" t="s">
        <v>91</v>
      </c>
      <c r="C11" s="12" t="s">
        <v>84</v>
      </c>
      <c r="D11" s="22" t="s">
        <v>31</v>
      </c>
      <c r="E11" s="106" t="s">
        <v>31</v>
      </c>
      <c r="F11" s="7" t="s">
        <v>31</v>
      </c>
      <c r="G11" s="7" t="s">
        <v>31</v>
      </c>
      <c r="H11" s="14">
        <f t="shared" si="0"/>
        <v>1</v>
      </c>
      <c r="I11" s="1149"/>
      <c r="J11" s="1149"/>
      <c r="K11" s="83"/>
    </row>
    <row r="12" spans="1:11" s="8" customFormat="1" ht="35.1" hidden="1" customHeight="1" outlineLevel="1">
      <c r="A12" s="80">
        <f>IF(B12&lt;&gt;"", COUNTIF($B$3:B12, "&lt;&gt;"), "")</f>
        <v>10</v>
      </c>
      <c r="B12" s="10" t="s">
        <v>92</v>
      </c>
      <c r="C12" s="138" t="s">
        <v>93</v>
      </c>
      <c r="D12" s="7" t="s">
        <v>67</v>
      </c>
      <c r="E12" s="106" t="s">
        <v>94</v>
      </c>
      <c r="F12" s="7" t="s">
        <v>94</v>
      </c>
      <c r="G12" s="7" t="s">
        <v>94</v>
      </c>
      <c r="H12" s="14">
        <f t="shared" si="0"/>
        <v>1</v>
      </c>
      <c r="I12" s="1149"/>
      <c r="J12" s="1149"/>
      <c r="K12" s="83"/>
    </row>
    <row r="13" spans="1:11" s="8" customFormat="1" ht="35.1" hidden="1" customHeight="1" outlineLevel="1">
      <c r="A13" s="80">
        <f>IF(B13&lt;&gt;"", COUNTIF($B$3:B13, "&lt;&gt;"), "")</f>
        <v>11</v>
      </c>
      <c r="B13" s="10" t="s">
        <v>95</v>
      </c>
      <c r="C13" s="12" t="s">
        <v>96</v>
      </c>
      <c r="D13" s="12"/>
      <c r="E13" s="18"/>
      <c r="F13" s="7"/>
      <c r="G13" s="7"/>
      <c r="H13" s="14">
        <f>IF(OR(G13="N/A",G13="approved",G13="Approved w/ comment",G13="Ongoing",G13="IFI",G13="IFR"),1,0)</f>
        <v>0</v>
      </c>
      <c r="I13" s="1149"/>
      <c r="J13" s="1149"/>
      <c r="K13" s="83"/>
    </row>
    <row r="14" spans="1:11" s="8" customFormat="1" ht="35.1" hidden="1" customHeight="1" outlineLevel="1">
      <c r="A14" s="80">
        <f>IF(B14&lt;&gt;"", COUNTIF($B$3:B14, "&lt;&gt;"), "")</f>
        <v>12</v>
      </c>
      <c r="B14" s="11" t="s">
        <v>97</v>
      </c>
      <c r="C14" s="12" t="s">
        <v>31</v>
      </c>
      <c r="D14" s="7" t="s">
        <v>31</v>
      </c>
      <c r="E14" s="18" t="s">
        <v>31</v>
      </c>
      <c r="F14" s="7" t="s">
        <v>31</v>
      </c>
      <c r="G14" s="7" t="s">
        <v>31</v>
      </c>
      <c r="H14" s="14">
        <f t="shared" si="0"/>
        <v>1</v>
      </c>
      <c r="I14" s="1149"/>
      <c r="J14" s="1149"/>
      <c r="K14" s="83"/>
    </row>
    <row r="15" spans="1:11" s="8" customFormat="1" ht="35.1" hidden="1" customHeight="1" outlineLevel="1">
      <c r="A15" s="80">
        <f>IF(B15&lt;&gt;"", COUNTIF($B$3:B15, "&lt;&gt;"), "")</f>
        <v>13</v>
      </c>
      <c r="B15" s="11" t="s">
        <v>98</v>
      </c>
      <c r="C15" s="12" t="s">
        <v>31</v>
      </c>
      <c r="D15" s="7" t="s">
        <v>31</v>
      </c>
      <c r="E15" s="18" t="s">
        <v>31</v>
      </c>
      <c r="F15" s="7" t="s">
        <v>31</v>
      </c>
      <c r="G15" s="7" t="s">
        <v>31</v>
      </c>
      <c r="H15" s="14">
        <f t="shared" si="0"/>
        <v>1</v>
      </c>
      <c r="I15" s="1149"/>
      <c r="J15" s="1149"/>
      <c r="K15" s="83"/>
    </row>
    <row r="16" spans="1:11" s="8" customFormat="1" ht="35.1" hidden="1" customHeight="1" outlineLevel="1">
      <c r="A16" s="80">
        <f>IF(B16&lt;&gt;"", COUNTIF($B$3:B16, "&lt;&gt;"), "")</f>
        <v>14</v>
      </c>
      <c r="B16" s="11" t="s">
        <v>99</v>
      </c>
      <c r="C16" s="12" t="s">
        <v>31</v>
      </c>
      <c r="D16" s="7" t="s">
        <v>31</v>
      </c>
      <c r="E16" s="18" t="s">
        <v>31</v>
      </c>
      <c r="F16" s="7" t="s">
        <v>31</v>
      </c>
      <c r="G16" s="7" t="s">
        <v>31</v>
      </c>
      <c r="H16" s="14">
        <f t="shared" si="0"/>
        <v>1</v>
      </c>
      <c r="I16" s="1149"/>
      <c r="J16" s="1149"/>
      <c r="K16" s="83"/>
    </row>
    <row r="17" spans="1:11" s="8" customFormat="1" ht="35.1" hidden="1" customHeight="1" outlineLevel="1">
      <c r="A17" s="80">
        <f>IF(B17&lt;&gt;"", COUNTIF($B$3:B17, "&lt;&gt;"), "")</f>
        <v>15</v>
      </c>
      <c r="B17" s="11" t="s">
        <v>100</v>
      </c>
      <c r="C17" s="12" t="s">
        <v>101</v>
      </c>
      <c r="D17" s="12"/>
      <c r="E17" s="18"/>
      <c r="F17" s="7"/>
      <c r="G17" s="7"/>
      <c r="H17" s="14">
        <f t="shared" si="0"/>
        <v>0</v>
      </c>
      <c r="I17" s="1149"/>
      <c r="J17" s="1149"/>
      <c r="K17" s="83"/>
    </row>
    <row r="18" spans="1:11" s="8" customFormat="1" ht="136.15" hidden="1" customHeight="1" outlineLevel="1">
      <c r="A18" s="80">
        <f>IF(B18&lt;&gt;"", COUNTIF($B$3:B18, "&lt;&gt;"), "")</f>
        <v>16</v>
      </c>
      <c r="B18" s="11" t="s">
        <v>102</v>
      </c>
      <c r="C18" s="101" t="s">
        <v>103</v>
      </c>
      <c r="D18" s="139" t="s">
        <v>104</v>
      </c>
      <c r="E18" s="139" t="s">
        <v>105</v>
      </c>
      <c r="F18" s="139" t="s">
        <v>31</v>
      </c>
      <c r="G18" s="139" t="s">
        <v>106</v>
      </c>
      <c r="H18" s="137">
        <f>1/8</f>
        <v>0.125</v>
      </c>
      <c r="I18" s="1150"/>
      <c r="J18" s="1150"/>
      <c r="K18" s="84"/>
    </row>
    <row r="19" spans="1:11" s="20" customFormat="1" ht="33" customHeight="1" collapsed="1">
      <c r="A19" s="1151" t="s">
        <v>30</v>
      </c>
      <c r="B19" s="1152"/>
      <c r="C19" s="1152"/>
      <c r="D19" s="1152"/>
      <c r="E19" s="1152"/>
      <c r="F19" s="1152"/>
      <c r="G19" s="1152"/>
      <c r="H19" s="1152"/>
      <c r="I19" s="1152"/>
      <c r="J19" s="1152"/>
      <c r="K19" s="79"/>
    </row>
    <row r="20" spans="1:11" s="8" customFormat="1" ht="35.1" hidden="1" customHeight="1" outlineLevel="1">
      <c r="A20" s="80">
        <f>IF(B20&lt;&gt;"", COUNTIF($B$20:B20, "&lt;&gt;"), "")</f>
        <v>1</v>
      </c>
      <c r="B20" s="10" t="s">
        <v>65</v>
      </c>
      <c r="C20" s="12" t="s">
        <v>107</v>
      </c>
      <c r="D20" s="7" t="s">
        <v>67</v>
      </c>
      <c r="E20" s="18">
        <v>6</v>
      </c>
      <c r="F20" s="7" t="s">
        <v>108</v>
      </c>
      <c r="G20" s="7" t="s">
        <v>73</v>
      </c>
      <c r="H20" s="23">
        <f>IF(OR(G20="N/A",G20="approved",G20="Approved w/ comment",G20="Ongoing",G20="IFI",G20="IFR"),1,0)</f>
        <v>1</v>
      </c>
      <c r="I20" s="1148">
        <f>COUNTIF(D20:D35,"&lt;&gt;")/COUNTA(B20:B35)</f>
        <v>0.75</v>
      </c>
      <c r="J20" s="1148">
        <f>AVERAGE(H20:H35)</f>
        <v>0.75</v>
      </c>
      <c r="K20" s="81"/>
    </row>
    <row r="21" spans="1:11" s="8" customFormat="1" ht="35.1" hidden="1" customHeight="1" outlineLevel="1">
      <c r="A21" s="80">
        <f>IF(B21&lt;&gt;"", COUNTIF($B$20:B21, "&lt;&gt;"), "")</f>
        <v>2</v>
      </c>
      <c r="B21" s="11" t="s">
        <v>70</v>
      </c>
      <c r="C21" s="12" t="s">
        <v>109</v>
      </c>
      <c r="D21" s="7" t="s">
        <v>67</v>
      </c>
      <c r="E21" s="18">
        <v>8</v>
      </c>
      <c r="F21" s="7" t="s">
        <v>110</v>
      </c>
      <c r="G21" s="7" t="s">
        <v>111</v>
      </c>
      <c r="H21" s="14">
        <f t="shared" ref="H21:H67" si="1">IF(OR(G21="N/A",G21="approved",G21="Approved w/ comment",G21="Ongoing",G21="IFI",G21="IFR"),1,0)</f>
        <v>1</v>
      </c>
      <c r="I21" s="1149"/>
      <c r="J21" s="1149"/>
      <c r="K21" s="83"/>
    </row>
    <row r="22" spans="1:11" s="8" customFormat="1" ht="35.1" hidden="1" customHeight="1" outlineLevel="1">
      <c r="A22" s="80">
        <f>IF(B22&lt;&gt;"", COUNTIF($B$20:B22, "&lt;&gt;"), "")</f>
        <v>3</v>
      </c>
      <c r="B22" s="10" t="s">
        <v>74</v>
      </c>
      <c r="C22" s="12" t="s">
        <v>112</v>
      </c>
      <c r="D22" s="7" t="s">
        <v>67</v>
      </c>
      <c r="E22" s="18">
        <v>7</v>
      </c>
      <c r="F22" s="7" t="s">
        <v>113</v>
      </c>
      <c r="G22" s="7" t="s">
        <v>73</v>
      </c>
      <c r="H22" s="14">
        <f t="shared" si="1"/>
        <v>1</v>
      </c>
      <c r="I22" s="1149"/>
      <c r="J22" s="1149"/>
      <c r="K22" s="83"/>
    </row>
    <row r="23" spans="1:11" s="8" customFormat="1" ht="35.1" hidden="1" customHeight="1" outlineLevel="1">
      <c r="A23" s="80">
        <f>IF(B23&lt;&gt;"", COUNTIF($B$20:B23, "&lt;&gt;"), "")</f>
        <v>4</v>
      </c>
      <c r="B23" s="11" t="s">
        <v>78</v>
      </c>
      <c r="C23" s="12" t="s">
        <v>114</v>
      </c>
      <c r="D23" s="7" t="s">
        <v>67</v>
      </c>
      <c r="E23" s="18">
        <v>3</v>
      </c>
      <c r="F23" s="7" t="s">
        <v>115</v>
      </c>
      <c r="G23" s="7" t="s">
        <v>116</v>
      </c>
      <c r="H23" s="14">
        <f t="shared" si="1"/>
        <v>1</v>
      </c>
      <c r="I23" s="1149"/>
      <c r="J23" s="1149"/>
      <c r="K23" s="83"/>
    </row>
    <row r="24" spans="1:11" s="8" customFormat="1" ht="35.1" hidden="1" customHeight="1" outlineLevel="1">
      <c r="A24" s="80">
        <f>IF(B24&lt;&gt;"", COUNTIF($B$20:B24, "&lt;&gt;"), "")</f>
        <v>5</v>
      </c>
      <c r="B24" s="11" t="s">
        <v>81</v>
      </c>
      <c r="C24" s="12" t="s">
        <v>117</v>
      </c>
      <c r="D24" s="7" t="s">
        <v>67</v>
      </c>
      <c r="E24" s="18">
        <v>2</v>
      </c>
      <c r="F24" s="7" t="s">
        <v>110</v>
      </c>
      <c r="G24" s="7" t="s">
        <v>73</v>
      </c>
      <c r="H24" s="14">
        <f t="shared" si="1"/>
        <v>1</v>
      </c>
      <c r="I24" s="1149"/>
      <c r="J24" s="1149"/>
      <c r="K24" s="83"/>
    </row>
    <row r="25" spans="1:11" s="8" customFormat="1" ht="35.1" hidden="1" customHeight="1" outlineLevel="1">
      <c r="A25" s="80">
        <f>IF(B25&lt;&gt;"", COUNTIF($B$20:B25, "&lt;&gt;"), "")</f>
        <v>6</v>
      </c>
      <c r="B25" s="11" t="s">
        <v>83</v>
      </c>
      <c r="C25" s="12" t="s">
        <v>118</v>
      </c>
      <c r="D25" s="7"/>
      <c r="E25" s="18"/>
      <c r="F25" s="7"/>
      <c r="G25" s="7"/>
      <c r="H25" s="14">
        <f t="shared" si="1"/>
        <v>0</v>
      </c>
      <c r="I25" s="1149"/>
      <c r="J25" s="1149"/>
      <c r="K25" s="83"/>
    </row>
    <row r="26" spans="1:11" s="8" customFormat="1" ht="35.1" hidden="1" customHeight="1" outlineLevel="1">
      <c r="A26" s="80">
        <f>IF(B26&lt;&gt;"", COUNTIF($B$20:B26, "&lt;&gt;"), "")</f>
        <v>7</v>
      </c>
      <c r="B26" s="11" t="s">
        <v>85</v>
      </c>
      <c r="C26" s="12" t="s">
        <v>119</v>
      </c>
      <c r="D26" s="7" t="s">
        <v>67</v>
      </c>
      <c r="E26" s="18">
        <v>6</v>
      </c>
      <c r="F26" s="7" t="s">
        <v>120</v>
      </c>
      <c r="G26" s="7" t="s">
        <v>69</v>
      </c>
      <c r="H26" s="14">
        <f t="shared" si="1"/>
        <v>1</v>
      </c>
      <c r="I26" s="1149"/>
      <c r="J26" s="1149"/>
      <c r="K26" s="83"/>
    </row>
    <row r="27" spans="1:11" s="8" customFormat="1" ht="35.1" hidden="1" customHeight="1" outlineLevel="1">
      <c r="A27" s="80">
        <f>IF(B27&lt;&gt;"", COUNTIF($B$20:B27, "&lt;&gt;"), "")</f>
        <v>8</v>
      </c>
      <c r="B27" s="10" t="s">
        <v>121</v>
      </c>
      <c r="C27" s="12" t="s">
        <v>122</v>
      </c>
      <c r="D27" s="18" t="s">
        <v>67</v>
      </c>
      <c r="E27" s="18">
        <v>4</v>
      </c>
      <c r="F27" s="7" t="s">
        <v>31</v>
      </c>
      <c r="G27" s="7" t="s">
        <v>73</v>
      </c>
      <c r="H27" s="14">
        <f t="shared" si="1"/>
        <v>1</v>
      </c>
      <c r="I27" s="1149"/>
      <c r="J27" s="1149"/>
      <c r="K27" s="83"/>
    </row>
    <row r="28" spans="1:11" s="8" customFormat="1" ht="35.1" hidden="1" customHeight="1" outlineLevel="1">
      <c r="A28" s="80">
        <f>IF(B28&lt;&gt;"", COUNTIF($B$20:B28, "&lt;&gt;"), "")</f>
        <v>9</v>
      </c>
      <c r="B28" s="12" t="s">
        <v>91</v>
      </c>
      <c r="C28" s="12" t="s">
        <v>123</v>
      </c>
      <c r="D28" s="7" t="s">
        <v>67</v>
      </c>
      <c r="E28" s="18">
        <v>3</v>
      </c>
      <c r="F28" s="7" t="s">
        <v>110</v>
      </c>
      <c r="G28" s="7" t="s">
        <v>73</v>
      </c>
      <c r="H28" s="14">
        <f t="shared" si="1"/>
        <v>1</v>
      </c>
      <c r="I28" s="1149"/>
      <c r="J28" s="1149"/>
      <c r="K28" s="83"/>
    </row>
    <row r="29" spans="1:11" s="8" customFormat="1" ht="35.1" hidden="1" customHeight="1" outlineLevel="1">
      <c r="A29" s="80">
        <f>IF(B29&lt;&gt;"", COUNTIF($B$20:B29, "&lt;&gt;"), "")</f>
        <v>10</v>
      </c>
      <c r="B29" s="10" t="s">
        <v>92</v>
      </c>
      <c r="C29" s="58" t="s">
        <v>124</v>
      </c>
      <c r="D29" s="7" t="s">
        <v>67</v>
      </c>
      <c r="E29" s="18" t="s">
        <v>31</v>
      </c>
      <c r="F29" s="7"/>
      <c r="G29" s="7" t="s">
        <v>31</v>
      </c>
      <c r="H29" s="14">
        <f t="shared" si="1"/>
        <v>1</v>
      </c>
      <c r="I29" s="1149"/>
      <c r="J29" s="1149"/>
      <c r="K29" s="83"/>
    </row>
    <row r="30" spans="1:11" s="8" customFormat="1" ht="35.1" hidden="1" customHeight="1" outlineLevel="1">
      <c r="A30" s="80">
        <f>IF(B30&lt;&gt;"", COUNTIF($B$20:B30, "&lt;&gt;"), "")</f>
        <v>11</v>
      </c>
      <c r="B30" s="10" t="s">
        <v>95</v>
      </c>
      <c r="C30" s="12" t="s">
        <v>110</v>
      </c>
      <c r="D30" s="7"/>
      <c r="E30" s="18" t="s">
        <v>110</v>
      </c>
      <c r="F30" s="7" t="s">
        <v>110</v>
      </c>
      <c r="G30" s="7" t="s">
        <v>110</v>
      </c>
      <c r="H30" s="14">
        <f>IF(OR(G30="N/A",G30="approved",G30="Approved w/ comment",G30="Ongoing",G30="IFI",G30="IFR"),1,0)</f>
        <v>0</v>
      </c>
      <c r="I30" s="1149"/>
      <c r="J30" s="1149"/>
      <c r="K30" s="83"/>
    </row>
    <row r="31" spans="1:11" s="8" customFormat="1" ht="35.1" hidden="1" customHeight="1" outlineLevel="1">
      <c r="A31" s="80">
        <f>IF(B31&lt;&gt;"", COUNTIF($B$20:B31, "&lt;&gt;"), "")</f>
        <v>12</v>
      </c>
      <c r="B31" s="11" t="s">
        <v>97</v>
      </c>
      <c r="C31" s="12" t="s">
        <v>31</v>
      </c>
      <c r="D31" s="18" t="s">
        <v>31</v>
      </c>
      <c r="E31" s="18" t="s">
        <v>31</v>
      </c>
      <c r="F31" s="7" t="s">
        <v>31</v>
      </c>
      <c r="G31" s="7" t="s">
        <v>31</v>
      </c>
      <c r="H31" s="14">
        <f t="shared" si="1"/>
        <v>1</v>
      </c>
      <c r="I31" s="1149"/>
      <c r="J31" s="1149"/>
      <c r="K31" s="83"/>
    </row>
    <row r="32" spans="1:11" s="8" customFormat="1" ht="35.1" hidden="1" customHeight="1" outlineLevel="1">
      <c r="A32" s="80">
        <f>IF(B32&lt;&gt;"", COUNTIF($B$20:B32, "&lt;&gt;"), "")</f>
        <v>13</v>
      </c>
      <c r="B32" s="11" t="s">
        <v>98</v>
      </c>
      <c r="C32" s="12" t="s">
        <v>31</v>
      </c>
      <c r="D32" s="18" t="s">
        <v>31</v>
      </c>
      <c r="E32" s="18" t="s">
        <v>31</v>
      </c>
      <c r="F32" s="7" t="s">
        <v>31</v>
      </c>
      <c r="G32" s="7" t="s">
        <v>31</v>
      </c>
      <c r="H32" s="14">
        <f t="shared" si="1"/>
        <v>1</v>
      </c>
      <c r="I32" s="1149"/>
      <c r="J32" s="1149"/>
      <c r="K32" s="83"/>
    </row>
    <row r="33" spans="1:11" s="8" customFormat="1" ht="35.1" hidden="1" customHeight="1" outlineLevel="1">
      <c r="A33" s="80">
        <f>IF(B33&lt;&gt;"", COUNTIF($B$20:B33, "&lt;&gt;"), "")</f>
        <v>14</v>
      </c>
      <c r="B33" s="11" t="s">
        <v>99</v>
      </c>
      <c r="C33" s="12" t="s">
        <v>31</v>
      </c>
      <c r="D33" s="7" t="s">
        <v>31</v>
      </c>
      <c r="E33" s="7" t="s">
        <v>31</v>
      </c>
      <c r="F33" s="7"/>
      <c r="G33" s="7" t="s">
        <v>31</v>
      </c>
      <c r="H33" s="14">
        <f>IF(OR(G33="N/A",G33="approved",G33="Approved w/ comment",G33="Ongoing",G33="IFI",G33="IFR",G33="pending"),1,0)</f>
        <v>1</v>
      </c>
      <c r="I33" s="1149"/>
      <c r="J33" s="1149"/>
      <c r="K33" s="83"/>
    </row>
    <row r="34" spans="1:11" s="8" customFormat="1" ht="35.1" hidden="1" customHeight="1" outlineLevel="1">
      <c r="A34" s="80">
        <f>IF(B34&lt;&gt;"", COUNTIF($B$20:B34, "&lt;&gt;"), "")</f>
        <v>15</v>
      </c>
      <c r="B34" s="11" t="s">
        <v>100</v>
      </c>
      <c r="C34" s="12" t="s">
        <v>125</v>
      </c>
      <c r="D34" s="12"/>
      <c r="E34" s="18"/>
      <c r="F34" s="7"/>
      <c r="G34" s="7"/>
      <c r="H34" s="14">
        <f t="shared" si="1"/>
        <v>0</v>
      </c>
      <c r="I34" s="1149"/>
      <c r="J34" s="1149"/>
      <c r="K34" s="83"/>
    </row>
    <row r="35" spans="1:11" s="8" customFormat="1" ht="209.65" hidden="1" customHeight="1" outlineLevel="1">
      <c r="A35" s="80">
        <f>IF(B35&lt;&gt;"", COUNTIF($B$20:B35, "&lt;&gt;"), "")</f>
        <v>16</v>
      </c>
      <c r="B35" s="11" t="s">
        <v>102</v>
      </c>
      <c r="C35" s="129" t="s">
        <v>126</v>
      </c>
      <c r="D35" s="12"/>
      <c r="E35" s="18"/>
      <c r="F35" s="7"/>
      <c r="G35" s="7"/>
      <c r="H35" s="14">
        <f t="shared" si="1"/>
        <v>0</v>
      </c>
      <c r="I35" s="1150"/>
      <c r="J35" s="1150"/>
      <c r="K35" s="84"/>
    </row>
    <row r="36" spans="1:11" s="15" customFormat="1" ht="33" customHeight="1" collapsed="1">
      <c r="A36" s="1151" t="s">
        <v>127</v>
      </c>
      <c r="B36" s="1152"/>
      <c r="C36" s="1152"/>
      <c r="D36" s="1152"/>
      <c r="E36" s="1152"/>
      <c r="F36" s="1152"/>
      <c r="G36" s="1152"/>
      <c r="H36" s="1152"/>
      <c r="I36" s="1152"/>
      <c r="J36" s="1152"/>
      <c r="K36" s="79"/>
    </row>
    <row r="37" spans="1:11" s="8" customFormat="1" ht="35.1" hidden="1" customHeight="1" outlineLevel="1">
      <c r="A37" s="80">
        <f>IF(B37&lt;&gt;"", COUNTIF($B$37:B37, "&lt;&gt;"), "")</f>
        <v>1</v>
      </c>
      <c r="B37" s="10" t="s">
        <v>65</v>
      </c>
      <c r="C37" s="12" t="s">
        <v>128</v>
      </c>
      <c r="D37" s="7" t="s">
        <v>67</v>
      </c>
      <c r="E37" s="18">
        <v>12</v>
      </c>
      <c r="F37" s="7" t="s">
        <v>129</v>
      </c>
      <c r="G37" s="7" t="s">
        <v>69</v>
      </c>
      <c r="H37" s="14">
        <f t="shared" si="1"/>
        <v>1</v>
      </c>
      <c r="I37" s="1148">
        <f>COUNTIF(D37:D52,"&lt;&gt;")/COUNTA(B37:B52)</f>
        <v>0.5625</v>
      </c>
      <c r="J37" s="1148">
        <f>AVERAGE(H37:H52)</f>
        <v>0.5625</v>
      </c>
      <c r="K37" s="81"/>
    </row>
    <row r="38" spans="1:11" s="8" customFormat="1" ht="35.1" hidden="1" customHeight="1" outlineLevel="1">
      <c r="A38" s="80">
        <f>IF(B38&lt;&gt;"", COUNTIF($B$37:B38, "&lt;&gt;"), "")</f>
        <v>2</v>
      </c>
      <c r="B38" s="11" t="s">
        <v>70</v>
      </c>
      <c r="C38" s="12" t="s">
        <v>130</v>
      </c>
      <c r="D38" s="7" t="s">
        <v>67</v>
      </c>
      <c r="E38" s="18">
        <v>11</v>
      </c>
      <c r="F38" s="7" t="s">
        <v>110</v>
      </c>
      <c r="G38" s="7" t="s">
        <v>111</v>
      </c>
      <c r="H38" s="14">
        <f t="shared" si="1"/>
        <v>1</v>
      </c>
      <c r="I38" s="1149"/>
      <c r="J38" s="1149"/>
      <c r="K38" s="83"/>
    </row>
    <row r="39" spans="1:11" s="8" customFormat="1" ht="35.1" hidden="1" customHeight="1" outlineLevel="1">
      <c r="A39" s="80">
        <f>IF(B39&lt;&gt;"", COUNTIF($B$37:B39, "&lt;&gt;"), "")</f>
        <v>3</v>
      </c>
      <c r="B39" s="10" t="s">
        <v>74</v>
      </c>
      <c r="C39" s="12" t="s">
        <v>131</v>
      </c>
      <c r="D39" s="7" t="s">
        <v>67</v>
      </c>
      <c r="E39" s="18">
        <v>4</v>
      </c>
      <c r="F39" s="7" t="s">
        <v>132</v>
      </c>
      <c r="G39" s="7" t="s">
        <v>73</v>
      </c>
      <c r="H39" s="14">
        <f t="shared" si="1"/>
        <v>1</v>
      </c>
      <c r="I39" s="1149"/>
      <c r="J39" s="1149"/>
      <c r="K39" s="85" t="s">
        <v>133</v>
      </c>
    </row>
    <row r="40" spans="1:11" s="8" customFormat="1" ht="35.1" hidden="1" customHeight="1" outlineLevel="1">
      <c r="A40" s="80">
        <f>IF(B40&lt;&gt;"", COUNTIF($B$37:B40, "&lt;&gt;"), "")</f>
        <v>4</v>
      </c>
      <c r="B40" s="11" t="s">
        <v>78</v>
      </c>
      <c r="C40" s="12" t="s">
        <v>134</v>
      </c>
      <c r="D40" s="7" t="s">
        <v>31</v>
      </c>
      <c r="E40" s="7" t="s">
        <v>31</v>
      </c>
      <c r="F40" s="7"/>
      <c r="G40" s="7" t="s">
        <v>31</v>
      </c>
      <c r="H40" s="14">
        <f t="shared" si="1"/>
        <v>1</v>
      </c>
      <c r="I40" s="1149"/>
      <c r="J40" s="1149"/>
      <c r="K40" s="83"/>
    </row>
    <row r="41" spans="1:11" s="8" customFormat="1" ht="35.1" hidden="1" customHeight="1" outlineLevel="1">
      <c r="A41" s="80">
        <f>IF(B41&lt;&gt;"", COUNTIF($B$37:B41, "&lt;&gt;"), "")</f>
        <v>5</v>
      </c>
      <c r="B41" s="11" t="s">
        <v>81</v>
      </c>
      <c r="C41" s="12" t="s">
        <v>135</v>
      </c>
      <c r="D41" s="7" t="s">
        <v>31</v>
      </c>
      <c r="E41" s="7" t="s">
        <v>31</v>
      </c>
      <c r="F41" s="7"/>
      <c r="G41" s="7" t="s">
        <v>31</v>
      </c>
      <c r="H41" s="14">
        <f t="shared" si="1"/>
        <v>1</v>
      </c>
      <c r="I41" s="1149"/>
      <c r="J41" s="1149"/>
      <c r="K41" s="83"/>
    </row>
    <row r="42" spans="1:11" s="8" customFormat="1" ht="35.1" hidden="1" customHeight="1" outlineLevel="1">
      <c r="A42" s="80">
        <f>IF(B42&lt;&gt;"", COUNTIF($B$37:B42, "&lt;&gt;"), "")</f>
        <v>6</v>
      </c>
      <c r="B42" s="11" t="s">
        <v>83</v>
      </c>
      <c r="C42" s="12" t="s">
        <v>136</v>
      </c>
      <c r="D42" s="12"/>
      <c r="E42" s="18"/>
      <c r="F42" s="7"/>
      <c r="G42" s="7"/>
      <c r="H42" s="14">
        <f t="shared" si="1"/>
        <v>0</v>
      </c>
      <c r="I42" s="1149"/>
      <c r="J42" s="1149"/>
      <c r="K42" s="83"/>
    </row>
    <row r="43" spans="1:11" s="8" customFormat="1" ht="35.1" hidden="1" customHeight="1" outlineLevel="1">
      <c r="A43" s="80">
        <f>IF(B43&lt;&gt;"", COUNTIF($B$37:B43, "&lt;&gt;"), "")</f>
        <v>7</v>
      </c>
      <c r="B43" s="11" t="s">
        <v>85</v>
      </c>
      <c r="C43" s="12" t="s">
        <v>110</v>
      </c>
      <c r="D43" s="12"/>
      <c r="E43" s="18"/>
      <c r="F43" s="7"/>
      <c r="G43" s="7"/>
      <c r="H43" s="14">
        <f t="shared" si="1"/>
        <v>0</v>
      </c>
      <c r="I43" s="1149"/>
      <c r="J43" s="1149"/>
      <c r="K43" s="83"/>
    </row>
    <row r="44" spans="1:11" s="8" customFormat="1" ht="35.1" hidden="1" customHeight="1" outlineLevel="1">
      <c r="A44" s="80">
        <f>IF(B44&lt;&gt;"", COUNTIF($B$37:B44, "&lt;&gt;"), "")</f>
        <v>8</v>
      </c>
      <c r="B44" s="10" t="s">
        <v>121</v>
      </c>
      <c r="C44" s="12" t="s">
        <v>31</v>
      </c>
      <c r="D44" s="7" t="s">
        <v>31</v>
      </c>
      <c r="E44" s="18" t="s">
        <v>31</v>
      </c>
      <c r="F44" s="7"/>
      <c r="G44" s="7" t="s">
        <v>31</v>
      </c>
      <c r="H44" s="14">
        <f t="shared" si="1"/>
        <v>1</v>
      </c>
      <c r="I44" s="1149"/>
      <c r="J44" s="1149"/>
      <c r="K44" s="83"/>
    </row>
    <row r="45" spans="1:11" s="8" customFormat="1" ht="35.1" hidden="1" customHeight="1" outlineLevel="1">
      <c r="A45" s="80">
        <f>IF(B45&lt;&gt;"", COUNTIF($B$37:B45, "&lt;&gt;"), "")</f>
        <v>9</v>
      </c>
      <c r="B45" s="12" t="s">
        <v>91</v>
      </c>
      <c r="C45" s="12" t="s">
        <v>110</v>
      </c>
      <c r="D45" s="12"/>
      <c r="E45" s="18"/>
      <c r="F45" s="7"/>
      <c r="G45" s="7"/>
      <c r="H45" s="14">
        <f t="shared" si="1"/>
        <v>0</v>
      </c>
      <c r="I45" s="1149"/>
      <c r="J45" s="1149"/>
      <c r="K45" s="83"/>
    </row>
    <row r="46" spans="1:11" s="8" customFormat="1" ht="35.1" hidden="1" customHeight="1" outlineLevel="1">
      <c r="A46" s="80">
        <f>IF(B46&lt;&gt;"", COUNTIF($B$37:B46, "&lt;&gt;"), "")</f>
        <v>10</v>
      </c>
      <c r="B46" s="10" t="s">
        <v>92</v>
      </c>
      <c r="C46" s="58" t="s">
        <v>137</v>
      </c>
      <c r="D46" s="12"/>
      <c r="E46" s="18"/>
      <c r="F46" s="7"/>
      <c r="G46" s="7"/>
      <c r="H46" s="14">
        <f t="shared" si="1"/>
        <v>0</v>
      </c>
      <c r="I46" s="1149"/>
      <c r="J46" s="1149"/>
      <c r="K46" s="83"/>
    </row>
    <row r="47" spans="1:11" s="8" customFormat="1" ht="35.1" hidden="1" customHeight="1" outlineLevel="1">
      <c r="A47" s="80">
        <f>IF(B47&lt;&gt;"", COUNTIF($B$37:B47, "&lt;&gt;"), "")</f>
        <v>11</v>
      </c>
      <c r="B47" s="10" t="s">
        <v>95</v>
      </c>
      <c r="C47" s="12" t="s">
        <v>110</v>
      </c>
      <c r="D47" s="12"/>
      <c r="E47" s="18"/>
      <c r="F47" s="7"/>
      <c r="G47" s="7"/>
      <c r="H47" s="14">
        <f t="shared" si="1"/>
        <v>0</v>
      </c>
      <c r="I47" s="1149"/>
      <c r="J47" s="1149"/>
      <c r="K47" s="83"/>
    </row>
    <row r="48" spans="1:11" s="8" customFormat="1" ht="35.1" hidden="1" customHeight="1" outlineLevel="1">
      <c r="A48" s="80">
        <f>IF(B48&lt;&gt;"", COUNTIF($B$37:B48, "&lt;&gt;"), "")</f>
        <v>12</v>
      </c>
      <c r="B48" s="11" t="s">
        <v>97</v>
      </c>
      <c r="C48" s="12" t="s">
        <v>31</v>
      </c>
      <c r="D48" s="12" t="s">
        <v>31</v>
      </c>
      <c r="E48" s="18" t="s">
        <v>31</v>
      </c>
      <c r="F48" s="7"/>
      <c r="G48" s="7" t="s">
        <v>31</v>
      </c>
      <c r="H48" s="14">
        <f t="shared" si="1"/>
        <v>1</v>
      </c>
      <c r="I48" s="1149"/>
      <c r="J48" s="1149"/>
      <c r="K48" s="83"/>
    </row>
    <row r="49" spans="1:11" s="8" customFormat="1" ht="35.1" hidden="1" customHeight="1" outlineLevel="1">
      <c r="A49" s="80">
        <f>IF(B49&lt;&gt;"", COUNTIF($B$37:B49, "&lt;&gt;"), "")</f>
        <v>13</v>
      </c>
      <c r="B49" s="11" t="s">
        <v>98</v>
      </c>
      <c r="C49" s="12" t="s">
        <v>31</v>
      </c>
      <c r="D49" s="18" t="s">
        <v>31</v>
      </c>
      <c r="E49" s="18" t="s">
        <v>31</v>
      </c>
      <c r="F49" s="7" t="s">
        <v>31</v>
      </c>
      <c r="G49" s="7" t="s">
        <v>31</v>
      </c>
      <c r="H49" s="14">
        <f t="shared" si="1"/>
        <v>1</v>
      </c>
      <c r="I49" s="1149"/>
      <c r="J49" s="1149"/>
      <c r="K49" s="83"/>
    </row>
    <row r="50" spans="1:11" s="8" customFormat="1" ht="35.1" hidden="1" customHeight="1" outlineLevel="1">
      <c r="A50" s="80">
        <f>IF(B50&lt;&gt;"", COUNTIF($B$37:B50, "&lt;&gt;"), "")</f>
        <v>14</v>
      </c>
      <c r="B50" s="11" t="s">
        <v>99</v>
      </c>
      <c r="C50" s="12" t="s">
        <v>31</v>
      </c>
      <c r="D50" s="7" t="s">
        <v>31</v>
      </c>
      <c r="E50" s="18" t="s">
        <v>31</v>
      </c>
      <c r="F50" s="7"/>
      <c r="G50" s="7" t="s">
        <v>31</v>
      </c>
      <c r="H50" s="14">
        <f t="shared" si="1"/>
        <v>1</v>
      </c>
      <c r="I50" s="1149"/>
      <c r="J50" s="1149"/>
      <c r="K50" s="83"/>
    </row>
    <row r="51" spans="1:11" s="8" customFormat="1" ht="35.1" hidden="1" customHeight="1" outlineLevel="1">
      <c r="A51" s="80">
        <f>IF(B51&lt;&gt;"", COUNTIF($B$37:B51, "&lt;&gt;"), "")</f>
        <v>15</v>
      </c>
      <c r="B51" s="11" t="s">
        <v>100</v>
      </c>
      <c r="C51" s="12" t="s">
        <v>110</v>
      </c>
      <c r="D51" s="12"/>
      <c r="E51" s="18" t="s">
        <v>110</v>
      </c>
      <c r="F51" s="7" t="s">
        <v>110</v>
      </c>
      <c r="G51" s="7" t="s">
        <v>110</v>
      </c>
      <c r="H51" s="14">
        <f t="shared" si="1"/>
        <v>0</v>
      </c>
      <c r="I51" s="1149"/>
      <c r="J51" s="1149"/>
      <c r="K51" s="83"/>
    </row>
    <row r="52" spans="1:11" s="8" customFormat="1" ht="105" hidden="1" outlineLevel="1">
      <c r="A52" s="80">
        <f>IF(B52&lt;&gt;"", COUNTIF($B$37:B52, "&lt;&gt;"), "")</f>
        <v>16</v>
      </c>
      <c r="B52" s="11" t="s">
        <v>102</v>
      </c>
      <c r="C52" s="101" t="s">
        <v>138</v>
      </c>
      <c r="D52" s="12"/>
      <c r="E52" s="18" t="s">
        <v>110</v>
      </c>
      <c r="F52" s="7" t="s">
        <v>110</v>
      </c>
      <c r="G52" s="7" t="s">
        <v>110</v>
      </c>
      <c r="H52" s="14">
        <f t="shared" si="1"/>
        <v>0</v>
      </c>
      <c r="I52" s="1150"/>
      <c r="J52" s="1150"/>
      <c r="K52" s="84"/>
    </row>
    <row r="53" spans="1:11" s="16" customFormat="1" ht="35.1" customHeight="1" collapsed="1">
      <c r="A53" s="1151" t="s">
        <v>139</v>
      </c>
      <c r="B53" s="1152"/>
      <c r="C53" s="1152"/>
      <c r="D53" s="1152"/>
      <c r="E53" s="1152"/>
      <c r="F53" s="1152"/>
      <c r="G53" s="1152"/>
      <c r="H53" s="1152"/>
      <c r="I53" s="1152"/>
      <c r="J53" s="1152"/>
      <c r="K53" s="79"/>
    </row>
    <row r="54" spans="1:11" s="8" customFormat="1" ht="35.1" hidden="1" customHeight="1" outlineLevel="1">
      <c r="A54" s="80">
        <f>IF(B54&lt;&gt;"", COUNTIF($B$54:B54, "&lt;&gt;"), "")</f>
        <v>1</v>
      </c>
      <c r="B54" s="10" t="s">
        <v>65</v>
      </c>
      <c r="C54" s="12" t="s">
        <v>140</v>
      </c>
      <c r="D54" s="7" t="s">
        <v>67</v>
      </c>
      <c r="E54" s="114">
        <v>69</v>
      </c>
      <c r="F54" s="7"/>
      <c r="G54" s="7" t="s">
        <v>111</v>
      </c>
      <c r="H54" s="14">
        <f t="shared" si="1"/>
        <v>1</v>
      </c>
      <c r="I54" s="1148">
        <f>COUNTIF(D54:D69,"&lt;&gt;")/COUNTA(B54:B69)</f>
        <v>0.6875</v>
      </c>
      <c r="J54" s="1148">
        <f>AVERAGE(H54:H69)</f>
        <v>0.61250000000000004</v>
      </c>
      <c r="K54" s="81"/>
    </row>
    <row r="55" spans="1:11" s="8" customFormat="1" ht="35.1" hidden="1" customHeight="1" outlineLevel="1">
      <c r="A55" s="80">
        <f>IF(B55&lt;&gt;"", COUNTIF($B$54:B55, "&lt;&gt;"), "")</f>
        <v>2</v>
      </c>
      <c r="B55" s="11" t="s">
        <v>70</v>
      </c>
      <c r="C55" s="12" t="s">
        <v>141</v>
      </c>
      <c r="D55" s="7" t="s">
        <v>67</v>
      </c>
      <c r="E55" s="115">
        <v>44</v>
      </c>
      <c r="F55" s="7"/>
      <c r="G55" s="7" t="s">
        <v>111</v>
      </c>
      <c r="H55" s="14">
        <f t="shared" si="1"/>
        <v>1</v>
      </c>
      <c r="I55" s="1149"/>
      <c r="J55" s="1149"/>
      <c r="K55" s="83"/>
    </row>
    <row r="56" spans="1:11" s="8" customFormat="1" ht="35.1" hidden="1" customHeight="1" outlineLevel="1">
      <c r="A56" s="80">
        <f>IF(B56&lt;&gt;"", COUNTIF($B$54:B56, "&lt;&gt;"), "")</f>
        <v>3</v>
      </c>
      <c r="B56" s="10" t="s">
        <v>74</v>
      </c>
      <c r="C56" s="12" t="s">
        <v>142</v>
      </c>
      <c r="D56" s="7" t="s">
        <v>67</v>
      </c>
      <c r="E56" s="115">
        <v>5</v>
      </c>
      <c r="F56" s="7"/>
      <c r="G56" s="7" t="s">
        <v>73</v>
      </c>
      <c r="H56" s="14">
        <f t="shared" si="1"/>
        <v>1</v>
      </c>
      <c r="I56" s="1149"/>
      <c r="J56" s="1149"/>
      <c r="K56" s="83"/>
    </row>
    <row r="57" spans="1:11" s="8" customFormat="1" ht="35.1" hidden="1" customHeight="1" outlineLevel="1">
      <c r="A57" s="80">
        <f>IF(B57&lt;&gt;"", COUNTIF($B$54:B57, "&lt;&gt;"), "")</f>
        <v>4</v>
      </c>
      <c r="B57" s="11" t="s">
        <v>78</v>
      </c>
      <c r="C57" s="12" t="s">
        <v>143</v>
      </c>
      <c r="D57" s="7" t="s">
        <v>67</v>
      </c>
      <c r="E57" s="115">
        <v>5</v>
      </c>
      <c r="F57" s="7"/>
      <c r="G57" s="7" t="s">
        <v>73</v>
      </c>
      <c r="H57" s="14">
        <f t="shared" si="1"/>
        <v>1</v>
      </c>
      <c r="I57" s="1149"/>
      <c r="J57" s="1149"/>
      <c r="K57" s="83"/>
    </row>
    <row r="58" spans="1:11" s="8" customFormat="1" ht="35.1" hidden="1" customHeight="1" outlineLevel="1">
      <c r="A58" s="80">
        <f>IF(B58&lt;&gt;"", COUNTIF($B$54:B58, "&lt;&gt;"), "")</f>
        <v>5</v>
      </c>
      <c r="B58" s="11" t="s">
        <v>81</v>
      </c>
      <c r="C58" s="12" t="s">
        <v>144</v>
      </c>
      <c r="D58" s="7" t="s">
        <v>67</v>
      </c>
      <c r="E58" s="115">
        <v>5</v>
      </c>
      <c r="F58" s="7"/>
      <c r="G58" s="7" t="s">
        <v>73</v>
      </c>
      <c r="H58" s="14">
        <f t="shared" si="1"/>
        <v>1</v>
      </c>
      <c r="I58" s="1149"/>
      <c r="J58" s="1149"/>
      <c r="K58" s="83"/>
    </row>
    <row r="59" spans="1:11" s="8" customFormat="1" ht="35.1" hidden="1" customHeight="1" outlineLevel="1">
      <c r="A59" s="80">
        <f>IF(B59&lt;&gt;"", COUNTIF($B$54:B59, "&lt;&gt;"), "")</f>
        <v>6</v>
      </c>
      <c r="B59" s="11" t="s">
        <v>83</v>
      </c>
      <c r="C59" s="12" t="s">
        <v>145</v>
      </c>
      <c r="D59" s="7"/>
      <c r="E59" s="116"/>
      <c r="F59" s="7"/>
      <c r="G59" s="7"/>
      <c r="H59" s="14">
        <f t="shared" si="1"/>
        <v>0</v>
      </c>
      <c r="I59" s="1149"/>
      <c r="J59" s="1149"/>
      <c r="K59" s="83"/>
    </row>
    <row r="60" spans="1:11" s="8" customFormat="1" ht="35.1" hidden="1" customHeight="1" outlineLevel="1">
      <c r="A60" s="80">
        <f>IF(B60&lt;&gt;"", COUNTIF($B$54:B60, "&lt;&gt;"), "")</f>
        <v>7</v>
      </c>
      <c r="B60" s="11" t="s">
        <v>85</v>
      </c>
      <c r="C60" s="12" t="s">
        <v>146</v>
      </c>
      <c r="D60" s="7" t="s">
        <v>67</v>
      </c>
      <c r="E60" s="116">
        <v>3</v>
      </c>
      <c r="F60" s="7"/>
      <c r="G60" s="7" t="s">
        <v>111</v>
      </c>
      <c r="H60" s="14">
        <f t="shared" si="1"/>
        <v>1</v>
      </c>
      <c r="I60" s="1149"/>
      <c r="J60" s="1149"/>
      <c r="K60" s="83"/>
    </row>
    <row r="61" spans="1:11" s="8" customFormat="1" ht="35.1" hidden="1" customHeight="1" outlineLevel="1">
      <c r="A61" s="80">
        <f>IF(B61&lt;&gt;"", COUNTIF($B$54:B61, "&lt;&gt;"), "")</f>
        <v>8</v>
      </c>
      <c r="B61" s="10" t="s">
        <v>121</v>
      </c>
      <c r="C61" s="12"/>
      <c r="D61" s="7"/>
      <c r="E61" s="18"/>
      <c r="F61" s="7"/>
      <c r="G61" s="7"/>
      <c r="H61" s="14">
        <f t="shared" si="1"/>
        <v>0</v>
      </c>
      <c r="I61" s="1149"/>
      <c r="J61" s="1149"/>
      <c r="K61" s="83"/>
    </row>
    <row r="62" spans="1:11" s="8" customFormat="1" ht="35.1" hidden="1" customHeight="1" outlineLevel="1">
      <c r="A62" s="80">
        <f>IF(B62&lt;&gt;"", COUNTIF($B$54:B62, "&lt;&gt;"), "")</f>
        <v>9</v>
      </c>
      <c r="B62" s="12" t="s">
        <v>91</v>
      </c>
      <c r="C62" s="12"/>
      <c r="D62" s="7"/>
      <c r="E62" s="18"/>
      <c r="F62" s="7"/>
      <c r="G62" s="7"/>
      <c r="H62" s="14">
        <f t="shared" si="1"/>
        <v>0</v>
      </c>
      <c r="I62" s="1149"/>
      <c r="J62" s="1149"/>
      <c r="K62" s="83"/>
    </row>
    <row r="63" spans="1:11" s="8" customFormat="1" ht="35.1" hidden="1" customHeight="1" outlineLevel="1">
      <c r="A63" s="80">
        <f>IF(B63&lt;&gt;"", COUNTIF($B$54:B63, "&lt;&gt;"), "")</f>
        <v>10</v>
      </c>
      <c r="B63" s="10" t="s">
        <v>92</v>
      </c>
      <c r="C63" s="12" t="s">
        <v>147</v>
      </c>
      <c r="D63" s="7" t="s">
        <v>67</v>
      </c>
      <c r="E63" s="18" t="s">
        <v>148</v>
      </c>
      <c r="F63" s="7"/>
      <c r="G63" s="7" t="s">
        <v>149</v>
      </c>
      <c r="H63" s="14">
        <v>0.3</v>
      </c>
      <c r="I63" s="1149"/>
      <c r="J63" s="1149"/>
      <c r="K63" s="83"/>
    </row>
    <row r="64" spans="1:11" s="8" customFormat="1" ht="35.1" hidden="1" customHeight="1" outlineLevel="1">
      <c r="A64" s="80">
        <f>IF(B64&lt;&gt;"", COUNTIF($B$54:B64, "&lt;&gt;"), "")</f>
        <v>11</v>
      </c>
      <c r="B64" s="10" t="s">
        <v>95</v>
      </c>
      <c r="C64" s="12" t="s">
        <v>150</v>
      </c>
      <c r="D64" s="7" t="s">
        <v>67</v>
      </c>
      <c r="E64" s="18" t="s">
        <v>148</v>
      </c>
      <c r="F64" s="7"/>
      <c r="G64" s="7" t="s">
        <v>151</v>
      </c>
      <c r="H64" s="14">
        <v>0.5</v>
      </c>
      <c r="I64" s="1149"/>
      <c r="J64" s="1149"/>
      <c r="K64" s="83"/>
    </row>
    <row r="65" spans="1:11" s="8" customFormat="1" ht="35.1" hidden="1" customHeight="1" outlineLevel="1">
      <c r="A65" s="80">
        <f>IF(B65&lt;&gt;"", COUNTIF($B$54:B65, "&lt;&gt;"), "")</f>
        <v>12</v>
      </c>
      <c r="B65" s="11" t="s">
        <v>97</v>
      </c>
      <c r="C65" s="12" t="s">
        <v>152</v>
      </c>
      <c r="D65" s="7"/>
      <c r="E65" s="18"/>
      <c r="F65" s="7"/>
      <c r="G65" s="7"/>
      <c r="H65" s="14">
        <f t="shared" si="1"/>
        <v>0</v>
      </c>
      <c r="I65" s="1149"/>
      <c r="J65" s="1149"/>
      <c r="K65" s="83"/>
    </row>
    <row r="66" spans="1:11" s="8" customFormat="1" ht="35.1" hidden="1" customHeight="1" outlineLevel="1">
      <c r="A66" s="80">
        <f>IF(B66&lt;&gt;"", COUNTIF($B$54:B66, "&lt;&gt;"), "")</f>
        <v>13</v>
      </c>
      <c r="B66" s="11" t="s">
        <v>98</v>
      </c>
      <c r="C66" s="12" t="s">
        <v>31</v>
      </c>
      <c r="D66" s="7" t="s">
        <v>31</v>
      </c>
      <c r="E66" s="7" t="s">
        <v>31</v>
      </c>
      <c r="F66" s="7"/>
      <c r="G66" s="7" t="s">
        <v>31</v>
      </c>
      <c r="H66" s="14">
        <f t="shared" si="1"/>
        <v>1</v>
      </c>
      <c r="I66" s="1149"/>
      <c r="J66" s="1149"/>
      <c r="K66" s="83"/>
    </row>
    <row r="67" spans="1:11" s="8" customFormat="1" ht="35.1" hidden="1" customHeight="1" outlineLevel="1">
      <c r="A67" s="80">
        <f>IF(B67&lt;&gt;"", COUNTIF($B$54:B67, "&lt;&gt;"), "")</f>
        <v>14</v>
      </c>
      <c r="B67" s="11" t="s">
        <v>99</v>
      </c>
      <c r="C67" s="12" t="s">
        <v>31</v>
      </c>
      <c r="D67" s="7" t="s">
        <v>31</v>
      </c>
      <c r="E67" s="7" t="s">
        <v>31</v>
      </c>
      <c r="F67" s="7"/>
      <c r="G67" s="7" t="s">
        <v>31</v>
      </c>
      <c r="H67" s="14">
        <f t="shared" si="1"/>
        <v>1</v>
      </c>
      <c r="I67" s="1149"/>
      <c r="J67" s="1149"/>
      <c r="K67" s="83"/>
    </row>
    <row r="68" spans="1:11" s="8" customFormat="1" ht="35.1" hidden="1" customHeight="1" outlineLevel="1">
      <c r="A68" s="80">
        <f>IF(B68&lt;&gt;"", COUNTIF($B$54:B68, "&lt;&gt;"), "")</f>
        <v>15</v>
      </c>
      <c r="B68" s="11" t="s">
        <v>100</v>
      </c>
      <c r="C68" s="12" t="s">
        <v>153</v>
      </c>
      <c r="D68" s="12"/>
      <c r="E68" s="18"/>
      <c r="F68" s="7"/>
      <c r="G68" s="7"/>
      <c r="H68" s="14">
        <f>IF(OR(G68="N/A",G68="approved",G68="Approved w/ comment",G68="Ongoing",G68="IFI",G68="IFR"),1,0)</f>
        <v>0</v>
      </c>
      <c r="I68" s="1149"/>
      <c r="J68" s="1149"/>
      <c r="K68" s="83"/>
    </row>
    <row r="69" spans="1:11" s="8" customFormat="1" ht="35.1" hidden="1" customHeight="1" outlineLevel="1">
      <c r="A69" s="80">
        <f>IF(B69&lt;&gt;"", COUNTIF($B$54:B69, "&lt;&gt;"), "")</f>
        <v>16</v>
      </c>
      <c r="B69" s="11" t="s">
        <v>102</v>
      </c>
      <c r="C69" s="12" t="s">
        <v>154</v>
      </c>
      <c r="D69" s="12" t="s">
        <v>67</v>
      </c>
      <c r="E69" s="18">
        <v>4</v>
      </c>
      <c r="F69" s="7"/>
      <c r="G69" s="7" t="s">
        <v>73</v>
      </c>
      <c r="H69" s="14">
        <f>IF(OR(G69="N/A",G69="approved",G69="Approved w/ comment",G69="Ongoing",G69="IFI",G69="IFR"),1,0)</f>
        <v>1</v>
      </c>
      <c r="I69" s="1150"/>
      <c r="J69" s="1150"/>
      <c r="K69" s="84"/>
    </row>
    <row r="70" spans="1:11" s="17" customFormat="1" ht="35.1" hidden="1" customHeight="1" outlineLevel="1" collapsed="1">
      <c r="A70" s="1151" t="s">
        <v>155</v>
      </c>
      <c r="B70" s="1152"/>
      <c r="C70" s="1152"/>
      <c r="D70" s="1152"/>
      <c r="E70" s="1152"/>
      <c r="F70" s="1152"/>
      <c r="G70" s="1152"/>
      <c r="H70" s="1152"/>
      <c r="I70" s="1152"/>
      <c r="J70" s="1152"/>
      <c r="K70" s="79"/>
    </row>
    <row r="71" spans="1:11" s="8" customFormat="1" ht="35.1" hidden="1" customHeight="1" outlineLevel="1">
      <c r="A71" s="80">
        <f>IF(B71&lt;&gt;"", COUNTIF($B$71:B71, "&lt;&gt;"), "")</f>
        <v>1</v>
      </c>
      <c r="B71" s="10" t="s">
        <v>65</v>
      </c>
      <c r="C71" s="21" t="s">
        <v>156</v>
      </c>
      <c r="D71" s="7" t="s">
        <v>31</v>
      </c>
      <c r="E71" s="7" t="s">
        <v>31</v>
      </c>
      <c r="F71" s="7"/>
      <c r="G71" s="7" t="s">
        <v>31</v>
      </c>
      <c r="H71" s="14">
        <f>IF(OR(G71="N/A",G71="approved",G71="Approved w/ comment",G71="Ongoing",G71="IFI",G71="IFR"),1,0)</f>
        <v>1</v>
      </c>
      <c r="I71" s="1148">
        <f>COUNTIF(D71:D86,"&lt;&gt;")/COUNTA(B71:B86)</f>
        <v>1</v>
      </c>
      <c r="J71" s="1148">
        <f>AVERAGE(H71:H86)</f>
        <v>1</v>
      </c>
      <c r="K71" s="83"/>
    </row>
    <row r="72" spans="1:11" s="8" customFormat="1" ht="35.1" hidden="1" customHeight="1" outlineLevel="1">
      <c r="A72" s="80">
        <f>IF(B72&lt;&gt;"", COUNTIF($B$71:B72, "&lt;&gt;"), "")</f>
        <v>2</v>
      </c>
      <c r="B72" s="11" t="s">
        <v>70</v>
      </c>
      <c r="C72" s="21" t="s">
        <v>156</v>
      </c>
      <c r="D72" s="7" t="s">
        <v>31</v>
      </c>
      <c r="E72" s="7" t="s">
        <v>31</v>
      </c>
      <c r="F72" s="7"/>
      <c r="G72" s="7" t="s">
        <v>31</v>
      </c>
      <c r="H72" s="14">
        <f>IF(OR(G72="N/A",G72="approved",G72="Approved w/ comment",G72="Ongoing",G72="IFI",G72="IFR"),1,0)</f>
        <v>1</v>
      </c>
      <c r="I72" s="1149"/>
      <c r="J72" s="1149"/>
      <c r="K72" s="83"/>
    </row>
    <row r="73" spans="1:11" s="8" customFormat="1" ht="35.1" hidden="1" customHeight="1" outlineLevel="1">
      <c r="A73" s="80">
        <f>IF(B73&lt;&gt;"", COUNTIF($B$71:B73, "&lt;&gt;"), "")</f>
        <v>3</v>
      </c>
      <c r="B73" s="10" t="s">
        <v>74</v>
      </c>
      <c r="C73" s="12" t="s">
        <v>157</v>
      </c>
      <c r="D73" s="7" t="s">
        <v>67</v>
      </c>
      <c r="E73" s="18">
        <v>4</v>
      </c>
      <c r="F73" s="7"/>
      <c r="G73" s="7" t="s">
        <v>73</v>
      </c>
      <c r="H73" s="14">
        <f>IF(OR(G73="N/A",G73="approved",G73="Ongoing",G73="IFI",G73="IFR"),1,0)</f>
        <v>1</v>
      </c>
      <c r="I73" s="1149"/>
      <c r="J73" s="1149"/>
      <c r="K73" s="83"/>
    </row>
    <row r="74" spans="1:11" s="8" customFormat="1" ht="35.1" hidden="1" customHeight="1" outlineLevel="1">
      <c r="A74" s="80">
        <f>IF(B74&lt;&gt;"", COUNTIF($B$71:B74, "&lt;&gt;"), "")</f>
        <v>4</v>
      </c>
      <c r="B74" s="11" t="s">
        <v>78</v>
      </c>
      <c r="C74" s="12" t="s">
        <v>31</v>
      </c>
      <c r="D74" s="7" t="s">
        <v>31</v>
      </c>
      <c r="E74" s="7" t="s">
        <v>31</v>
      </c>
      <c r="F74" s="7"/>
      <c r="G74" s="7" t="s">
        <v>31</v>
      </c>
      <c r="H74" s="14">
        <f t="shared" ref="H74:H86" si="2">IF(OR(G74="N/A",G74="approved",G74="Approved w/ comment",G74="Ongoing",G74="IFI",G74="IFR"),1,0)</f>
        <v>1</v>
      </c>
      <c r="I74" s="1149"/>
      <c r="J74" s="1149"/>
      <c r="K74" s="83"/>
    </row>
    <row r="75" spans="1:11" s="8" customFormat="1" ht="35.1" hidden="1" customHeight="1" outlineLevel="1">
      <c r="A75" s="80">
        <f>IF(B75&lt;&gt;"", COUNTIF($B$71:B75, "&lt;&gt;"), "")</f>
        <v>5</v>
      </c>
      <c r="B75" s="11" t="s">
        <v>81</v>
      </c>
      <c r="C75" s="12" t="s">
        <v>31</v>
      </c>
      <c r="D75" s="7" t="s">
        <v>31</v>
      </c>
      <c r="E75" s="7" t="s">
        <v>31</v>
      </c>
      <c r="F75" s="7"/>
      <c r="G75" s="7" t="s">
        <v>31</v>
      </c>
      <c r="H75" s="14">
        <f t="shared" si="2"/>
        <v>1</v>
      </c>
      <c r="I75" s="1149"/>
      <c r="J75" s="1149"/>
      <c r="K75" s="83"/>
    </row>
    <row r="76" spans="1:11" s="8" customFormat="1" ht="35.1" hidden="1" customHeight="1" outlineLevel="1">
      <c r="A76" s="80">
        <f>IF(B76&lt;&gt;"", COUNTIF($B$71:B76, "&lt;&gt;"), "")</f>
        <v>6</v>
      </c>
      <c r="B76" s="11" t="s">
        <v>83</v>
      </c>
      <c r="C76" s="12" t="s">
        <v>31</v>
      </c>
      <c r="D76" s="7" t="s">
        <v>31</v>
      </c>
      <c r="E76" s="7" t="s">
        <v>31</v>
      </c>
      <c r="F76" s="7"/>
      <c r="G76" s="7" t="s">
        <v>31</v>
      </c>
      <c r="H76" s="14">
        <f t="shared" si="2"/>
        <v>1</v>
      </c>
      <c r="I76" s="1149"/>
      <c r="J76" s="1149"/>
      <c r="K76" s="83"/>
    </row>
    <row r="77" spans="1:11" s="8" customFormat="1" ht="35.1" hidden="1" customHeight="1" outlineLevel="1">
      <c r="A77" s="80">
        <f>IF(B77&lt;&gt;"", COUNTIF($B$71:B77, "&lt;&gt;"), "")</f>
        <v>7</v>
      </c>
      <c r="B77" s="11" t="s">
        <v>85</v>
      </c>
      <c r="C77" s="12" t="s">
        <v>31</v>
      </c>
      <c r="D77" s="7" t="s">
        <v>31</v>
      </c>
      <c r="E77" s="7" t="s">
        <v>31</v>
      </c>
      <c r="F77" s="7"/>
      <c r="G77" s="7" t="s">
        <v>31</v>
      </c>
      <c r="H77" s="14">
        <f t="shared" si="2"/>
        <v>1</v>
      </c>
      <c r="I77" s="1149"/>
      <c r="J77" s="1149"/>
      <c r="K77" s="83"/>
    </row>
    <row r="78" spans="1:11" s="8" customFormat="1" ht="35.1" hidden="1" customHeight="1" outlineLevel="1">
      <c r="A78" s="80">
        <f>IF(B78&lt;&gt;"", COUNTIF($B$71:B78, "&lt;&gt;"), "")</f>
        <v>8</v>
      </c>
      <c r="B78" s="10" t="s">
        <v>121</v>
      </c>
      <c r="C78" s="21" t="s">
        <v>31</v>
      </c>
      <c r="D78" s="7" t="s">
        <v>31</v>
      </c>
      <c r="E78" s="7" t="s">
        <v>31</v>
      </c>
      <c r="F78" s="7"/>
      <c r="G78" s="7" t="s">
        <v>31</v>
      </c>
      <c r="H78" s="14">
        <f t="shared" si="2"/>
        <v>1</v>
      </c>
      <c r="I78" s="1149"/>
      <c r="J78" s="1149"/>
      <c r="K78" s="83"/>
    </row>
    <row r="79" spans="1:11" s="8" customFormat="1" ht="35.1" hidden="1" customHeight="1" outlineLevel="1">
      <c r="A79" s="80">
        <f>IF(B79&lt;&gt;"", COUNTIF($B$71:B79, "&lt;&gt;"), "")</f>
        <v>9</v>
      </c>
      <c r="B79" s="12" t="s">
        <v>91</v>
      </c>
      <c r="C79" s="12" t="s">
        <v>31</v>
      </c>
      <c r="D79" s="7" t="s">
        <v>31</v>
      </c>
      <c r="E79" s="7" t="s">
        <v>31</v>
      </c>
      <c r="F79" s="7"/>
      <c r="G79" s="7" t="s">
        <v>31</v>
      </c>
      <c r="H79" s="14">
        <f t="shared" si="2"/>
        <v>1</v>
      </c>
      <c r="I79" s="1149"/>
      <c r="J79" s="1149"/>
      <c r="K79" s="83"/>
    </row>
    <row r="80" spans="1:11" s="8" customFormat="1" ht="35.1" hidden="1" customHeight="1" outlineLevel="1">
      <c r="A80" s="80">
        <f>IF(B80&lt;&gt;"", COUNTIF($B$71:B80, "&lt;&gt;"), "")</f>
        <v>10</v>
      </c>
      <c r="B80" s="10" t="s">
        <v>92</v>
      </c>
      <c r="C80" s="12" t="s">
        <v>156</v>
      </c>
      <c r="D80" s="7" t="s">
        <v>31</v>
      </c>
      <c r="E80" s="7" t="s">
        <v>31</v>
      </c>
      <c r="F80" s="7"/>
      <c r="G80" s="7" t="s">
        <v>31</v>
      </c>
      <c r="H80" s="14">
        <f t="shared" si="2"/>
        <v>1</v>
      </c>
      <c r="I80" s="1149"/>
      <c r="J80" s="1149"/>
      <c r="K80" s="83"/>
    </row>
    <row r="81" spans="1:11" s="8" customFormat="1" ht="35.1" hidden="1" customHeight="1" outlineLevel="1">
      <c r="A81" s="80">
        <f>IF(B81&lt;&gt;"", COUNTIF($B$71:B81, "&lt;&gt;"), "")</f>
        <v>11</v>
      </c>
      <c r="B81" s="10" t="s">
        <v>95</v>
      </c>
      <c r="C81" s="12" t="s">
        <v>31</v>
      </c>
      <c r="D81" s="7" t="s">
        <v>31</v>
      </c>
      <c r="E81" s="7" t="s">
        <v>31</v>
      </c>
      <c r="F81" s="7"/>
      <c r="G81" s="7" t="s">
        <v>31</v>
      </c>
      <c r="H81" s="14">
        <f t="shared" si="2"/>
        <v>1</v>
      </c>
      <c r="I81" s="1149"/>
      <c r="J81" s="1149"/>
      <c r="K81" s="83"/>
    </row>
    <row r="82" spans="1:11" s="8" customFormat="1" ht="35.1" hidden="1" customHeight="1" outlineLevel="1">
      <c r="A82" s="80">
        <f>IF(B82&lt;&gt;"", COUNTIF($B$71:B82, "&lt;&gt;"), "")</f>
        <v>12</v>
      </c>
      <c r="B82" s="11" t="s">
        <v>97</v>
      </c>
      <c r="C82" s="19" t="s">
        <v>31</v>
      </c>
      <c r="D82" s="7" t="s">
        <v>31</v>
      </c>
      <c r="E82" s="7" t="s">
        <v>31</v>
      </c>
      <c r="F82" s="7"/>
      <c r="G82" s="7" t="s">
        <v>31</v>
      </c>
      <c r="H82" s="14">
        <f t="shared" si="2"/>
        <v>1</v>
      </c>
      <c r="I82" s="1149"/>
      <c r="J82" s="1149"/>
      <c r="K82" s="83"/>
    </row>
    <row r="83" spans="1:11" s="8" customFormat="1" ht="35.1" hidden="1" customHeight="1" outlineLevel="1">
      <c r="A83" s="80">
        <f>IF(B83&lt;&gt;"", COUNTIF($B$71:B83, "&lt;&gt;"), "")</f>
        <v>13</v>
      </c>
      <c r="B83" s="11" t="s">
        <v>98</v>
      </c>
      <c r="C83" s="19" t="s">
        <v>31</v>
      </c>
      <c r="D83" s="7" t="s">
        <v>31</v>
      </c>
      <c r="E83" s="7" t="s">
        <v>31</v>
      </c>
      <c r="F83" s="7"/>
      <c r="G83" s="7" t="s">
        <v>31</v>
      </c>
      <c r="H83" s="14">
        <f t="shared" si="2"/>
        <v>1</v>
      </c>
      <c r="I83" s="1149"/>
      <c r="J83" s="1149"/>
      <c r="K83" s="83"/>
    </row>
    <row r="84" spans="1:11" s="8" customFormat="1" ht="35.1" hidden="1" customHeight="1" outlineLevel="1">
      <c r="A84" s="80">
        <f>IF(B84&lt;&gt;"", COUNTIF($B$71:B84, "&lt;&gt;"), "")</f>
        <v>14</v>
      </c>
      <c r="B84" s="11" t="s">
        <v>99</v>
      </c>
      <c r="C84" s="12" t="s">
        <v>31</v>
      </c>
      <c r="D84" s="7" t="s">
        <v>31</v>
      </c>
      <c r="E84" s="7" t="s">
        <v>31</v>
      </c>
      <c r="F84" s="7"/>
      <c r="G84" s="7" t="s">
        <v>31</v>
      </c>
      <c r="H84" s="14">
        <f t="shared" si="2"/>
        <v>1</v>
      </c>
      <c r="I84" s="1149"/>
      <c r="J84" s="1149"/>
      <c r="K84" s="83"/>
    </row>
    <row r="85" spans="1:11" s="8" customFormat="1" ht="35.1" hidden="1" customHeight="1" outlineLevel="1">
      <c r="A85" s="80">
        <f>IF(B85&lt;&gt;"", COUNTIF($B$71:B85, "&lt;&gt;"), "")</f>
        <v>15</v>
      </c>
      <c r="B85" s="11" t="s">
        <v>100</v>
      </c>
      <c r="C85" s="12" t="s">
        <v>31</v>
      </c>
      <c r="D85" s="7" t="s">
        <v>31</v>
      </c>
      <c r="E85" s="7" t="s">
        <v>31</v>
      </c>
      <c r="F85" s="7"/>
      <c r="G85" s="7" t="s">
        <v>31</v>
      </c>
      <c r="H85" s="14">
        <f t="shared" si="2"/>
        <v>1</v>
      </c>
      <c r="I85" s="1149"/>
      <c r="J85" s="1149"/>
      <c r="K85" s="83"/>
    </row>
    <row r="86" spans="1:11" s="8" customFormat="1" ht="35.1" hidden="1" customHeight="1" outlineLevel="1">
      <c r="A86" s="80">
        <f>IF(B86&lt;&gt;"", COUNTIF($B$71:B86, "&lt;&gt;"), "")</f>
        <v>16</v>
      </c>
      <c r="B86" s="11" t="s">
        <v>102</v>
      </c>
      <c r="C86" s="12" t="s">
        <v>31</v>
      </c>
      <c r="D86" s="7" t="s">
        <v>31</v>
      </c>
      <c r="E86" s="7" t="s">
        <v>31</v>
      </c>
      <c r="F86" s="7"/>
      <c r="G86" s="7" t="s">
        <v>31</v>
      </c>
      <c r="H86" s="14">
        <f t="shared" si="2"/>
        <v>1</v>
      </c>
      <c r="I86" s="1150"/>
      <c r="J86" s="1150"/>
      <c r="K86" s="83"/>
    </row>
    <row r="87" spans="1:11" ht="35.1" hidden="1" customHeight="1" outlineLevel="1">
      <c r="A87" s="1151" t="s">
        <v>32</v>
      </c>
      <c r="B87" s="1152"/>
      <c r="C87" s="1152"/>
      <c r="D87" s="1152"/>
      <c r="E87" s="1152"/>
      <c r="F87" s="1152"/>
      <c r="G87" s="1152"/>
      <c r="H87" s="1152"/>
      <c r="I87" s="1152"/>
      <c r="J87" s="1152"/>
      <c r="K87" s="79"/>
    </row>
    <row r="88" spans="1:11" s="8" customFormat="1" ht="35.1" hidden="1" customHeight="1" outlineLevel="1">
      <c r="A88" s="80">
        <f>IF(B88&lt;&gt;"", COUNTIF($B$88:B88, "&lt;&gt;"), "")</f>
        <v>1</v>
      </c>
      <c r="B88" s="11" t="s">
        <v>65</v>
      </c>
      <c r="C88" s="12" t="s">
        <v>158</v>
      </c>
      <c r="D88" s="7" t="s">
        <v>67</v>
      </c>
      <c r="E88" s="18">
        <v>31</v>
      </c>
      <c r="F88" s="7"/>
      <c r="G88" s="7" t="s">
        <v>116</v>
      </c>
      <c r="H88" s="14">
        <f t="shared" ref="H88:H103" si="3">IF(OR(G88="N/A",G88="approved",G88="Approved w/ comment",G88="Ongoing",G88="IFI",G88="IFR"),1,0)</f>
        <v>1</v>
      </c>
      <c r="I88" s="1148">
        <f>COUNTIF(D88:D103,"&lt;&gt;")/COUNTA(B88:B103)</f>
        <v>0.9375</v>
      </c>
      <c r="J88" s="1148">
        <f>AVERAGE(H88:H103)</f>
        <v>0.875</v>
      </c>
      <c r="K88" s="83"/>
    </row>
    <row r="89" spans="1:11" s="8" customFormat="1" ht="35.1" hidden="1" customHeight="1" outlineLevel="1">
      <c r="A89" s="80">
        <f>IF(B89&lt;&gt;"", COUNTIF($B$88:B89, "&lt;&gt;"), "")</f>
        <v>2</v>
      </c>
      <c r="B89" s="11" t="s">
        <v>70</v>
      </c>
      <c r="C89" s="12" t="s">
        <v>159</v>
      </c>
      <c r="D89" s="7" t="s">
        <v>67</v>
      </c>
      <c r="E89" s="18">
        <v>13</v>
      </c>
      <c r="F89" s="7"/>
      <c r="G89" s="7" t="s">
        <v>111</v>
      </c>
      <c r="H89" s="14">
        <f t="shared" si="3"/>
        <v>1</v>
      </c>
      <c r="I89" s="1149"/>
      <c r="J89" s="1149"/>
      <c r="K89" s="83"/>
    </row>
    <row r="90" spans="1:11" s="8" customFormat="1" ht="35.1" hidden="1" customHeight="1" outlineLevel="1">
      <c r="A90" s="80">
        <f>IF(B90&lt;&gt;"", COUNTIF($B$88:B90, "&lt;&gt;"), "")</f>
        <v>3</v>
      </c>
      <c r="B90" s="11" t="s">
        <v>74</v>
      </c>
      <c r="C90" s="12" t="s">
        <v>160</v>
      </c>
      <c r="D90" s="7" t="s">
        <v>67</v>
      </c>
      <c r="E90" s="18">
        <v>6</v>
      </c>
      <c r="F90" s="7"/>
      <c r="G90" s="7" t="s">
        <v>73</v>
      </c>
      <c r="H90" s="14">
        <f t="shared" si="3"/>
        <v>1</v>
      </c>
      <c r="I90" s="1149"/>
      <c r="J90" s="1149"/>
      <c r="K90" s="83"/>
    </row>
    <row r="91" spans="1:11" s="8" customFormat="1" ht="35.1" hidden="1" customHeight="1" outlineLevel="1">
      <c r="A91" s="80">
        <f>IF(B91&lt;&gt;"", COUNTIF($B$88:B91, "&lt;&gt;"), "")</f>
        <v>4</v>
      </c>
      <c r="B91" s="11" t="s">
        <v>78</v>
      </c>
      <c r="C91" s="12" t="s">
        <v>161</v>
      </c>
      <c r="D91" s="7" t="s">
        <v>67</v>
      </c>
      <c r="E91" s="18">
        <v>3</v>
      </c>
      <c r="F91" s="7"/>
      <c r="G91" s="7" t="s">
        <v>116</v>
      </c>
      <c r="H91" s="14">
        <f t="shared" si="3"/>
        <v>1</v>
      </c>
      <c r="I91" s="1149"/>
      <c r="J91" s="1149"/>
      <c r="K91" s="83"/>
    </row>
    <row r="92" spans="1:11" s="8" customFormat="1" ht="35.1" hidden="1" customHeight="1" outlineLevel="1">
      <c r="A92" s="80">
        <f>IF(B92&lt;&gt;"", COUNTIF($B$88:B92, "&lt;&gt;"), "")</f>
        <v>5</v>
      </c>
      <c r="B92" s="11" t="s">
        <v>81</v>
      </c>
      <c r="C92" s="12" t="s">
        <v>162</v>
      </c>
      <c r="D92" s="7" t="s">
        <v>67</v>
      </c>
      <c r="E92" s="18">
        <v>4</v>
      </c>
      <c r="F92" s="7"/>
      <c r="G92" s="7" t="s">
        <v>116</v>
      </c>
      <c r="H92" s="14">
        <f t="shared" si="3"/>
        <v>1</v>
      </c>
      <c r="I92" s="1149"/>
      <c r="J92" s="1149"/>
      <c r="K92" s="83"/>
    </row>
    <row r="93" spans="1:11" s="8" customFormat="1" ht="35.1" hidden="1" customHeight="1" outlineLevel="1">
      <c r="A93" s="80">
        <f>IF(B93&lt;&gt;"", COUNTIF($B$88:B93, "&lt;&gt;"), "")</f>
        <v>6</v>
      </c>
      <c r="B93" s="11" t="s">
        <v>83</v>
      </c>
      <c r="C93" s="12" t="s">
        <v>31</v>
      </c>
      <c r="D93" s="18" t="s">
        <v>31</v>
      </c>
      <c r="E93" s="18" t="s">
        <v>31</v>
      </c>
      <c r="F93" s="18" t="s">
        <v>31</v>
      </c>
      <c r="G93" s="18" t="s">
        <v>31</v>
      </c>
      <c r="H93" s="14">
        <f>IF(OR(G93="N/A",G93="approved",G93="Ongoing",G93="IFI",G93="IFR"),1,0)</f>
        <v>1</v>
      </c>
      <c r="I93" s="1149"/>
      <c r="J93" s="1149"/>
      <c r="K93" s="83"/>
    </row>
    <row r="94" spans="1:11" s="8" customFormat="1" ht="35.1" hidden="1" customHeight="1" outlineLevel="1">
      <c r="A94" s="80">
        <f>IF(B94&lt;&gt;"", COUNTIF($B$88:B94, "&lt;&gt;"), "")</f>
        <v>7</v>
      </c>
      <c r="B94" s="11" t="s">
        <v>85</v>
      </c>
      <c r="C94" s="12" t="s">
        <v>163</v>
      </c>
      <c r="D94" s="7" t="s">
        <v>67</v>
      </c>
      <c r="E94" s="18">
        <v>5</v>
      </c>
      <c r="F94" s="7"/>
      <c r="G94" s="7" t="s">
        <v>73</v>
      </c>
      <c r="H94" s="14">
        <f t="shared" si="3"/>
        <v>1</v>
      </c>
      <c r="I94" s="1149"/>
      <c r="J94" s="1149"/>
      <c r="K94" s="83"/>
    </row>
    <row r="95" spans="1:11" s="8" customFormat="1" ht="35.1" hidden="1" customHeight="1" outlineLevel="1">
      <c r="A95" s="80">
        <f>IF(B95&lt;&gt;"", COUNTIF($B$88:B95, "&lt;&gt;"), "")</f>
        <v>8</v>
      </c>
      <c r="B95" s="11" t="s">
        <v>121</v>
      </c>
      <c r="C95" s="12" t="s">
        <v>31</v>
      </c>
      <c r="D95" s="18" t="s">
        <v>31</v>
      </c>
      <c r="E95" s="18" t="s">
        <v>31</v>
      </c>
      <c r="F95" s="18" t="s">
        <v>31</v>
      </c>
      <c r="G95" s="18" t="s">
        <v>31</v>
      </c>
      <c r="H95" s="14">
        <f>IF(OR(G95="N/A",G95="approved",G95="Ongoing",G95="IFI",G95="IFR"),1,0)</f>
        <v>1</v>
      </c>
      <c r="I95" s="1149"/>
      <c r="J95" s="1149"/>
      <c r="K95" s="83"/>
    </row>
    <row r="96" spans="1:11" s="8" customFormat="1" ht="35.1" hidden="1" customHeight="1" outlineLevel="1">
      <c r="A96" s="80">
        <f>IF(B96&lt;&gt;"", COUNTIF($B$88:B96, "&lt;&gt;"), "")</f>
        <v>9</v>
      </c>
      <c r="B96" s="11" t="s">
        <v>91</v>
      </c>
      <c r="C96" s="12" t="s">
        <v>164</v>
      </c>
      <c r="D96" s="7" t="s">
        <v>67</v>
      </c>
      <c r="E96" s="18">
        <v>1</v>
      </c>
      <c r="F96" s="7"/>
      <c r="G96" s="7" t="s">
        <v>73</v>
      </c>
      <c r="H96" s="14">
        <f t="shared" si="3"/>
        <v>1</v>
      </c>
      <c r="I96" s="1149"/>
      <c r="J96" s="1149"/>
      <c r="K96" s="83"/>
    </row>
    <row r="97" spans="1:11" s="8" customFormat="1" ht="35.1" hidden="1" customHeight="1" outlineLevel="1">
      <c r="A97" s="80">
        <f>IF(B97&lt;&gt;"", COUNTIF($B$88:B97, "&lt;&gt;"), "")</f>
        <v>10</v>
      </c>
      <c r="B97" s="11" t="s">
        <v>92</v>
      </c>
      <c r="C97" s="58" t="s">
        <v>165</v>
      </c>
      <c r="D97" s="7" t="s">
        <v>67</v>
      </c>
      <c r="E97" s="18"/>
      <c r="F97" s="7"/>
      <c r="G97" s="7"/>
      <c r="H97" s="14">
        <f>ITPOSS_SMPTSC!I13</f>
        <v>1</v>
      </c>
      <c r="I97" s="1149"/>
      <c r="J97" s="1149"/>
      <c r="K97" s="83"/>
    </row>
    <row r="98" spans="1:11" s="8" customFormat="1" ht="35.1" hidden="1" customHeight="1" outlineLevel="1">
      <c r="A98" s="80">
        <f>IF(B98&lt;&gt;"", COUNTIF($B$88:B98, "&lt;&gt;"), "")</f>
        <v>11</v>
      </c>
      <c r="B98" s="11" t="s">
        <v>95</v>
      </c>
      <c r="C98" s="12" t="s">
        <v>166</v>
      </c>
      <c r="D98" s="7" t="s">
        <v>67</v>
      </c>
      <c r="E98" s="18">
        <v>1</v>
      </c>
      <c r="F98" s="7"/>
      <c r="G98" s="7" t="s">
        <v>167</v>
      </c>
      <c r="H98" s="14">
        <f t="shared" si="3"/>
        <v>0</v>
      </c>
      <c r="I98" s="1149"/>
      <c r="J98" s="1149"/>
      <c r="K98" s="83"/>
    </row>
    <row r="99" spans="1:11" s="8" customFormat="1" ht="35.1" hidden="1" customHeight="1" outlineLevel="1">
      <c r="A99" s="80">
        <f>IF(B99&lt;&gt;"", COUNTIF($B$88:B99, "&lt;&gt;"), "")</f>
        <v>12</v>
      </c>
      <c r="B99" s="11" t="s">
        <v>97</v>
      </c>
      <c r="C99" s="12" t="s">
        <v>168</v>
      </c>
      <c r="D99" s="7" t="s">
        <v>67</v>
      </c>
      <c r="E99" s="18">
        <v>4</v>
      </c>
      <c r="F99" s="7"/>
      <c r="G99" s="7" t="s">
        <v>73</v>
      </c>
      <c r="H99" s="14">
        <v>1</v>
      </c>
      <c r="I99" s="1149"/>
      <c r="J99" s="1149"/>
      <c r="K99" s="83"/>
    </row>
    <row r="100" spans="1:11" s="8" customFormat="1" ht="35.1" hidden="1" customHeight="1" outlineLevel="1">
      <c r="A100" s="80">
        <f>IF(B100&lt;&gt;"", COUNTIF($B$88:B100, "&lt;&gt;"), "")</f>
        <v>13</v>
      </c>
      <c r="B100" s="11" t="s">
        <v>98</v>
      </c>
      <c r="C100" s="12" t="s">
        <v>169</v>
      </c>
      <c r="D100" s="12" t="s">
        <v>31</v>
      </c>
      <c r="E100" s="18"/>
      <c r="F100" s="7"/>
      <c r="G100" s="7" t="s">
        <v>31</v>
      </c>
      <c r="H100" s="14">
        <f t="shared" si="3"/>
        <v>1</v>
      </c>
      <c r="I100" s="1149"/>
      <c r="J100" s="1149"/>
      <c r="K100" s="83"/>
    </row>
    <row r="101" spans="1:11" s="8" customFormat="1" ht="35.1" hidden="1" customHeight="1" outlineLevel="1">
      <c r="A101" s="80">
        <f>IF(B101&lt;&gt;"", COUNTIF($B$88:B101, "&lt;&gt;"), "")</f>
        <v>14</v>
      </c>
      <c r="B101" s="11" t="s">
        <v>99</v>
      </c>
      <c r="C101" s="12" t="s">
        <v>170</v>
      </c>
      <c r="D101" s="7" t="s">
        <v>67</v>
      </c>
      <c r="E101" s="18" t="s">
        <v>31</v>
      </c>
      <c r="F101" s="7"/>
      <c r="G101" s="7" t="s">
        <v>73</v>
      </c>
      <c r="H101" s="14">
        <f t="shared" si="3"/>
        <v>1</v>
      </c>
      <c r="I101" s="1149"/>
      <c r="J101" s="1149"/>
      <c r="K101" s="83"/>
    </row>
    <row r="102" spans="1:11" s="8" customFormat="1" ht="35.1" hidden="1" customHeight="1" outlineLevel="1">
      <c r="A102" s="80">
        <f>IF(B102&lt;&gt;"", COUNTIF($B$88:B102, "&lt;&gt;"), "")</f>
        <v>15</v>
      </c>
      <c r="B102" s="11" t="s">
        <v>100</v>
      </c>
      <c r="C102" s="12" t="s">
        <v>171</v>
      </c>
      <c r="D102" s="7" t="s">
        <v>67</v>
      </c>
      <c r="E102" s="18" t="s">
        <v>31</v>
      </c>
      <c r="F102" s="7"/>
      <c r="G102" s="7" t="s">
        <v>73</v>
      </c>
      <c r="H102" s="14">
        <f t="shared" si="3"/>
        <v>1</v>
      </c>
      <c r="I102" s="1149"/>
      <c r="J102" s="1149"/>
      <c r="K102" s="83"/>
    </row>
    <row r="103" spans="1:11" s="8" customFormat="1" ht="35.1" hidden="1" customHeight="1" outlineLevel="1">
      <c r="A103" s="80">
        <f>IF(B103&lt;&gt;"", COUNTIF($B$88:B103, "&lt;&gt;"), "")</f>
        <v>16</v>
      </c>
      <c r="B103" s="11" t="s">
        <v>102</v>
      </c>
      <c r="C103" s="12" t="s">
        <v>172</v>
      </c>
      <c r="D103" s="12"/>
      <c r="E103" s="18"/>
      <c r="F103" s="7"/>
      <c r="G103" s="7" t="s">
        <v>173</v>
      </c>
      <c r="H103" s="14">
        <f t="shared" si="3"/>
        <v>0</v>
      </c>
      <c r="I103" s="1150"/>
      <c r="J103" s="1150"/>
      <c r="K103" s="83"/>
    </row>
    <row r="104" spans="1:11" ht="35.1" hidden="1" customHeight="1" outlineLevel="1" collapsed="1">
      <c r="A104" s="1151" t="s">
        <v>39</v>
      </c>
      <c r="B104" s="1152"/>
      <c r="C104" s="1152"/>
      <c r="D104" s="1152"/>
      <c r="E104" s="1152"/>
      <c r="F104" s="1152"/>
      <c r="G104" s="1152"/>
      <c r="H104" s="1152"/>
      <c r="I104" s="1152"/>
      <c r="J104" s="1152"/>
      <c r="K104" s="79"/>
    </row>
    <row r="105" spans="1:11" s="8" customFormat="1" ht="35.1" hidden="1" customHeight="1" outlineLevel="1">
      <c r="A105" s="80">
        <f>IF(B105&lt;&gt;"", COUNTIF($B$105:B105, "&lt;&gt;"), "")</f>
        <v>1</v>
      </c>
      <c r="B105" s="10" t="s">
        <v>65</v>
      </c>
      <c r="C105" s="12" t="s">
        <v>174</v>
      </c>
      <c r="D105" s="7" t="s">
        <v>67</v>
      </c>
      <c r="E105" s="18">
        <v>22</v>
      </c>
      <c r="F105" s="7" t="s">
        <v>175</v>
      </c>
      <c r="G105" s="7" t="s">
        <v>73</v>
      </c>
      <c r="H105" s="14">
        <f t="shared" ref="H105:H120" si="4">IF(OR(G105="N/A",G105="approved",G105="Ongoing",G105="IFI",G105="IFR"),1,0)</f>
        <v>1</v>
      </c>
      <c r="I105" s="1153">
        <f>COUNTIF(D105:D121,"&lt;&gt;")/COUNTA(B105:B120)</f>
        <v>0.875</v>
      </c>
      <c r="J105" s="1153">
        <f>AVERAGE(H105:H121)</f>
        <v>0.82352941176470584</v>
      </c>
      <c r="K105" s="82"/>
    </row>
    <row r="106" spans="1:11" s="8" customFormat="1" ht="35.1" hidden="1" customHeight="1" outlineLevel="1">
      <c r="A106" s="80">
        <f>IF(B106&lt;&gt;"", COUNTIF($B$105:B106, "&lt;&gt;"), "")</f>
        <v>2</v>
      </c>
      <c r="B106" s="10" t="s">
        <v>70</v>
      </c>
      <c r="C106" s="12" t="s">
        <v>176</v>
      </c>
      <c r="D106" s="7" t="s">
        <v>67</v>
      </c>
      <c r="E106" s="18">
        <v>10</v>
      </c>
      <c r="F106" s="7" t="s">
        <v>31</v>
      </c>
      <c r="G106" s="7" t="s">
        <v>111</v>
      </c>
      <c r="H106" s="14">
        <f t="shared" si="4"/>
        <v>1</v>
      </c>
      <c r="I106" s="1153"/>
      <c r="J106" s="1153"/>
      <c r="K106" s="82"/>
    </row>
    <row r="107" spans="1:11" s="8" customFormat="1" ht="35.1" hidden="1" customHeight="1" outlineLevel="1">
      <c r="A107" s="80">
        <f>IF(B107&lt;&gt;"", COUNTIF($B$105:B107, "&lt;&gt;"), "")</f>
        <v>3</v>
      </c>
      <c r="B107" s="10" t="s">
        <v>74</v>
      </c>
      <c r="C107" s="12" t="s">
        <v>177</v>
      </c>
      <c r="D107" s="7" t="s">
        <v>67</v>
      </c>
      <c r="E107" s="18">
        <v>6</v>
      </c>
      <c r="F107" s="7" t="s">
        <v>178</v>
      </c>
      <c r="G107" s="7" t="s">
        <v>73</v>
      </c>
      <c r="H107" s="14">
        <f t="shared" si="4"/>
        <v>1</v>
      </c>
      <c r="I107" s="1153"/>
      <c r="J107" s="1153"/>
      <c r="K107" s="82"/>
    </row>
    <row r="108" spans="1:11" s="8" customFormat="1" ht="35.1" hidden="1" customHeight="1" outlineLevel="1">
      <c r="A108" s="80">
        <f>IF(B108&lt;&gt;"", COUNTIF($B$105:B108, "&lt;&gt;"), "")</f>
        <v>4</v>
      </c>
      <c r="B108" s="10" t="s">
        <v>78</v>
      </c>
      <c r="C108" s="12" t="s">
        <v>179</v>
      </c>
      <c r="D108" s="18" t="s">
        <v>67</v>
      </c>
      <c r="E108" s="18">
        <v>5</v>
      </c>
      <c r="F108" s="18" t="s">
        <v>31</v>
      </c>
      <c r="G108" s="18" t="s">
        <v>73</v>
      </c>
      <c r="H108" s="14">
        <f t="shared" si="4"/>
        <v>1</v>
      </c>
      <c r="I108" s="1153"/>
      <c r="J108" s="1153"/>
      <c r="K108" s="82"/>
    </row>
    <row r="109" spans="1:11" s="8" customFormat="1" ht="35.1" hidden="1" customHeight="1" outlineLevel="1">
      <c r="A109" s="80">
        <f>IF(B109&lt;&gt;"", COUNTIF($B$105:B109, "&lt;&gt;"), "")</f>
        <v>5</v>
      </c>
      <c r="B109" s="10" t="s">
        <v>81</v>
      </c>
      <c r="C109" s="12" t="s">
        <v>84</v>
      </c>
      <c r="D109" s="18" t="s">
        <v>31</v>
      </c>
      <c r="E109" s="18" t="s">
        <v>31</v>
      </c>
      <c r="F109" s="18" t="s">
        <v>31</v>
      </c>
      <c r="G109" s="18" t="s">
        <v>31</v>
      </c>
      <c r="H109" s="14">
        <f t="shared" si="4"/>
        <v>1</v>
      </c>
      <c r="I109" s="1153"/>
      <c r="J109" s="1153"/>
      <c r="K109" s="82"/>
    </row>
    <row r="110" spans="1:11" s="8" customFormat="1" ht="35.1" hidden="1" customHeight="1" outlineLevel="1">
      <c r="A110" s="80">
        <f>IF(B110&lt;&gt;"", COUNTIF($B$105:B110, "&lt;&gt;"), "")</f>
        <v>6</v>
      </c>
      <c r="B110" s="10" t="s">
        <v>83</v>
      </c>
      <c r="C110" s="12" t="s">
        <v>110</v>
      </c>
      <c r="D110" s="7"/>
      <c r="E110" s="18"/>
      <c r="F110" s="7"/>
      <c r="G110" s="7"/>
      <c r="H110" s="14">
        <f t="shared" si="4"/>
        <v>0</v>
      </c>
      <c r="I110" s="1153"/>
      <c r="J110" s="1153"/>
      <c r="K110" s="82"/>
    </row>
    <row r="111" spans="1:11" s="8" customFormat="1" ht="35.1" hidden="1" customHeight="1" outlineLevel="1">
      <c r="A111" s="80">
        <f>IF(B111&lt;&gt;"", COUNTIF($B$105:B111, "&lt;&gt;"), "")</f>
        <v>7</v>
      </c>
      <c r="B111" s="10" t="s">
        <v>85</v>
      </c>
      <c r="C111" s="12" t="s">
        <v>180</v>
      </c>
      <c r="D111" s="18" t="s">
        <v>31</v>
      </c>
      <c r="E111" s="18" t="s">
        <v>31</v>
      </c>
      <c r="F111" s="7" t="s">
        <v>31</v>
      </c>
      <c r="G111" s="7" t="s">
        <v>31</v>
      </c>
      <c r="H111" s="14">
        <f t="shared" si="4"/>
        <v>1</v>
      </c>
      <c r="I111" s="1153"/>
      <c r="J111" s="1153"/>
      <c r="K111" s="82"/>
    </row>
    <row r="112" spans="1:11" s="8" customFormat="1" ht="35.1" hidden="1" customHeight="1" outlineLevel="1">
      <c r="A112" s="80">
        <f>IF(B112&lt;&gt;"", COUNTIF($B$105:B112, "&lt;&gt;"), "")</f>
        <v>8</v>
      </c>
      <c r="B112" s="10" t="s">
        <v>121</v>
      </c>
      <c r="C112" s="12" t="s">
        <v>31</v>
      </c>
      <c r="D112" s="18" t="s">
        <v>31</v>
      </c>
      <c r="E112" s="18" t="s">
        <v>31</v>
      </c>
      <c r="F112" s="7" t="s">
        <v>31</v>
      </c>
      <c r="G112" s="7" t="s">
        <v>31</v>
      </c>
      <c r="H112" s="14">
        <f t="shared" si="4"/>
        <v>1</v>
      </c>
      <c r="I112" s="1153"/>
      <c r="J112" s="1153"/>
      <c r="K112" s="82"/>
    </row>
    <row r="113" spans="1:11" s="8" customFormat="1" ht="35.1" hidden="1" customHeight="1" outlineLevel="1">
      <c r="A113" s="80">
        <f>IF(B113&lt;&gt;"", COUNTIF($B$105:B113, "&lt;&gt;"), "")</f>
        <v>9</v>
      </c>
      <c r="B113" s="10" t="s">
        <v>91</v>
      </c>
      <c r="C113" s="12" t="s">
        <v>84</v>
      </c>
      <c r="D113" s="18" t="s">
        <v>31</v>
      </c>
      <c r="E113" s="18" t="s">
        <v>31</v>
      </c>
      <c r="F113" s="7" t="s">
        <v>31</v>
      </c>
      <c r="G113" s="7" t="s">
        <v>31</v>
      </c>
      <c r="H113" s="14">
        <f t="shared" si="4"/>
        <v>1</v>
      </c>
      <c r="I113" s="1153"/>
      <c r="J113" s="1153"/>
      <c r="K113" s="82"/>
    </row>
    <row r="114" spans="1:11" s="8" customFormat="1" ht="35.1" hidden="1" customHeight="1" outlineLevel="1">
      <c r="A114" s="80">
        <f>IF(B114&lt;&gt;"", COUNTIF($B$105:B114, "&lt;&gt;"), "")</f>
        <v>10</v>
      </c>
      <c r="B114" s="10" t="s">
        <v>92</v>
      </c>
      <c r="C114" s="58" t="s">
        <v>181</v>
      </c>
      <c r="D114" s="18" t="s">
        <v>31</v>
      </c>
      <c r="E114" s="18" t="s">
        <v>31</v>
      </c>
      <c r="F114" s="7" t="s">
        <v>31</v>
      </c>
      <c r="G114" s="7" t="s">
        <v>31</v>
      </c>
      <c r="H114" s="14">
        <f t="shared" si="4"/>
        <v>1</v>
      </c>
      <c r="I114" s="1153"/>
      <c r="J114" s="1153"/>
      <c r="K114" s="82"/>
    </row>
    <row r="115" spans="1:11" s="8" customFormat="1" ht="35.1" hidden="1" customHeight="1" outlineLevel="1">
      <c r="A115" s="80">
        <f>IF(B115&lt;&gt;"", COUNTIF($B$105:B115, "&lt;&gt;"), "")</f>
        <v>11</v>
      </c>
      <c r="B115" s="10" t="s">
        <v>95</v>
      </c>
      <c r="C115" s="12" t="s">
        <v>182</v>
      </c>
      <c r="D115" s="7" t="s">
        <v>31</v>
      </c>
      <c r="E115" s="18" t="s">
        <v>31</v>
      </c>
      <c r="F115" s="7"/>
      <c r="G115" s="7" t="s">
        <v>31</v>
      </c>
      <c r="H115" s="14">
        <f t="shared" si="4"/>
        <v>1</v>
      </c>
      <c r="I115" s="1153"/>
      <c r="J115" s="1153"/>
      <c r="K115" s="82"/>
    </row>
    <row r="116" spans="1:11" s="8" customFormat="1" ht="35.1" hidden="1" customHeight="1" outlineLevel="1">
      <c r="A116" s="80">
        <f>IF(B116&lt;&gt;"", COUNTIF($B$105:B116, "&lt;&gt;"), "")</f>
        <v>12</v>
      </c>
      <c r="B116" s="10" t="s">
        <v>97</v>
      </c>
      <c r="C116" s="12" t="s">
        <v>31</v>
      </c>
      <c r="D116" s="18" t="s">
        <v>31</v>
      </c>
      <c r="E116" s="18" t="s">
        <v>31</v>
      </c>
      <c r="F116" s="7" t="s">
        <v>31</v>
      </c>
      <c r="G116" s="7" t="s">
        <v>31</v>
      </c>
      <c r="H116" s="14">
        <f t="shared" si="4"/>
        <v>1</v>
      </c>
      <c r="I116" s="1153"/>
      <c r="J116" s="1153"/>
      <c r="K116" s="82"/>
    </row>
    <row r="117" spans="1:11" s="8" customFormat="1" ht="35.1" hidden="1" customHeight="1" outlineLevel="1">
      <c r="A117" s="80">
        <f>IF(B117&lt;&gt;"", COUNTIF($B$105:B117, "&lt;&gt;"), "")</f>
        <v>13</v>
      </c>
      <c r="B117" s="11" t="s">
        <v>98</v>
      </c>
      <c r="C117" s="12" t="s">
        <v>31</v>
      </c>
      <c r="D117" s="18" t="s">
        <v>31</v>
      </c>
      <c r="E117" s="18" t="s">
        <v>31</v>
      </c>
      <c r="F117" s="7" t="s">
        <v>31</v>
      </c>
      <c r="G117" s="7" t="s">
        <v>31</v>
      </c>
      <c r="H117" s="14">
        <f t="shared" si="4"/>
        <v>1</v>
      </c>
      <c r="I117" s="1153"/>
      <c r="J117" s="1153"/>
      <c r="K117" s="82"/>
    </row>
    <row r="118" spans="1:11" s="8" customFormat="1" ht="35.1" hidden="1" customHeight="1" outlineLevel="1">
      <c r="A118" s="80">
        <f>IF(B118&lt;&gt;"", COUNTIF($B$105:B118, "&lt;&gt;"), "")</f>
        <v>14</v>
      </c>
      <c r="B118" s="11" t="s">
        <v>99</v>
      </c>
      <c r="C118" s="12" t="s">
        <v>31</v>
      </c>
      <c r="D118" s="7" t="s">
        <v>31</v>
      </c>
      <c r="E118" s="18" t="s">
        <v>31</v>
      </c>
      <c r="F118" s="7"/>
      <c r="G118" s="7" t="s">
        <v>31</v>
      </c>
      <c r="H118" s="14">
        <f t="shared" si="4"/>
        <v>1</v>
      </c>
      <c r="I118" s="1153"/>
      <c r="J118" s="1153"/>
      <c r="K118" s="82"/>
    </row>
    <row r="119" spans="1:11" s="8" customFormat="1" ht="35.1" hidden="1" customHeight="1" outlineLevel="1">
      <c r="A119" s="80">
        <f>IF(B119&lt;&gt;"", COUNTIF($B$105:B119, "&lt;&gt;"), "")</f>
        <v>15</v>
      </c>
      <c r="B119" s="10" t="s">
        <v>100</v>
      </c>
      <c r="C119" s="12" t="s">
        <v>183</v>
      </c>
      <c r="D119" s="7"/>
      <c r="E119" s="18"/>
      <c r="F119" s="7"/>
      <c r="G119" s="7"/>
      <c r="H119" s="14">
        <f t="shared" si="4"/>
        <v>0</v>
      </c>
      <c r="I119" s="1153"/>
      <c r="J119" s="1153"/>
      <c r="K119" s="82"/>
    </row>
    <row r="120" spans="1:11" s="8" customFormat="1" ht="35.1" hidden="1" customHeight="1" outlineLevel="1">
      <c r="A120" s="80">
        <f>IF(B120&lt;&gt;"", COUNTIF($B$105:B120, "&lt;&gt;"), "")</f>
        <v>16</v>
      </c>
      <c r="B120" s="10" t="s">
        <v>102</v>
      </c>
      <c r="C120" s="12" t="s">
        <v>110</v>
      </c>
      <c r="D120" s="12"/>
      <c r="E120" s="18"/>
      <c r="F120" s="7"/>
      <c r="G120" s="7"/>
      <c r="H120" s="14">
        <f t="shared" si="4"/>
        <v>0</v>
      </c>
      <c r="I120" s="1153"/>
      <c r="J120" s="1153"/>
      <c r="K120" s="82"/>
    </row>
    <row r="121" spans="1:11" s="8" customFormat="1" ht="35.1" hidden="1" customHeight="1" outlineLevel="1">
      <c r="A121" s="80">
        <f>IF(B121&lt;&gt;"", COUNTIF($B$105:B121, "&lt;&gt;"), "")</f>
        <v>17</v>
      </c>
      <c r="B121" s="10" t="s">
        <v>184</v>
      </c>
      <c r="C121" s="12" t="s">
        <v>185</v>
      </c>
      <c r="D121" s="18" t="s">
        <v>67</v>
      </c>
      <c r="E121" s="18">
        <v>3</v>
      </c>
      <c r="F121" s="7"/>
      <c r="G121" s="18" t="s">
        <v>186</v>
      </c>
      <c r="H121" s="14">
        <v>1</v>
      </c>
      <c r="I121" s="1153"/>
      <c r="J121" s="1153"/>
      <c r="K121" s="82"/>
    </row>
    <row r="122" spans="1:11" ht="35.1" hidden="1" customHeight="1" outlineLevel="1">
      <c r="A122" s="1151" t="s">
        <v>187</v>
      </c>
      <c r="B122" s="1152"/>
      <c r="C122" s="1152"/>
      <c r="D122" s="1152"/>
      <c r="E122" s="1152"/>
      <c r="F122" s="1152"/>
      <c r="G122" s="1152"/>
      <c r="H122" s="1152"/>
      <c r="I122" s="1152"/>
      <c r="J122" s="1152"/>
      <c r="K122" s="79"/>
    </row>
    <row r="123" spans="1:11" s="8" customFormat="1" ht="35.1" hidden="1" customHeight="1" outlineLevel="1">
      <c r="A123" s="80">
        <f>IF(B123&lt;&gt;"", COUNTIF($B$123:B123, "&lt;&gt;"), "")</f>
        <v>1</v>
      </c>
      <c r="B123" s="10" t="s">
        <v>65</v>
      </c>
      <c r="C123" s="12" t="s">
        <v>188</v>
      </c>
      <c r="D123" s="7" t="s">
        <v>67</v>
      </c>
      <c r="E123" s="18">
        <v>6</v>
      </c>
      <c r="F123" s="7" t="s">
        <v>175</v>
      </c>
      <c r="G123" s="7" t="s">
        <v>111</v>
      </c>
      <c r="H123" s="14">
        <f t="shared" ref="H123:H138" si="5">IF(OR(G123="N/A",G123="approved",G123="Ongoing",G123="IFI",G123="IFR"),1,0)</f>
        <v>1</v>
      </c>
      <c r="I123" s="1148">
        <f>COUNTIF(D123:D138,"&lt;&gt;")/COUNTA(B123:B138)</f>
        <v>0.9375</v>
      </c>
      <c r="J123" s="1148">
        <f>AVERAGE(H123:H138)</f>
        <v>0.9375</v>
      </c>
      <c r="K123" s="83"/>
    </row>
    <row r="124" spans="1:11" s="8" customFormat="1" ht="35.1" hidden="1" customHeight="1" outlineLevel="1">
      <c r="A124" s="80">
        <f>IF(B124&lt;&gt;"", COUNTIF($B$123:B124, "&lt;&gt;"), "")</f>
        <v>2</v>
      </c>
      <c r="B124" s="10" t="s">
        <v>70</v>
      </c>
      <c r="C124" s="12" t="s">
        <v>189</v>
      </c>
      <c r="D124" s="7" t="s">
        <v>67</v>
      </c>
      <c r="E124" s="18">
        <v>4</v>
      </c>
      <c r="F124" s="7" t="s">
        <v>31</v>
      </c>
      <c r="G124" s="7" t="s">
        <v>111</v>
      </c>
      <c r="H124" s="14">
        <f t="shared" si="5"/>
        <v>1</v>
      </c>
      <c r="I124" s="1149"/>
      <c r="J124" s="1149"/>
      <c r="K124" s="83"/>
    </row>
    <row r="125" spans="1:11" s="8" customFormat="1" ht="35.1" hidden="1" customHeight="1" outlineLevel="1">
      <c r="A125" s="80">
        <f>IF(B125&lt;&gt;"", COUNTIF($B$123:B125, "&lt;&gt;"), "")</f>
        <v>3</v>
      </c>
      <c r="B125" s="10" t="s">
        <v>74</v>
      </c>
      <c r="C125" s="12" t="s">
        <v>190</v>
      </c>
      <c r="D125" s="7" t="s">
        <v>67</v>
      </c>
      <c r="E125" s="18">
        <v>4</v>
      </c>
      <c r="F125" s="7" t="s">
        <v>178</v>
      </c>
      <c r="G125" s="7" t="s">
        <v>73</v>
      </c>
      <c r="H125" s="14">
        <f t="shared" si="5"/>
        <v>1</v>
      </c>
      <c r="I125" s="1149"/>
      <c r="J125" s="1149"/>
      <c r="K125" s="83"/>
    </row>
    <row r="126" spans="1:11" s="8" customFormat="1" ht="35.1" hidden="1" customHeight="1" outlineLevel="1">
      <c r="A126" s="80">
        <f>IF(B126&lt;&gt;"", COUNTIF($B$123:B126, "&lt;&gt;"), "")</f>
        <v>4</v>
      </c>
      <c r="B126" s="10" t="s">
        <v>78</v>
      </c>
      <c r="C126" s="12" t="s">
        <v>191</v>
      </c>
      <c r="D126" s="18" t="s">
        <v>31</v>
      </c>
      <c r="E126" s="18" t="s">
        <v>31</v>
      </c>
      <c r="F126" s="18" t="s">
        <v>31</v>
      </c>
      <c r="G126" s="18" t="s">
        <v>31</v>
      </c>
      <c r="H126" s="14">
        <f t="shared" si="5"/>
        <v>1</v>
      </c>
      <c r="I126" s="1149"/>
      <c r="J126" s="1149"/>
      <c r="K126" s="83"/>
    </row>
    <row r="127" spans="1:11" s="8" customFormat="1" ht="35.1" hidden="1" customHeight="1" outlineLevel="1">
      <c r="A127" s="80">
        <f>IF(B127&lt;&gt;"", COUNTIF($B$123:B127, "&lt;&gt;"), "")</f>
        <v>5</v>
      </c>
      <c r="B127" s="10" t="s">
        <v>81</v>
      </c>
      <c r="C127" s="12" t="s">
        <v>191</v>
      </c>
      <c r="D127" s="18" t="s">
        <v>31</v>
      </c>
      <c r="E127" s="18" t="s">
        <v>31</v>
      </c>
      <c r="F127" s="18" t="s">
        <v>31</v>
      </c>
      <c r="G127" s="18" t="s">
        <v>31</v>
      </c>
      <c r="H127" s="14">
        <f t="shared" si="5"/>
        <v>1</v>
      </c>
      <c r="I127" s="1149"/>
      <c r="J127" s="1149"/>
      <c r="K127" s="83"/>
    </row>
    <row r="128" spans="1:11" s="8" customFormat="1" ht="35.1" hidden="1" customHeight="1" outlineLevel="1">
      <c r="A128" s="80">
        <f>IF(B128&lt;&gt;"", COUNTIF($B$123:B128, "&lt;&gt;"), "")</f>
        <v>6</v>
      </c>
      <c r="B128" s="10" t="s">
        <v>83</v>
      </c>
      <c r="C128" s="12" t="s">
        <v>192</v>
      </c>
      <c r="D128" s="18" t="s">
        <v>31</v>
      </c>
      <c r="E128" s="18" t="s">
        <v>31</v>
      </c>
      <c r="F128" s="7" t="s">
        <v>31</v>
      </c>
      <c r="G128" s="7" t="s">
        <v>31</v>
      </c>
      <c r="H128" s="14">
        <f>IF(OR(G128="N/A",G128="approved",G128="Ongoing",G128="IFI",G128="IFR"),1,0)</f>
        <v>1</v>
      </c>
      <c r="I128" s="1149"/>
      <c r="J128" s="1149"/>
      <c r="K128" s="83"/>
    </row>
    <row r="129" spans="1:11" s="8" customFormat="1" ht="35.1" hidden="1" customHeight="1" outlineLevel="1">
      <c r="A129" s="80">
        <f>IF(B129&lt;&gt;"", COUNTIF($B$123:B129, "&lt;&gt;"), "")</f>
        <v>7</v>
      </c>
      <c r="B129" s="10" t="s">
        <v>85</v>
      </c>
      <c r="C129" s="12" t="s">
        <v>191</v>
      </c>
      <c r="D129" s="18" t="s">
        <v>31</v>
      </c>
      <c r="E129" s="18" t="s">
        <v>31</v>
      </c>
      <c r="F129" s="7" t="s">
        <v>31</v>
      </c>
      <c r="G129" s="7" t="s">
        <v>31</v>
      </c>
      <c r="H129" s="14">
        <f t="shared" si="5"/>
        <v>1</v>
      </c>
      <c r="I129" s="1149"/>
      <c r="J129" s="1149"/>
      <c r="K129" s="83"/>
    </row>
    <row r="130" spans="1:11" s="8" customFormat="1" ht="35.1" hidden="1" customHeight="1" outlineLevel="1">
      <c r="A130" s="80">
        <f>IF(B130&lt;&gt;"", COUNTIF($B$123:B130, "&lt;&gt;"), "")</f>
        <v>8</v>
      </c>
      <c r="B130" s="10" t="s">
        <v>121</v>
      </c>
      <c r="C130" s="12" t="s">
        <v>31</v>
      </c>
      <c r="D130" s="18" t="s">
        <v>31</v>
      </c>
      <c r="E130" s="18" t="s">
        <v>31</v>
      </c>
      <c r="F130" s="7" t="s">
        <v>31</v>
      </c>
      <c r="G130" s="7" t="s">
        <v>31</v>
      </c>
      <c r="H130" s="14">
        <f t="shared" si="5"/>
        <v>1</v>
      </c>
      <c r="I130" s="1149"/>
      <c r="J130" s="1149"/>
      <c r="K130" s="83"/>
    </row>
    <row r="131" spans="1:11" s="8" customFormat="1" ht="35.1" hidden="1" customHeight="1" outlineLevel="1">
      <c r="A131" s="80">
        <f>IF(B131&lt;&gt;"", COUNTIF($B$123:B131, "&lt;&gt;"), "")</f>
        <v>9</v>
      </c>
      <c r="B131" s="10" t="s">
        <v>91</v>
      </c>
      <c r="C131" s="12" t="s">
        <v>193</v>
      </c>
      <c r="D131" s="7" t="s">
        <v>67</v>
      </c>
      <c r="E131" s="18">
        <v>5</v>
      </c>
      <c r="F131" s="7"/>
      <c r="G131" s="7" t="s">
        <v>73</v>
      </c>
      <c r="H131" s="14">
        <f t="shared" si="5"/>
        <v>1</v>
      </c>
      <c r="I131" s="1149"/>
      <c r="J131" s="1149"/>
      <c r="K131" s="83"/>
    </row>
    <row r="132" spans="1:11" s="8" customFormat="1" ht="35.1" hidden="1" customHeight="1" outlineLevel="1">
      <c r="A132" s="80">
        <f>IF(B132&lt;&gt;"", COUNTIF($B$123:B132, "&lt;&gt;"), "")</f>
        <v>10</v>
      </c>
      <c r="B132" s="10" t="s">
        <v>92</v>
      </c>
      <c r="C132" s="58" t="s">
        <v>194</v>
      </c>
      <c r="D132" s="18" t="s">
        <v>31</v>
      </c>
      <c r="E132" s="18" t="s">
        <v>31</v>
      </c>
      <c r="F132" s="7" t="s">
        <v>31</v>
      </c>
      <c r="G132" s="7" t="s">
        <v>31</v>
      </c>
      <c r="H132" s="14">
        <f t="shared" si="5"/>
        <v>1</v>
      </c>
      <c r="I132" s="1149"/>
      <c r="J132" s="1149"/>
      <c r="K132" s="83"/>
    </row>
    <row r="133" spans="1:11" s="8" customFormat="1" ht="35.1" hidden="1" customHeight="1" outlineLevel="1">
      <c r="A133" s="80">
        <f>IF(B133&lt;&gt;"", COUNTIF($B$123:B133, "&lt;&gt;"), "")</f>
        <v>11</v>
      </c>
      <c r="B133" s="10" t="s">
        <v>95</v>
      </c>
      <c r="C133" s="12" t="s">
        <v>195</v>
      </c>
      <c r="D133" s="7"/>
      <c r="E133" s="18"/>
      <c r="F133" s="7"/>
      <c r="G133" s="7"/>
      <c r="H133" s="14">
        <f t="shared" si="5"/>
        <v>0</v>
      </c>
      <c r="I133" s="1149"/>
      <c r="J133" s="1149"/>
      <c r="K133" s="83"/>
    </row>
    <row r="134" spans="1:11" s="8" customFormat="1" ht="35.1" hidden="1" customHeight="1" outlineLevel="1">
      <c r="A134" s="80">
        <f>IF(B134&lt;&gt;"", COUNTIF($B$123:B134, "&lt;&gt;"), "")</f>
        <v>12</v>
      </c>
      <c r="B134" s="10" t="s">
        <v>97</v>
      </c>
      <c r="C134" s="12" t="s">
        <v>196</v>
      </c>
      <c r="D134" s="7" t="s">
        <v>67</v>
      </c>
      <c r="E134" s="18">
        <v>3</v>
      </c>
      <c r="F134" s="7" t="s">
        <v>31</v>
      </c>
      <c r="G134" s="7" t="s">
        <v>73</v>
      </c>
      <c r="H134" s="14">
        <f t="shared" si="5"/>
        <v>1</v>
      </c>
      <c r="I134" s="1149"/>
      <c r="J134" s="1149"/>
      <c r="K134" s="83"/>
    </row>
    <row r="135" spans="1:11" s="8" customFormat="1" ht="35.1" hidden="1" customHeight="1" outlineLevel="1">
      <c r="A135" s="80">
        <f>IF(B135&lt;&gt;"", COUNTIF($B$123:B135, "&lt;&gt;"), "")</f>
        <v>13</v>
      </c>
      <c r="B135" s="11" t="s">
        <v>98</v>
      </c>
      <c r="C135" s="12" t="s">
        <v>169</v>
      </c>
      <c r="D135" s="12" t="s">
        <v>31</v>
      </c>
      <c r="E135" s="18"/>
      <c r="F135" s="7" t="s">
        <v>31</v>
      </c>
      <c r="G135" s="7" t="s">
        <v>31</v>
      </c>
      <c r="H135" s="14">
        <f t="shared" si="5"/>
        <v>1</v>
      </c>
      <c r="I135" s="1149"/>
      <c r="J135" s="1149"/>
      <c r="K135" s="83"/>
    </row>
    <row r="136" spans="1:11" s="8" customFormat="1" ht="35.1" hidden="1" customHeight="1" outlineLevel="1">
      <c r="A136" s="80">
        <f>IF(B136&lt;&gt;"", COUNTIF($B$123:B136, "&lt;&gt;"), "")</f>
        <v>14</v>
      </c>
      <c r="B136" s="11" t="s">
        <v>99</v>
      </c>
      <c r="C136" s="12" t="s">
        <v>197</v>
      </c>
      <c r="D136" s="18" t="s">
        <v>31</v>
      </c>
      <c r="E136" s="18" t="s">
        <v>31</v>
      </c>
      <c r="F136" s="7" t="s">
        <v>31</v>
      </c>
      <c r="G136" s="7" t="s">
        <v>31</v>
      </c>
      <c r="H136" s="14">
        <f>IF(OR(G136="N/A",G136="approved",G136="Ongoing",G136="IFI",G136="IFR"),1,0)</f>
        <v>1</v>
      </c>
      <c r="I136" s="1149"/>
      <c r="J136" s="1149"/>
      <c r="K136" s="83"/>
    </row>
    <row r="137" spans="1:11" s="8" customFormat="1" ht="35.1" hidden="1" customHeight="1" outlineLevel="1">
      <c r="A137" s="80">
        <f>IF(B137&lt;&gt;"", COUNTIF($B$123:B137, "&lt;&gt;"), "")</f>
        <v>15</v>
      </c>
      <c r="B137" s="10" t="s">
        <v>100</v>
      </c>
      <c r="C137" s="12" t="s">
        <v>31</v>
      </c>
      <c r="D137" s="18" t="s">
        <v>31</v>
      </c>
      <c r="E137" s="18" t="s">
        <v>31</v>
      </c>
      <c r="F137" s="7" t="s">
        <v>31</v>
      </c>
      <c r="G137" s="7" t="s">
        <v>31</v>
      </c>
      <c r="H137" s="14">
        <f>IF(OR(G137="N/A",G137="approved",G137="Ongoing",G137="IFI",G137="IFR"),1,0)</f>
        <v>1</v>
      </c>
      <c r="I137" s="1149"/>
      <c r="J137" s="1149"/>
      <c r="K137" s="83"/>
    </row>
    <row r="138" spans="1:11" s="8" customFormat="1" ht="35.1" hidden="1" customHeight="1" outlineLevel="1">
      <c r="A138" s="80">
        <f>IF(B138&lt;&gt;"", COUNTIF($B$123:B138, "&lt;&gt;"), "")</f>
        <v>16</v>
      </c>
      <c r="B138" s="10" t="s">
        <v>102</v>
      </c>
      <c r="C138" s="12" t="s">
        <v>198</v>
      </c>
      <c r="D138" s="7" t="s">
        <v>67</v>
      </c>
      <c r="E138" s="18">
        <v>9</v>
      </c>
      <c r="F138" s="7"/>
      <c r="G138" s="7" t="s">
        <v>73</v>
      </c>
      <c r="H138" s="14">
        <f t="shared" si="5"/>
        <v>1</v>
      </c>
      <c r="I138" s="1150"/>
      <c r="J138" s="1150"/>
      <c r="K138" s="83"/>
    </row>
    <row r="139" spans="1:11" ht="35.1" hidden="1" customHeight="1" outlineLevel="1">
      <c r="A139" s="1151" t="s">
        <v>35</v>
      </c>
      <c r="B139" s="1152"/>
      <c r="C139" s="1152"/>
      <c r="D139" s="1152"/>
      <c r="E139" s="1152"/>
      <c r="F139" s="1152"/>
      <c r="G139" s="1152"/>
      <c r="H139" s="1152"/>
      <c r="I139" s="1152"/>
      <c r="J139" s="1152"/>
      <c r="K139" s="79"/>
    </row>
    <row r="140" spans="1:11" s="8" customFormat="1" ht="35.1" hidden="1" customHeight="1" outlineLevel="1">
      <c r="A140" s="80">
        <f>IF(B140&lt;&gt;"", COUNTIF($B$140:B140, "&lt;&gt;"), "")</f>
        <v>1</v>
      </c>
      <c r="B140" s="10" t="s">
        <v>65</v>
      </c>
      <c r="C140" s="12" t="s">
        <v>199</v>
      </c>
      <c r="D140" s="7" t="s">
        <v>67</v>
      </c>
      <c r="E140" s="18">
        <v>7</v>
      </c>
      <c r="F140" s="7"/>
      <c r="G140" s="7" t="s">
        <v>111</v>
      </c>
      <c r="H140" s="14">
        <f t="shared" ref="H140:H155" si="6">IF(OR(G140="N/A",G140="approved",G140="Ongoing",G140="IFI",G140="IFR"),1,0)</f>
        <v>1</v>
      </c>
      <c r="I140" s="1148">
        <f>COUNTIF(D140:D155,"&lt;&gt;")/COUNTA(B140:B155)</f>
        <v>0.75</v>
      </c>
      <c r="J140" s="1148">
        <f>AVERAGE(H140:H155)</f>
        <v>0.74285714285714288</v>
      </c>
      <c r="K140" s="83"/>
    </row>
    <row r="141" spans="1:11" s="8" customFormat="1" ht="35.1" hidden="1" customHeight="1" outlineLevel="1">
      <c r="A141" s="80">
        <f>IF(B141&lt;&gt;"", COUNTIF($B$140:B141, "&lt;&gt;"), "")</f>
        <v>2</v>
      </c>
      <c r="B141" s="10" t="s">
        <v>70</v>
      </c>
      <c r="C141" s="12" t="s">
        <v>200</v>
      </c>
      <c r="D141" s="7" t="s">
        <v>67</v>
      </c>
      <c r="E141" s="18">
        <v>20</v>
      </c>
      <c r="F141" s="7"/>
      <c r="G141" s="7" t="s">
        <v>111</v>
      </c>
      <c r="H141" s="14">
        <f t="shared" si="6"/>
        <v>1</v>
      </c>
      <c r="I141" s="1149"/>
      <c r="J141" s="1149"/>
      <c r="K141" s="83"/>
    </row>
    <row r="142" spans="1:11" s="8" customFormat="1" ht="35.1" hidden="1" customHeight="1" outlineLevel="1">
      <c r="A142" s="80">
        <f>IF(B142&lt;&gt;"", COUNTIF($B$140:B142, "&lt;&gt;"), "")</f>
        <v>3</v>
      </c>
      <c r="B142" s="10" t="s">
        <v>74</v>
      </c>
      <c r="C142" s="12" t="s">
        <v>201</v>
      </c>
      <c r="D142" s="7" t="s">
        <v>67</v>
      </c>
      <c r="E142" s="18">
        <v>7</v>
      </c>
      <c r="F142" s="7"/>
      <c r="G142" s="7" t="s">
        <v>73</v>
      </c>
      <c r="H142" s="14">
        <f t="shared" si="6"/>
        <v>1</v>
      </c>
      <c r="I142" s="1149"/>
      <c r="J142" s="1149"/>
      <c r="K142" s="83"/>
    </row>
    <row r="143" spans="1:11" s="8" customFormat="1" ht="35.1" hidden="1" customHeight="1" outlineLevel="1">
      <c r="A143" s="80">
        <f>IF(B143&lt;&gt;"", COUNTIF($B$140:B143, "&lt;&gt;"), "")</f>
        <v>4</v>
      </c>
      <c r="B143" s="10" t="s">
        <v>78</v>
      </c>
      <c r="C143" s="12" t="s">
        <v>202</v>
      </c>
      <c r="D143" s="7"/>
      <c r="E143" s="18"/>
      <c r="F143" s="18"/>
      <c r="G143" s="18" t="s">
        <v>203</v>
      </c>
      <c r="H143" s="14">
        <f t="shared" si="6"/>
        <v>0</v>
      </c>
      <c r="I143" s="1149"/>
      <c r="J143" s="1149"/>
      <c r="K143" s="83"/>
    </row>
    <row r="144" spans="1:11" s="8" customFormat="1" ht="35.1" hidden="1" customHeight="1" outlineLevel="1">
      <c r="A144" s="80">
        <f>IF(B144&lt;&gt;"", COUNTIF($B$140:B144, "&lt;&gt;"), "")</f>
        <v>5</v>
      </c>
      <c r="B144" s="10" t="s">
        <v>81</v>
      </c>
      <c r="C144" s="12" t="s">
        <v>204</v>
      </c>
      <c r="D144" s="18" t="str">
        <f>D142</f>
        <v>v</v>
      </c>
      <c r="E144" s="18">
        <f>E142</f>
        <v>7</v>
      </c>
      <c r="F144" s="18">
        <f>F142</f>
        <v>0</v>
      </c>
      <c r="G144" s="18" t="str">
        <f>G142</f>
        <v>Approved</v>
      </c>
      <c r="H144" s="14">
        <f t="shared" si="6"/>
        <v>1</v>
      </c>
      <c r="I144" s="1149"/>
      <c r="J144" s="1149"/>
      <c r="K144" s="83"/>
    </row>
    <row r="145" spans="1:11" s="8" customFormat="1" ht="35.1" hidden="1" customHeight="1" outlineLevel="1">
      <c r="A145" s="80">
        <f>IF(B145&lt;&gt;"", COUNTIF($B$140:B145, "&lt;&gt;"), "")</f>
        <v>6</v>
      </c>
      <c r="B145" s="10" t="s">
        <v>83</v>
      </c>
      <c r="C145" s="12" t="s">
        <v>205</v>
      </c>
      <c r="D145" s="18"/>
      <c r="E145" s="18"/>
      <c r="F145" s="7"/>
      <c r="G145" s="7"/>
      <c r="H145" s="14">
        <f t="shared" si="6"/>
        <v>0</v>
      </c>
      <c r="I145" s="1149"/>
      <c r="J145" s="1149"/>
      <c r="K145" s="83"/>
    </row>
    <row r="146" spans="1:11" s="8" customFormat="1" ht="35.1" hidden="1" customHeight="1" outlineLevel="1">
      <c r="A146" s="80">
        <f>IF(B146&lt;&gt;"", COUNTIF($B$140:B146, "&lt;&gt;"), "")</f>
        <v>7</v>
      </c>
      <c r="B146" s="10" t="s">
        <v>85</v>
      </c>
      <c r="C146" s="12" t="s">
        <v>206</v>
      </c>
      <c r="D146" s="7" t="str">
        <f>D142</f>
        <v>v</v>
      </c>
      <c r="E146" s="7">
        <v>3</v>
      </c>
      <c r="F146" s="7">
        <f>F142</f>
        <v>0</v>
      </c>
      <c r="G146" s="7" t="s">
        <v>73</v>
      </c>
      <c r="H146" s="14">
        <f t="shared" si="6"/>
        <v>1</v>
      </c>
      <c r="I146" s="1149"/>
      <c r="J146" s="1149"/>
      <c r="K146" s="83"/>
    </row>
    <row r="147" spans="1:11" s="8" customFormat="1" ht="35.1" hidden="1" customHeight="1" outlineLevel="1">
      <c r="A147" s="80">
        <f>IF(B147&lt;&gt;"", COUNTIF($B$140:B147, "&lt;&gt;"), "")</f>
        <v>8</v>
      </c>
      <c r="B147" s="10" t="s">
        <v>121</v>
      </c>
      <c r="C147" s="12" t="s">
        <v>31</v>
      </c>
      <c r="D147" s="18" t="s">
        <v>31</v>
      </c>
      <c r="E147" s="18" t="s">
        <v>31</v>
      </c>
      <c r="F147" s="7" t="s">
        <v>31</v>
      </c>
      <c r="G147" s="7" t="s">
        <v>31</v>
      </c>
      <c r="H147" s="14">
        <f t="shared" si="6"/>
        <v>1</v>
      </c>
      <c r="I147" s="1149"/>
      <c r="J147" s="1149"/>
      <c r="K147" s="83"/>
    </row>
    <row r="148" spans="1:11" s="8" customFormat="1" ht="35.1" hidden="1" customHeight="1" outlineLevel="1">
      <c r="A148" s="80">
        <f>IF(B148&lt;&gt;"", COUNTIF($B$140:B148, "&lt;&gt;"), "")</f>
        <v>9</v>
      </c>
      <c r="B148" s="10" t="s">
        <v>91</v>
      </c>
      <c r="C148" s="12" t="s">
        <v>207</v>
      </c>
      <c r="D148" s="7" t="str">
        <f>D144</f>
        <v>v</v>
      </c>
      <c r="E148" s="18">
        <v>12</v>
      </c>
      <c r="F148" s="7"/>
      <c r="G148" s="7" t="s">
        <v>73</v>
      </c>
      <c r="H148" s="14">
        <f t="shared" si="6"/>
        <v>1</v>
      </c>
      <c r="I148" s="1149"/>
      <c r="J148" s="1149"/>
      <c r="K148" s="83"/>
    </row>
    <row r="149" spans="1:11" s="8" customFormat="1" ht="35.1" hidden="1" customHeight="1" outlineLevel="1">
      <c r="A149" s="80">
        <f>IF(B149&lt;&gt;"", COUNTIF($B$140:B149, "&lt;&gt;"), "")</f>
        <v>10</v>
      </c>
      <c r="B149" s="10" t="s">
        <v>92</v>
      </c>
      <c r="C149" s="58" t="s">
        <v>3</v>
      </c>
      <c r="D149" s="18" t="s">
        <v>31</v>
      </c>
      <c r="E149" s="18" t="s">
        <v>31</v>
      </c>
      <c r="F149" s="7" t="s">
        <v>31</v>
      </c>
      <c r="G149" s="7" t="s">
        <v>31</v>
      </c>
      <c r="H149" s="14">
        <f>ITPFOU_JKT_LOC_CWP!I14</f>
        <v>0.88571428571428568</v>
      </c>
      <c r="I149" s="1149"/>
      <c r="J149" s="1149"/>
      <c r="K149" s="83"/>
    </row>
    <row r="150" spans="1:11" s="8" customFormat="1" ht="35.1" hidden="1" customHeight="1" outlineLevel="1">
      <c r="A150" s="80">
        <f>IF(B150&lt;&gt;"", COUNTIF($B$140:B150, "&lt;&gt;"), "")</f>
        <v>11</v>
      </c>
      <c r="B150" s="10" t="s">
        <v>95</v>
      </c>
      <c r="C150" s="12" t="s">
        <v>208</v>
      </c>
      <c r="D150" s="7"/>
      <c r="E150" s="18"/>
      <c r="F150" s="7"/>
      <c r="G150" s="7"/>
      <c r="H150" s="14">
        <f t="shared" si="6"/>
        <v>0</v>
      </c>
      <c r="I150" s="1149"/>
      <c r="J150" s="1149"/>
      <c r="K150" s="83"/>
    </row>
    <row r="151" spans="1:11" s="8" customFormat="1" ht="35.1" hidden="1" customHeight="1" outlineLevel="1">
      <c r="A151" s="80">
        <f>IF(B151&lt;&gt;"", COUNTIF($B$140:B151, "&lt;&gt;"), "")</f>
        <v>12</v>
      </c>
      <c r="B151" s="10" t="s">
        <v>97</v>
      </c>
      <c r="C151" s="12" t="s">
        <v>209</v>
      </c>
      <c r="D151" s="18" t="s">
        <v>67</v>
      </c>
      <c r="E151" s="18" t="s">
        <v>210</v>
      </c>
      <c r="F151" s="7"/>
      <c r="G151" s="7" t="s">
        <v>73</v>
      </c>
      <c r="H151" s="14">
        <v>1</v>
      </c>
      <c r="I151" s="1149"/>
      <c r="J151" s="1149"/>
      <c r="K151" s="83"/>
    </row>
    <row r="152" spans="1:11" s="8" customFormat="1" ht="35.1" hidden="1" customHeight="1" outlineLevel="1">
      <c r="A152" s="80">
        <f>IF(B152&lt;&gt;"", COUNTIF($B$140:B152, "&lt;&gt;"), "")</f>
        <v>13</v>
      </c>
      <c r="B152" s="11" t="s">
        <v>98</v>
      </c>
      <c r="C152" s="12" t="s">
        <v>169</v>
      </c>
      <c r="D152" s="12" t="s">
        <v>31</v>
      </c>
      <c r="E152" s="18"/>
      <c r="F152" s="7" t="s">
        <v>31</v>
      </c>
      <c r="G152" s="7" t="s">
        <v>31</v>
      </c>
      <c r="H152" s="14">
        <f t="shared" si="6"/>
        <v>1</v>
      </c>
      <c r="I152" s="1149"/>
      <c r="J152" s="1149"/>
      <c r="K152" s="83"/>
    </row>
    <row r="153" spans="1:11" s="8" customFormat="1" ht="35.1" hidden="1" customHeight="1" outlineLevel="1">
      <c r="A153" s="80">
        <f>IF(B153&lt;&gt;"", COUNTIF($B$140:B153, "&lt;&gt;"), "")</f>
        <v>14</v>
      </c>
      <c r="B153" s="11" t="s">
        <v>99</v>
      </c>
      <c r="C153" s="12" t="s">
        <v>197</v>
      </c>
      <c r="D153" s="18" t="s">
        <v>31</v>
      </c>
      <c r="E153" s="18" t="s">
        <v>31</v>
      </c>
      <c r="F153" s="7" t="s">
        <v>31</v>
      </c>
      <c r="G153" s="7" t="s">
        <v>31</v>
      </c>
      <c r="H153" s="14">
        <f t="shared" si="6"/>
        <v>1</v>
      </c>
      <c r="I153" s="1149"/>
      <c r="J153" s="1149"/>
      <c r="K153" s="83"/>
    </row>
    <row r="154" spans="1:11" s="8" customFormat="1" ht="35.1" hidden="1" customHeight="1" outlineLevel="1">
      <c r="A154" s="80">
        <f>IF(B154&lt;&gt;"", COUNTIF($B$140:B154, "&lt;&gt;"), "")</f>
        <v>15</v>
      </c>
      <c r="B154" s="10" t="s">
        <v>100</v>
      </c>
      <c r="C154" s="12" t="s">
        <v>211</v>
      </c>
      <c r="D154" s="7" t="s">
        <v>67</v>
      </c>
      <c r="E154" s="18">
        <v>4</v>
      </c>
      <c r="F154" s="7"/>
      <c r="G154" s="7" t="s">
        <v>73</v>
      </c>
      <c r="H154" s="14">
        <f t="shared" si="6"/>
        <v>1</v>
      </c>
      <c r="I154" s="1149"/>
      <c r="J154" s="1149"/>
      <c r="K154" s="83"/>
    </row>
    <row r="155" spans="1:11" s="8" customFormat="1" ht="35.1" hidden="1" customHeight="1" outlineLevel="1">
      <c r="A155" s="80">
        <f>IF(B155&lt;&gt;"", COUNTIF($B$140:B155, "&lt;&gt;"), "")</f>
        <v>16</v>
      </c>
      <c r="B155" s="10" t="s">
        <v>102</v>
      </c>
      <c r="C155" s="12" t="s">
        <v>212</v>
      </c>
      <c r="D155" s="12"/>
      <c r="E155" s="18"/>
      <c r="F155" s="7"/>
      <c r="G155" s="7" t="s">
        <v>213</v>
      </c>
      <c r="H155" s="14">
        <f t="shared" si="6"/>
        <v>0</v>
      </c>
      <c r="I155" s="1150"/>
      <c r="J155" s="1150"/>
      <c r="K155" s="83"/>
    </row>
    <row r="156" spans="1:11" ht="35.1" hidden="1" customHeight="1" outlineLevel="1">
      <c r="A156" s="1151" t="s">
        <v>36</v>
      </c>
      <c r="B156" s="1152"/>
      <c r="C156" s="1152"/>
      <c r="D156" s="1152"/>
      <c r="E156" s="1152"/>
      <c r="F156" s="1152"/>
      <c r="G156" s="1152"/>
      <c r="H156" s="1152"/>
      <c r="I156" s="1152"/>
      <c r="J156" s="1152"/>
      <c r="K156" s="79"/>
    </row>
    <row r="157" spans="1:11" s="8" customFormat="1" ht="35.1" hidden="1" customHeight="1" outlineLevel="1">
      <c r="A157" s="80">
        <f>IF(B157&lt;&gt;"", COUNTIF($B$157:B157, "&lt;&gt;"), "")</f>
        <v>1</v>
      </c>
      <c r="B157" s="10" t="s">
        <v>65</v>
      </c>
      <c r="C157" s="12" t="s">
        <v>214</v>
      </c>
      <c r="D157" s="7" t="s">
        <v>67</v>
      </c>
      <c r="E157" s="18">
        <v>7</v>
      </c>
      <c r="F157" s="7"/>
      <c r="G157" s="7" t="s">
        <v>73</v>
      </c>
      <c r="H157" s="14">
        <f t="shared" ref="H157:H172" si="7">IF(OR(G157="N/A",G157="approved",G157="Ongoing",G157="IFI",G157="IFR"),1,0)</f>
        <v>1</v>
      </c>
      <c r="I157" s="1148">
        <f>COUNTIF(D157:D172,"&lt;&gt;")/COUNTA(B157:B172)</f>
        <v>0.9375</v>
      </c>
      <c r="J157" s="1148">
        <f>AVERAGE(H157:H172)</f>
        <v>0.9375</v>
      </c>
      <c r="K157" s="83"/>
    </row>
    <row r="158" spans="1:11" s="8" customFormat="1" ht="35.1" hidden="1" customHeight="1" outlineLevel="1">
      <c r="A158" s="80">
        <f>IF(B158&lt;&gt;"", COUNTIF($B$157:B158, "&lt;&gt;"), "")</f>
        <v>2</v>
      </c>
      <c r="B158" s="10" t="s">
        <v>70</v>
      </c>
      <c r="C158" s="12" t="s">
        <v>215</v>
      </c>
      <c r="D158" s="7" t="s">
        <v>67</v>
      </c>
      <c r="E158" s="18">
        <v>17</v>
      </c>
      <c r="F158" s="7"/>
      <c r="G158" s="7" t="s">
        <v>111</v>
      </c>
      <c r="H158" s="14">
        <f t="shared" si="7"/>
        <v>1</v>
      </c>
      <c r="I158" s="1149"/>
      <c r="J158" s="1149"/>
      <c r="K158" s="83"/>
    </row>
    <row r="159" spans="1:11" s="8" customFormat="1" ht="35.1" hidden="1" customHeight="1" outlineLevel="1">
      <c r="A159" s="80">
        <f>IF(B159&lt;&gt;"", COUNTIF($B$157:B159, "&lt;&gt;"), "")</f>
        <v>3</v>
      </c>
      <c r="B159" s="10" t="s">
        <v>74</v>
      </c>
      <c r="C159" s="12" t="s">
        <v>216</v>
      </c>
      <c r="D159" s="7" t="s">
        <v>67</v>
      </c>
      <c r="E159" s="18">
        <v>6</v>
      </c>
      <c r="F159" s="7"/>
      <c r="G159" s="7" t="s">
        <v>73</v>
      </c>
      <c r="H159" s="14">
        <f t="shared" si="7"/>
        <v>1</v>
      </c>
      <c r="I159" s="1149"/>
      <c r="J159" s="1149"/>
      <c r="K159" s="83"/>
    </row>
    <row r="160" spans="1:11" s="8" customFormat="1" ht="35.1" hidden="1" customHeight="1" outlineLevel="1">
      <c r="A160" s="80">
        <f>IF(B160&lt;&gt;"", COUNTIF($B$157:B160, "&lt;&gt;"), "")</f>
        <v>4</v>
      </c>
      <c r="B160" s="10" t="s">
        <v>78</v>
      </c>
      <c r="C160" s="12" t="s">
        <v>217</v>
      </c>
      <c r="D160" s="7" t="s">
        <v>67</v>
      </c>
      <c r="E160" s="18">
        <v>5</v>
      </c>
      <c r="F160" s="18"/>
      <c r="G160" s="18" t="s">
        <v>73</v>
      </c>
      <c r="H160" s="14">
        <f t="shared" si="7"/>
        <v>1</v>
      </c>
      <c r="I160" s="1149"/>
      <c r="J160" s="1149"/>
      <c r="K160" s="83"/>
    </row>
    <row r="161" spans="1:11" s="8" customFormat="1" ht="35.1" hidden="1" customHeight="1" outlineLevel="1">
      <c r="A161" s="80">
        <f>IF(B161&lt;&gt;"", COUNTIF($B$157:B161, "&lt;&gt;"), "")</f>
        <v>5</v>
      </c>
      <c r="B161" s="10" t="s">
        <v>81</v>
      </c>
      <c r="C161" s="12" t="s">
        <v>217</v>
      </c>
      <c r="D161" s="7" t="s">
        <v>67</v>
      </c>
      <c r="E161" s="18">
        <v>5</v>
      </c>
      <c r="F161" s="18"/>
      <c r="G161" s="18" t="s">
        <v>73</v>
      </c>
      <c r="H161" s="14">
        <f t="shared" si="7"/>
        <v>1</v>
      </c>
      <c r="I161" s="1149"/>
      <c r="J161" s="1149"/>
      <c r="K161" s="83"/>
    </row>
    <row r="162" spans="1:11" s="8" customFormat="1" ht="35.1" hidden="1" customHeight="1" outlineLevel="1">
      <c r="A162" s="80">
        <f>IF(B162&lt;&gt;"", COUNTIF($B$157:B162, "&lt;&gt;"), "")</f>
        <v>6</v>
      </c>
      <c r="B162" s="10" t="s">
        <v>83</v>
      </c>
      <c r="C162" s="12" t="s">
        <v>31</v>
      </c>
      <c r="D162" s="18" t="s">
        <v>31</v>
      </c>
      <c r="E162" s="18" t="s">
        <v>31</v>
      </c>
      <c r="F162" s="7"/>
      <c r="G162" s="7" t="s">
        <v>31</v>
      </c>
      <c r="H162" s="14">
        <f t="shared" si="7"/>
        <v>1</v>
      </c>
      <c r="I162" s="1149"/>
      <c r="J162" s="1149"/>
      <c r="K162" s="83"/>
    </row>
    <row r="163" spans="1:11" s="8" customFormat="1" ht="35.1" hidden="1" customHeight="1" outlineLevel="1">
      <c r="A163" s="80">
        <f>IF(B163&lt;&gt;"", COUNTIF($B$157:B163, "&lt;&gt;"), "")</f>
        <v>7</v>
      </c>
      <c r="B163" s="10" t="s">
        <v>85</v>
      </c>
      <c r="C163" s="12" t="s">
        <v>218</v>
      </c>
      <c r="D163" s="7" t="s">
        <v>67</v>
      </c>
      <c r="E163" s="18">
        <v>1</v>
      </c>
      <c r="F163" s="7"/>
      <c r="G163" s="7" t="s">
        <v>111</v>
      </c>
      <c r="H163" s="14">
        <f t="shared" si="7"/>
        <v>1</v>
      </c>
      <c r="I163" s="1149"/>
      <c r="J163" s="1149"/>
      <c r="K163" s="83"/>
    </row>
    <row r="164" spans="1:11" s="8" customFormat="1" ht="35.1" hidden="1" customHeight="1" outlineLevel="1">
      <c r="A164" s="80">
        <f>IF(B164&lt;&gt;"", COUNTIF($B$157:B164, "&lt;&gt;"), "")</f>
        <v>8</v>
      </c>
      <c r="B164" s="10" t="s">
        <v>121</v>
      </c>
      <c r="C164" s="12" t="s">
        <v>31</v>
      </c>
      <c r="D164" s="18" t="s">
        <v>31</v>
      </c>
      <c r="E164" s="18" t="s">
        <v>31</v>
      </c>
      <c r="F164" s="7"/>
      <c r="G164" s="7" t="s">
        <v>31</v>
      </c>
      <c r="H164" s="14">
        <f t="shared" si="7"/>
        <v>1</v>
      </c>
      <c r="I164" s="1149"/>
      <c r="J164" s="1149"/>
      <c r="K164" s="83"/>
    </row>
    <row r="165" spans="1:11" s="8" customFormat="1" ht="35.1" hidden="1" customHeight="1" outlineLevel="1">
      <c r="A165" s="80">
        <f>IF(B165&lt;&gt;"", COUNTIF($B$157:B165, "&lt;&gt;"), "")</f>
        <v>9</v>
      </c>
      <c r="B165" s="10" t="s">
        <v>91</v>
      </c>
      <c r="C165" s="12" t="s">
        <v>219</v>
      </c>
      <c r="D165" s="18" t="s">
        <v>67</v>
      </c>
      <c r="E165" s="18">
        <v>4</v>
      </c>
      <c r="F165" s="7"/>
      <c r="G165" s="7" t="s">
        <v>73</v>
      </c>
      <c r="H165" s="14">
        <f t="shared" si="7"/>
        <v>1</v>
      </c>
      <c r="I165" s="1149"/>
      <c r="J165" s="1149"/>
      <c r="K165" s="83"/>
    </row>
    <row r="166" spans="1:11" s="8" customFormat="1" ht="35.1" hidden="1" customHeight="1" outlineLevel="1">
      <c r="A166" s="80">
        <f>IF(B166&lt;&gt;"", COUNTIF($B$157:B166, "&lt;&gt;"), "")</f>
        <v>10</v>
      </c>
      <c r="B166" s="10" t="s">
        <v>92</v>
      </c>
      <c r="C166" s="58" t="s">
        <v>220</v>
      </c>
      <c r="D166" s="18" t="s">
        <v>31</v>
      </c>
      <c r="E166" s="18" t="s">
        <v>31</v>
      </c>
      <c r="F166" s="7" t="s">
        <v>31</v>
      </c>
      <c r="G166" s="7" t="s">
        <v>31</v>
      </c>
      <c r="H166" s="14">
        <f>ITPFOU_Pin_Pile_INT_EEW!I13</f>
        <v>1</v>
      </c>
      <c r="I166" s="1149"/>
      <c r="J166" s="1149"/>
      <c r="K166" s="83"/>
    </row>
    <row r="167" spans="1:11" s="8" customFormat="1" ht="35.1" hidden="1" customHeight="1" outlineLevel="1">
      <c r="A167" s="80">
        <f>IF(B167&lt;&gt;"", COUNTIF($B$157:B167, "&lt;&gt;"), "")</f>
        <v>11</v>
      </c>
      <c r="B167" s="10" t="s">
        <v>95</v>
      </c>
      <c r="C167" s="12" t="s">
        <v>221</v>
      </c>
      <c r="D167" s="7"/>
      <c r="E167" s="18"/>
      <c r="F167" s="7"/>
      <c r="G167" s="7"/>
      <c r="H167" s="14">
        <f t="shared" si="7"/>
        <v>0</v>
      </c>
      <c r="I167" s="1149"/>
      <c r="J167" s="1149"/>
      <c r="K167" s="83"/>
    </row>
    <row r="168" spans="1:11" s="8" customFormat="1" ht="35.1" hidden="1" customHeight="1" outlineLevel="1">
      <c r="A168" s="80">
        <f>IF(B168&lt;&gt;"", COUNTIF($B$157:B168, "&lt;&gt;"), "")</f>
        <v>12</v>
      </c>
      <c r="B168" s="10" t="s">
        <v>97</v>
      </c>
      <c r="C168" s="12" t="s">
        <v>222</v>
      </c>
      <c r="D168" s="7" t="s">
        <v>67</v>
      </c>
      <c r="E168" s="18">
        <v>2</v>
      </c>
      <c r="F168" s="7"/>
      <c r="G168" s="7" t="s">
        <v>73</v>
      </c>
      <c r="H168" s="14">
        <f t="shared" si="7"/>
        <v>1</v>
      </c>
      <c r="I168" s="1149"/>
      <c r="J168" s="1149"/>
      <c r="K168" s="83"/>
    </row>
    <row r="169" spans="1:11" s="8" customFormat="1" ht="35.1" hidden="1" customHeight="1" outlineLevel="1">
      <c r="A169" s="80">
        <f>IF(B169&lt;&gt;"", COUNTIF($B$157:B169, "&lt;&gt;"), "")</f>
        <v>13</v>
      </c>
      <c r="B169" s="11" t="s">
        <v>98</v>
      </c>
      <c r="C169" s="12" t="s">
        <v>169</v>
      </c>
      <c r="D169" s="12" t="s">
        <v>31</v>
      </c>
      <c r="E169" s="18"/>
      <c r="F169" s="7" t="s">
        <v>31</v>
      </c>
      <c r="G169" s="7" t="s">
        <v>31</v>
      </c>
      <c r="H169" s="14">
        <f t="shared" si="7"/>
        <v>1</v>
      </c>
      <c r="I169" s="1149"/>
      <c r="J169" s="1149"/>
      <c r="K169" s="83"/>
    </row>
    <row r="170" spans="1:11" s="8" customFormat="1" ht="35.1" hidden="1" customHeight="1" outlineLevel="1">
      <c r="A170" s="80">
        <f>IF(B170&lt;&gt;"", COUNTIF($B$157:B170, "&lt;&gt;"), "")</f>
        <v>14</v>
      </c>
      <c r="B170" s="11" t="s">
        <v>99</v>
      </c>
      <c r="C170" s="12" t="s">
        <v>197</v>
      </c>
      <c r="D170" s="18" t="s">
        <v>31</v>
      </c>
      <c r="E170" s="18" t="s">
        <v>31</v>
      </c>
      <c r="F170" s="7"/>
      <c r="G170" s="7" t="s">
        <v>31</v>
      </c>
      <c r="H170" s="14">
        <f t="shared" si="7"/>
        <v>1</v>
      </c>
      <c r="I170" s="1149"/>
      <c r="J170" s="1149"/>
      <c r="K170" s="83"/>
    </row>
    <row r="171" spans="1:11" s="8" customFormat="1" ht="35.1" hidden="1" customHeight="1" outlineLevel="1">
      <c r="A171" s="80">
        <f>IF(B171&lt;&gt;"", COUNTIF($B$157:B171, "&lt;&gt;"), "")</f>
        <v>15</v>
      </c>
      <c r="B171" s="10" t="s">
        <v>100</v>
      </c>
      <c r="C171" s="12" t="s">
        <v>31</v>
      </c>
      <c r="D171" s="18" t="s">
        <v>31</v>
      </c>
      <c r="E171" s="18" t="s">
        <v>31</v>
      </c>
      <c r="F171" s="7"/>
      <c r="G171" s="7" t="s">
        <v>31</v>
      </c>
      <c r="H171" s="14">
        <f t="shared" si="7"/>
        <v>1</v>
      </c>
      <c r="I171" s="1149"/>
      <c r="J171" s="1149"/>
      <c r="K171" s="83"/>
    </row>
    <row r="172" spans="1:11" s="8" customFormat="1" ht="35.1" hidden="1" customHeight="1" outlineLevel="1">
      <c r="A172" s="80">
        <f>IF(B172&lt;&gt;"", COUNTIF($B$157:B172, "&lt;&gt;"), "")</f>
        <v>16</v>
      </c>
      <c r="B172" s="10" t="s">
        <v>102</v>
      </c>
      <c r="C172" s="12" t="s">
        <v>223</v>
      </c>
      <c r="D172" s="18" t="s">
        <v>67</v>
      </c>
      <c r="E172" s="18">
        <v>6</v>
      </c>
      <c r="F172" s="7"/>
      <c r="G172" s="7" t="s">
        <v>73</v>
      </c>
      <c r="H172" s="14">
        <f t="shared" si="7"/>
        <v>1</v>
      </c>
      <c r="I172" s="1150"/>
      <c r="J172" s="1150"/>
      <c r="K172" s="83"/>
    </row>
    <row r="173" spans="1:11" ht="35.1" hidden="1" customHeight="1" outlineLevel="1">
      <c r="A173" s="1151" t="s">
        <v>37</v>
      </c>
      <c r="B173" s="1152"/>
      <c r="C173" s="1152"/>
      <c r="D173" s="1152"/>
      <c r="E173" s="1152"/>
      <c r="F173" s="1152"/>
      <c r="G173" s="1152"/>
      <c r="H173" s="1152"/>
      <c r="I173" s="1152"/>
      <c r="J173" s="1152"/>
      <c r="K173" s="79"/>
    </row>
    <row r="174" spans="1:11" s="8" customFormat="1" ht="35.1" hidden="1" customHeight="1" outlineLevel="1">
      <c r="A174" s="80">
        <f>IF(B174&lt;&gt;"", COUNTIF($B$174:B174, "&lt;&gt;"), "")</f>
        <v>1</v>
      </c>
      <c r="B174" s="10" t="s">
        <v>65</v>
      </c>
      <c r="C174" s="12" t="s">
        <v>224</v>
      </c>
      <c r="D174" s="7" t="s">
        <v>67</v>
      </c>
      <c r="E174" s="18">
        <v>7</v>
      </c>
      <c r="F174" s="7"/>
      <c r="G174" s="7" t="s">
        <v>73</v>
      </c>
      <c r="H174" s="14">
        <f t="shared" ref="H174:H189" si="8">IF(OR(G174="N/A",G174="approved",G174="Ongoing",G174="IFI",G174="IFR"),1,0)</f>
        <v>1</v>
      </c>
      <c r="I174" s="1148">
        <f>COUNTIF(D174:D189,"&lt;&gt;")/COUNTA(B174:B189)</f>
        <v>0.9375</v>
      </c>
      <c r="J174" s="1148">
        <f>AVERAGE(H174:H189)</f>
        <v>0.9375</v>
      </c>
      <c r="K174" s="83"/>
    </row>
    <row r="175" spans="1:11" s="8" customFormat="1" ht="35.1" hidden="1" customHeight="1" outlineLevel="1">
      <c r="A175" s="80">
        <f>IF(B175&lt;&gt;"", COUNTIF($B$174:B175, "&lt;&gt;"), "")</f>
        <v>2</v>
      </c>
      <c r="B175" s="10" t="s">
        <v>70</v>
      </c>
      <c r="C175" s="12" t="s">
        <v>225</v>
      </c>
      <c r="D175" s="7" t="s">
        <v>67</v>
      </c>
      <c r="E175" s="18">
        <v>19</v>
      </c>
      <c r="F175" s="7"/>
      <c r="G175" s="7" t="s">
        <v>111</v>
      </c>
      <c r="H175" s="14">
        <f t="shared" si="8"/>
        <v>1</v>
      </c>
      <c r="I175" s="1149"/>
      <c r="J175" s="1149"/>
      <c r="K175" s="83"/>
    </row>
    <row r="176" spans="1:11" s="8" customFormat="1" ht="35.1" hidden="1" customHeight="1" outlineLevel="1">
      <c r="A176" s="80">
        <f>IF(B176&lt;&gt;"", COUNTIF($B$174:B176, "&lt;&gt;"), "")</f>
        <v>3</v>
      </c>
      <c r="B176" s="10" t="s">
        <v>74</v>
      </c>
      <c r="C176" s="12" t="s">
        <v>226</v>
      </c>
      <c r="D176" s="7" t="s">
        <v>67</v>
      </c>
      <c r="E176" s="18">
        <v>6</v>
      </c>
      <c r="F176" s="7"/>
      <c r="G176" s="7" t="s">
        <v>73</v>
      </c>
      <c r="H176" s="14">
        <f t="shared" si="8"/>
        <v>1</v>
      </c>
      <c r="I176" s="1149"/>
      <c r="J176" s="1149"/>
      <c r="K176" s="83"/>
    </row>
    <row r="177" spans="1:11" s="8" customFormat="1" ht="35.1" hidden="1" customHeight="1" outlineLevel="1">
      <c r="A177" s="80">
        <f>IF(B177&lt;&gt;"", COUNTIF($B$174:B177, "&lt;&gt;"), "")</f>
        <v>4</v>
      </c>
      <c r="B177" s="10" t="s">
        <v>78</v>
      </c>
      <c r="C177" s="12" t="s">
        <v>227</v>
      </c>
      <c r="D177" s="7" t="s">
        <v>67</v>
      </c>
      <c r="E177" s="18">
        <v>3</v>
      </c>
      <c r="F177" s="18"/>
      <c r="G177" s="18" t="s">
        <v>73</v>
      </c>
      <c r="H177" s="14">
        <f t="shared" si="8"/>
        <v>1</v>
      </c>
      <c r="I177" s="1149"/>
      <c r="J177" s="1149"/>
      <c r="K177" s="83"/>
    </row>
    <row r="178" spans="1:11" s="8" customFormat="1" ht="35.1" hidden="1" customHeight="1" outlineLevel="1">
      <c r="A178" s="80">
        <f>IF(B178&lt;&gt;"", COUNTIF($B$174:B178, "&lt;&gt;"), "")</f>
        <v>5</v>
      </c>
      <c r="B178" s="10" t="s">
        <v>81</v>
      </c>
      <c r="C178" s="12" t="s">
        <v>228</v>
      </c>
      <c r="D178" s="7" t="s">
        <v>67</v>
      </c>
      <c r="E178" s="18">
        <v>1</v>
      </c>
      <c r="F178" s="18"/>
      <c r="G178" s="18" t="s">
        <v>111</v>
      </c>
      <c r="H178" s="14">
        <f t="shared" si="8"/>
        <v>1</v>
      </c>
      <c r="I178" s="1149"/>
      <c r="J178" s="1149"/>
      <c r="K178" s="83"/>
    </row>
    <row r="179" spans="1:11" s="8" customFormat="1" ht="35.1" hidden="1" customHeight="1" outlineLevel="1">
      <c r="A179" s="80">
        <f>IF(B179&lt;&gt;"", COUNTIF($B$174:B179, "&lt;&gt;"), "")</f>
        <v>6</v>
      </c>
      <c r="B179" s="10" t="s">
        <v>83</v>
      </c>
      <c r="C179" s="12" t="s">
        <v>229</v>
      </c>
      <c r="D179" s="18" t="str">
        <f>D177</f>
        <v>v</v>
      </c>
      <c r="E179" s="18">
        <f>E177</f>
        <v>3</v>
      </c>
      <c r="F179" s="18">
        <f>F177</f>
        <v>0</v>
      </c>
      <c r="G179" s="18" t="str">
        <f>G177</f>
        <v>Approved</v>
      </c>
      <c r="H179" s="14">
        <f t="shared" si="8"/>
        <v>1</v>
      </c>
      <c r="I179" s="1149"/>
      <c r="J179" s="1149"/>
      <c r="K179" s="83"/>
    </row>
    <row r="180" spans="1:11" s="8" customFormat="1" ht="35.1" hidden="1" customHeight="1" outlineLevel="1">
      <c r="A180" s="80">
        <f>IF(B180&lt;&gt;"", COUNTIF($B$174:B180, "&lt;&gt;"), "")</f>
        <v>7</v>
      </c>
      <c r="B180" s="10" t="s">
        <v>85</v>
      </c>
      <c r="C180" s="12" t="s">
        <v>230</v>
      </c>
      <c r="D180" s="7" t="s">
        <v>67</v>
      </c>
      <c r="E180" s="18">
        <v>1</v>
      </c>
      <c r="F180" s="18"/>
      <c r="G180" s="18" t="s">
        <v>111</v>
      </c>
      <c r="H180" s="14">
        <f t="shared" si="8"/>
        <v>1</v>
      </c>
      <c r="I180" s="1149"/>
      <c r="J180" s="1149"/>
      <c r="K180" s="83"/>
    </row>
    <row r="181" spans="1:11" s="8" customFormat="1" ht="35.1" hidden="1" customHeight="1" outlineLevel="1">
      <c r="A181" s="80">
        <f>IF(B181&lt;&gt;"", COUNTIF($B$174:B181, "&lt;&gt;"), "")</f>
        <v>8</v>
      </c>
      <c r="B181" s="10" t="s">
        <v>121</v>
      </c>
      <c r="C181" s="12" t="s">
        <v>31</v>
      </c>
      <c r="D181" s="18" t="s">
        <v>31</v>
      </c>
      <c r="E181" s="18" t="s">
        <v>31</v>
      </c>
      <c r="F181" s="7"/>
      <c r="G181" s="7" t="s">
        <v>31</v>
      </c>
      <c r="H181" s="14">
        <f t="shared" si="8"/>
        <v>1</v>
      </c>
      <c r="I181" s="1149"/>
      <c r="J181" s="1149"/>
      <c r="K181" s="83"/>
    </row>
    <row r="182" spans="1:11" s="8" customFormat="1" ht="35.1" hidden="1" customHeight="1" outlineLevel="1">
      <c r="A182" s="80">
        <f>IF(B182&lt;&gt;"", COUNTIF($B$174:B182, "&lt;&gt;"), "")</f>
        <v>9</v>
      </c>
      <c r="B182" s="10" t="s">
        <v>91</v>
      </c>
      <c r="C182" s="12" t="s">
        <v>231</v>
      </c>
      <c r="D182" s="18" t="s">
        <v>67</v>
      </c>
      <c r="E182" s="18">
        <v>8</v>
      </c>
      <c r="F182" s="7"/>
      <c r="G182" s="7" t="s">
        <v>73</v>
      </c>
      <c r="H182" s="14">
        <f t="shared" si="8"/>
        <v>1</v>
      </c>
      <c r="I182" s="1149"/>
      <c r="J182" s="1149"/>
      <c r="K182" s="83"/>
    </row>
    <row r="183" spans="1:11" s="8" customFormat="1" ht="35.1" hidden="1" customHeight="1" outlineLevel="1">
      <c r="A183" s="80">
        <f>IF(B183&lt;&gt;"", COUNTIF($B$174:B183, "&lt;&gt;"), "")</f>
        <v>10</v>
      </c>
      <c r="B183" s="10" t="s">
        <v>92</v>
      </c>
      <c r="C183" s="58" t="s">
        <v>232</v>
      </c>
      <c r="D183" s="18" t="s">
        <v>31</v>
      </c>
      <c r="E183" s="18" t="s">
        <v>31</v>
      </c>
      <c r="F183" s="7" t="s">
        <v>31</v>
      </c>
      <c r="G183" s="7" t="s">
        <v>31</v>
      </c>
      <c r="H183" s="14">
        <f>ITPFOU_JKT_INT_SKOP!I13</f>
        <v>1</v>
      </c>
      <c r="I183" s="1149"/>
      <c r="J183" s="1149"/>
      <c r="K183" s="83"/>
    </row>
    <row r="184" spans="1:11" s="8" customFormat="1" ht="35.1" hidden="1" customHeight="1" outlineLevel="1">
      <c r="A184" s="80">
        <f>IF(B184&lt;&gt;"", COUNTIF($B$174:B184, "&lt;&gt;"), "")</f>
        <v>11</v>
      </c>
      <c r="B184" s="10" t="s">
        <v>95</v>
      </c>
      <c r="C184" s="12" t="s">
        <v>221</v>
      </c>
      <c r="D184" s="7"/>
      <c r="E184" s="18"/>
      <c r="F184" s="7"/>
      <c r="G184" s="7"/>
      <c r="H184" s="14">
        <f t="shared" si="8"/>
        <v>0</v>
      </c>
      <c r="I184" s="1149"/>
      <c r="J184" s="1149"/>
      <c r="K184" s="83"/>
    </row>
    <row r="185" spans="1:11" s="8" customFormat="1" ht="108" hidden="1" customHeight="1" outlineLevel="1">
      <c r="A185" s="80">
        <f>IF(B185&lt;&gt;"", COUNTIF($B$174:B185, "&lt;&gt;"), "")</f>
        <v>12</v>
      </c>
      <c r="B185" s="10" t="s">
        <v>97</v>
      </c>
      <c r="C185" s="12" t="s">
        <v>233</v>
      </c>
      <c r="D185" s="18" t="s">
        <v>31</v>
      </c>
      <c r="E185" s="18" t="s">
        <v>31</v>
      </c>
      <c r="F185" s="7" t="s">
        <v>31</v>
      </c>
      <c r="G185" s="7" t="s">
        <v>31</v>
      </c>
      <c r="H185" s="14">
        <f t="shared" si="8"/>
        <v>1</v>
      </c>
      <c r="I185" s="1149"/>
      <c r="J185" s="1149"/>
      <c r="K185" s="83"/>
    </row>
    <row r="186" spans="1:11" s="8" customFormat="1" ht="35.1" hidden="1" customHeight="1" outlineLevel="1">
      <c r="A186" s="80">
        <f>IF(B186&lt;&gt;"", COUNTIF($B$174:B186, "&lt;&gt;"), "")</f>
        <v>13</v>
      </c>
      <c r="B186" s="11" t="s">
        <v>98</v>
      </c>
      <c r="C186" s="12" t="s">
        <v>169</v>
      </c>
      <c r="D186" s="12" t="s">
        <v>31</v>
      </c>
      <c r="E186" s="18"/>
      <c r="F186" s="7" t="s">
        <v>31</v>
      </c>
      <c r="G186" s="7" t="s">
        <v>31</v>
      </c>
      <c r="H186" s="14">
        <f t="shared" si="8"/>
        <v>1</v>
      </c>
      <c r="I186" s="1149"/>
      <c r="J186" s="1149"/>
      <c r="K186" s="83"/>
    </row>
    <row r="187" spans="1:11" s="8" customFormat="1" ht="35.1" hidden="1" customHeight="1" outlineLevel="1">
      <c r="A187" s="80">
        <f>IF(B187&lt;&gt;"", COUNTIF($B$174:B187, "&lt;&gt;"), "")</f>
        <v>14</v>
      </c>
      <c r="B187" s="11" t="s">
        <v>99</v>
      </c>
      <c r="C187" s="12" t="s">
        <v>197</v>
      </c>
      <c r="D187" s="18" t="s">
        <v>31</v>
      </c>
      <c r="E187" s="18" t="s">
        <v>31</v>
      </c>
      <c r="F187" s="7"/>
      <c r="G187" s="7" t="s">
        <v>31</v>
      </c>
      <c r="H187" s="14">
        <f t="shared" si="8"/>
        <v>1</v>
      </c>
      <c r="I187" s="1149"/>
      <c r="J187" s="1149"/>
      <c r="K187" s="83"/>
    </row>
    <row r="188" spans="1:11" s="8" customFormat="1" ht="35.1" hidden="1" customHeight="1" outlineLevel="1">
      <c r="A188" s="80">
        <f>IF(B188&lt;&gt;"", COUNTIF($B$174:B188, "&lt;&gt;"), "")</f>
        <v>15</v>
      </c>
      <c r="B188" s="10" t="s">
        <v>100</v>
      </c>
      <c r="C188" s="12" t="s">
        <v>234</v>
      </c>
      <c r="D188" s="18" t="s">
        <v>67</v>
      </c>
      <c r="E188" s="18">
        <v>2</v>
      </c>
      <c r="F188" s="7"/>
      <c r="G188" s="7" t="s">
        <v>73</v>
      </c>
      <c r="H188" s="14">
        <f t="shared" si="8"/>
        <v>1</v>
      </c>
      <c r="I188" s="1149"/>
      <c r="J188" s="1149"/>
      <c r="K188" s="83"/>
    </row>
    <row r="189" spans="1:11" s="8" customFormat="1" ht="35.1" hidden="1" customHeight="1" outlineLevel="1">
      <c r="A189" s="80">
        <f>IF(B189&lt;&gt;"", COUNTIF($B$174:B189, "&lt;&gt;"), "")</f>
        <v>16</v>
      </c>
      <c r="B189" s="10" t="s">
        <v>102</v>
      </c>
      <c r="C189" s="12" t="s">
        <v>235</v>
      </c>
      <c r="D189" s="7" t="s">
        <v>67</v>
      </c>
      <c r="E189" s="18">
        <v>2</v>
      </c>
      <c r="F189" s="18"/>
      <c r="G189" s="18" t="s">
        <v>73</v>
      </c>
      <c r="H189" s="14">
        <f t="shared" si="8"/>
        <v>1</v>
      </c>
      <c r="I189" s="1150"/>
      <c r="J189" s="1150"/>
      <c r="K189" s="83"/>
    </row>
    <row r="190" spans="1:11" ht="35.1" hidden="1" customHeight="1" outlineLevel="1">
      <c r="A190" s="1151" t="s">
        <v>34</v>
      </c>
      <c r="B190" s="1152"/>
      <c r="C190" s="1152"/>
      <c r="D190" s="1152"/>
      <c r="E190" s="1152"/>
      <c r="F190" s="1152"/>
      <c r="G190" s="1152"/>
      <c r="H190" s="1152"/>
      <c r="I190" s="1152"/>
      <c r="J190" s="1152"/>
      <c r="K190" s="79"/>
    </row>
    <row r="191" spans="1:11" s="8" customFormat="1" ht="35.1" hidden="1" customHeight="1" outlineLevel="1">
      <c r="A191" s="80">
        <f>IF(B191&lt;&gt;"", COUNTIF($B$191:B191, "&lt;&gt;"), "")</f>
        <v>1</v>
      </c>
      <c r="B191" s="10" t="s">
        <v>65</v>
      </c>
      <c r="C191" s="12" t="s">
        <v>236</v>
      </c>
      <c r="D191" s="7" t="s">
        <v>67</v>
      </c>
      <c r="E191" s="18">
        <v>7</v>
      </c>
      <c r="F191" s="7"/>
      <c r="G191" s="7" t="s">
        <v>111</v>
      </c>
      <c r="H191" s="14">
        <f t="shared" ref="H191:H205" si="9">IF(OR(G191="N/A",G191="approved",G191="Ongoing",G191="IFI",G191="IFR"),1,0)</f>
        <v>1</v>
      </c>
      <c r="I191" s="1148">
        <f>COUNTIF(D191:D206,"&lt;&gt;")/COUNTA(B191:B206)</f>
        <v>0.9375</v>
      </c>
      <c r="J191" s="1148">
        <f>AVERAGE(H191:H206)</f>
        <v>0.875</v>
      </c>
      <c r="K191" s="83"/>
    </row>
    <row r="192" spans="1:11" s="8" customFormat="1" ht="35.1" hidden="1" customHeight="1" outlineLevel="1">
      <c r="A192" s="80">
        <f>IF(B192&lt;&gt;"", COUNTIF($B$191:B192, "&lt;&gt;"), "")</f>
        <v>2</v>
      </c>
      <c r="B192" s="10" t="s">
        <v>70</v>
      </c>
      <c r="C192" s="12" t="s">
        <v>237</v>
      </c>
      <c r="D192" s="7" t="s">
        <v>67</v>
      </c>
      <c r="E192" s="18">
        <v>9</v>
      </c>
      <c r="F192" s="7"/>
      <c r="G192" s="7" t="s">
        <v>111</v>
      </c>
      <c r="H192" s="14">
        <f t="shared" si="9"/>
        <v>1</v>
      </c>
      <c r="I192" s="1149"/>
      <c r="J192" s="1149"/>
      <c r="K192" s="83"/>
    </row>
    <row r="193" spans="1:11" s="8" customFormat="1" ht="35.1" hidden="1" customHeight="1" outlineLevel="1">
      <c r="A193" s="80">
        <f>IF(B193&lt;&gt;"", COUNTIF($B$191:B193, "&lt;&gt;"), "")</f>
        <v>3</v>
      </c>
      <c r="B193" s="10" t="s">
        <v>74</v>
      </c>
      <c r="C193" s="12" t="s">
        <v>238</v>
      </c>
      <c r="D193" s="7" t="s">
        <v>67</v>
      </c>
      <c r="E193" s="18">
        <v>4</v>
      </c>
      <c r="F193" s="7"/>
      <c r="G193" s="7" t="s">
        <v>73</v>
      </c>
      <c r="H193" s="14">
        <f t="shared" si="9"/>
        <v>1</v>
      </c>
      <c r="I193" s="1149"/>
      <c r="J193" s="1149"/>
      <c r="K193" s="83"/>
    </row>
    <row r="194" spans="1:11" s="8" customFormat="1" ht="35.1" hidden="1" customHeight="1" outlineLevel="1">
      <c r="A194" s="80">
        <f>IF(B194&lt;&gt;"", COUNTIF($B$191:B194, "&lt;&gt;"), "")</f>
        <v>4</v>
      </c>
      <c r="B194" s="10" t="s">
        <v>78</v>
      </c>
      <c r="C194" s="12" t="s">
        <v>239</v>
      </c>
      <c r="D194" s="18" t="s">
        <v>67</v>
      </c>
      <c r="E194" s="18">
        <v>4</v>
      </c>
      <c r="F194" s="18"/>
      <c r="G194" s="7" t="s">
        <v>73</v>
      </c>
      <c r="H194" s="14">
        <f t="shared" si="9"/>
        <v>1</v>
      </c>
      <c r="I194" s="1149"/>
      <c r="J194" s="1149"/>
      <c r="K194" s="83"/>
    </row>
    <row r="195" spans="1:11" s="8" customFormat="1" ht="35.1" hidden="1" customHeight="1" outlineLevel="1">
      <c r="A195" s="80">
        <f>IF(B195&lt;&gt;"", COUNTIF($B$191:B195, "&lt;&gt;"), "")</f>
        <v>5</v>
      </c>
      <c r="B195" s="10" t="s">
        <v>81</v>
      </c>
      <c r="C195" s="12" t="s">
        <v>238</v>
      </c>
      <c r="D195" s="7" t="s">
        <v>67</v>
      </c>
      <c r="E195" s="18">
        <v>4</v>
      </c>
      <c r="F195" s="7"/>
      <c r="G195" s="7" t="s">
        <v>73</v>
      </c>
      <c r="H195" s="14">
        <f t="shared" si="9"/>
        <v>1</v>
      </c>
      <c r="I195" s="1149"/>
      <c r="J195" s="1149"/>
      <c r="K195" s="83"/>
    </row>
    <row r="196" spans="1:11" s="8" customFormat="1" ht="35.1" hidden="1" customHeight="1" outlineLevel="1">
      <c r="A196" s="80">
        <f>IF(B196&lt;&gt;"", COUNTIF($B$191:B196, "&lt;&gt;"), "")</f>
        <v>6</v>
      </c>
      <c r="B196" s="10" t="s">
        <v>83</v>
      </c>
      <c r="C196" s="12" t="s">
        <v>240</v>
      </c>
      <c r="D196" s="7" t="s">
        <v>67</v>
      </c>
      <c r="E196" s="18">
        <v>1</v>
      </c>
      <c r="F196" s="7"/>
      <c r="G196" s="7" t="s">
        <v>241</v>
      </c>
      <c r="H196" s="14">
        <f t="shared" si="9"/>
        <v>0</v>
      </c>
      <c r="I196" s="1149"/>
      <c r="J196" s="1149"/>
      <c r="K196" s="83"/>
    </row>
    <row r="197" spans="1:11" s="8" customFormat="1" ht="35.1" hidden="1" customHeight="1" outlineLevel="1">
      <c r="A197" s="80">
        <f>IF(B197&lt;&gt;"", COUNTIF($B$191:B197, "&lt;&gt;"), "")</f>
        <v>7</v>
      </c>
      <c r="B197" s="10" t="s">
        <v>85</v>
      </c>
      <c r="C197" s="12" t="s">
        <v>38</v>
      </c>
      <c r="D197" s="18"/>
      <c r="E197" s="18"/>
      <c r="F197" s="7"/>
      <c r="G197" s="7"/>
      <c r="H197" s="14">
        <f t="shared" si="9"/>
        <v>0</v>
      </c>
      <c r="I197" s="1149"/>
      <c r="J197" s="1149"/>
      <c r="K197" s="83"/>
    </row>
    <row r="198" spans="1:11" s="8" customFormat="1" ht="35.1" hidden="1" customHeight="1" outlineLevel="1">
      <c r="A198" s="80">
        <f>IF(B198&lt;&gt;"", COUNTIF($B$191:B198, "&lt;&gt;"), "")</f>
        <v>8</v>
      </c>
      <c r="B198" s="10" t="s">
        <v>121</v>
      </c>
      <c r="C198" s="12" t="s">
        <v>31</v>
      </c>
      <c r="D198" s="7" t="s">
        <v>31</v>
      </c>
      <c r="E198" s="18" t="s">
        <v>31</v>
      </c>
      <c r="F198" s="7"/>
      <c r="G198" s="7" t="s">
        <v>31</v>
      </c>
      <c r="H198" s="14">
        <f t="shared" si="9"/>
        <v>1</v>
      </c>
      <c r="I198" s="1149"/>
      <c r="J198" s="1149"/>
      <c r="K198" s="83"/>
    </row>
    <row r="199" spans="1:11" s="8" customFormat="1" ht="35.1" hidden="1" customHeight="1" outlineLevel="1">
      <c r="A199" s="80">
        <f>IF(B199&lt;&gt;"", COUNTIF($B$191:B199, "&lt;&gt;"), "")</f>
        <v>9</v>
      </c>
      <c r="B199" s="10" t="s">
        <v>91</v>
      </c>
      <c r="C199" s="12" t="s">
        <v>242</v>
      </c>
      <c r="D199" s="7" t="s">
        <v>67</v>
      </c>
      <c r="E199" s="18">
        <v>2</v>
      </c>
      <c r="F199" s="7"/>
      <c r="G199" s="7" t="s">
        <v>73</v>
      </c>
      <c r="H199" s="14">
        <f t="shared" si="9"/>
        <v>1</v>
      </c>
      <c r="I199" s="1149"/>
      <c r="J199" s="1149"/>
      <c r="K199" s="83"/>
    </row>
    <row r="200" spans="1:11" s="8" customFormat="1" ht="35.1" hidden="1" customHeight="1" outlineLevel="1">
      <c r="A200" s="80">
        <f>IF(B200&lt;&gt;"", COUNTIF($B$191:B200, "&lt;&gt;"), "")</f>
        <v>10</v>
      </c>
      <c r="B200" s="10" t="s">
        <v>92</v>
      </c>
      <c r="C200" s="58" t="s">
        <v>243</v>
      </c>
      <c r="D200" s="7" t="s">
        <v>31</v>
      </c>
      <c r="E200" s="18" t="s">
        <v>31</v>
      </c>
      <c r="F200" s="7"/>
      <c r="G200" s="7" t="s">
        <v>31</v>
      </c>
      <c r="H200" s="14">
        <f>ITPTNI_JPG_SUP_IQIP!I13</f>
        <v>1</v>
      </c>
      <c r="I200" s="1149"/>
      <c r="J200" s="1149"/>
      <c r="K200" s="83"/>
    </row>
    <row r="201" spans="1:11" s="8" customFormat="1" ht="35.1" hidden="1" customHeight="1" outlineLevel="1">
      <c r="A201" s="80">
        <f>IF(B201&lt;&gt;"", COUNTIF($B$191:B201, "&lt;&gt;"), "")</f>
        <v>11</v>
      </c>
      <c r="B201" s="10" t="s">
        <v>95</v>
      </c>
      <c r="C201" s="12" t="s">
        <v>31</v>
      </c>
      <c r="D201" s="7" t="s">
        <v>31</v>
      </c>
      <c r="E201" s="18" t="s">
        <v>31</v>
      </c>
      <c r="F201" s="7"/>
      <c r="G201" s="7" t="s">
        <v>31</v>
      </c>
      <c r="H201" s="14">
        <f t="shared" si="9"/>
        <v>1</v>
      </c>
      <c r="I201" s="1149"/>
      <c r="J201" s="1149"/>
      <c r="K201" s="83"/>
    </row>
    <row r="202" spans="1:11" s="8" customFormat="1" ht="35.1" hidden="1" customHeight="1" outlineLevel="1">
      <c r="A202" s="80">
        <f>IF(B202&lt;&gt;"", COUNTIF($B$191:B202, "&lt;&gt;"), "")</f>
        <v>12</v>
      </c>
      <c r="B202" s="10" t="s">
        <v>97</v>
      </c>
      <c r="C202" s="12" t="s">
        <v>244</v>
      </c>
      <c r="D202" s="7" t="s">
        <v>31</v>
      </c>
      <c r="E202" s="18" t="s">
        <v>31</v>
      </c>
      <c r="F202" s="7"/>
      <c r="G202" s="7" t="s">
        <v>73</v>
      </c>
      <c r="H202" s="14">
        <f t="shared" si="9"/>
        <v>1</v>
      </c>
      <c r="I202" s="1149"/>
      <c r="J202" s="1149"/>
      <c r="K202" s="83"/>
    </row>
    <row r="203" spans="1:11" s="8" customFormat="1" ht="35.1" hidden="1" customHeight="1" outlineLevel="1">
      <c r="A203" s="80">
        <f>IF(B203&lt;&gt;"", COUNTIF($B$191:B203, "&lt;&gt;"), "")</f>
        <v>13</v>
      </c>
      <c r="B203" s="11" t="s">
        <v>98</v>
      </c>
      <c r="C203" s="12" t="s">
        <v>245</v>
      </c>
      <c r="D203" s="7" t="s">
        <v>31</v>
      </c>
      <c r="E203" s="18" t="s">
        <v>31</v>
      </c>
      <c r="F203" s="7"/>
      <c r="G203" s="7" t="s">
        <v>31</v>
      </c>
      <c r="H203" s="14">
        <f t="shared" si="9"/>
        <v>1</v>
      </c>
      <c r="I203" s="1149"/>
      <c r="J203" s="1149"/>
      <c r="K203" s="83"/>
    </row>
    <row r="204" spans="1:11" s="8" customFormat="1" ht="35.1" hidden="1" customHeight="1" outlineLevel="1">
      <c r="A204" s="80">
        <f>IF(B204&lt;&gt;"", COUNTIF($B$191:B204, "&lt;&gt;"), "")</f>
        <v>14</v>
      </c>
      <c r="B204" s="11" t="s">
        <v>99</v>
      </c>
      <c r="C204" s="12" t="s">
        <v>246</v>
      </c>
      <c r="D204" s="7" t="s">
        <v>31</v>
      </c>
      <c r="E204" s="18" t="s">
        <v>31</v>
      </c>
      <c r="F204" s="7"/>
      <c r="G204" s="7" t="s">
        <v>31</v>
      </c>
      <c r="H204" s="14">
        <f t="shared" si="9"/>
        <v>1</v>
      </c>
      <c r="I204" s="1149"/>
      <c r="J204" s="1149"/>
      <c r="K204" s="83"/>
    </row>
    <row r="205" spans="1:11" s="8" customFormat="1" ht="35.1" hidden="1" customHeight="1" outlineLevel="1">
      <c r="A205" s="80">
        <f>IF(B205&lt;&gt;"", COUNTIF($B$191:B205, "&lt;&gt;"), "")</f>
        <v>15</v>
      </c>
      <c r="B205" s="10" t="s">
        <v>100</v>
      </c>
      <c r="C205" s="12" t="s">
        <v>247</v>
      </c>
      <c r="D205" s="7" t="s">
        <v>67</v>
      </c>
      <c r="E205" s="18" t="s">
        <v>248</v>
      </c>
      <c r="F205" s="7"/>
      <c r="G205" s="7" t="s">
        <v>73</v>
      </c>
      <c r="H205" s="14">
        <f t="shared" si="9"/>
        <v>1</v>
      </c>
      <c r="I205" s="1149"/>
      <c r="J205" s="1149"/>
      <c r="K205" s="83"/>
    </row>
    <row r="206" spans="1:11" s="8" customFormat="1" ht="35.1" hidden="1" customHeight="1" outlineLevel="1">
      <c r="A206" s="80">
        <f>IF(B206&lt;&gt;"", COUNTIF($B$191:B206, "&lt;&gt;"), "")</f>
        <v>16</v>
      </c>
      <c r="B206" s="10" t="s">
        <v>102</v>
      </c>
      <c r="C206" s="12" t="s">
        <v>249</v>
      </c>
      <c r="D206" s="7" t="s">
        <v>67</v>
      </c>
      <c r="E206" s="18" t="s">
        <v>248</v>
      </c>
      <c r="F206" s="7"/>
      <c r="G206" s="7" t="s">
        <v>73</v>
      </c>
      <c r="H206" s="14">
        <f>IF(OR(G206="N/A",G206="approved",G206="Ongoing",G206="IFI",G206="IFR"),1,0)</f>
        <v>1</v>
      </c>
      <c r="I206" s="1150"/>
      <c r="J206" s="1150"/>
      <c r="K206" s="83"/>
    </row>
    <row r="207" spans="1:11" ht="50.25" hidden="1" customHeight="1" outlineLevel="1">
      <c r="A207" s="1151" t="s">
        <v>33</v>
      </c>
      <c r="B207" s="1152"/>
      <c r="C207" s="1152"/>
      <c r="D207" s="1152"/>
      <c r="E207" s="1152"/>
      <c r="F207" s="1152"/>
      <c r="G207" s="1152"/>
      <c r="H207" s="1152"/>
      <c r="I207" s="1152"/>
      <c r="J207" s="1152"/>
      <c r="K207" s="79"/>
    </row>
    <row r="208" spans="1:11" s="8" customFormat="1" ht="35.1" hidden="1" customHeight="1" outlineLevel="1">
      <c r="A208" s="80">
        <f>IF(B208&lt;&gt;"", COUNTIF($B$208:B208, "&lt;&gt;"), "")</f>
        <v>1</v>
      </c>
      <c r="B208" s="10" t="s">
        <v>65</v>
      </c>
      <c r="C208" s="12" t="s">
        <v>250</v>
      </c>
      <c r="D208" s="7" t="s">
        <v>67</v>
      </c>
      <c r="E208" s="18" t="s">
        <v>251</v>
      </c>
      <c r="F208" s="7"/>
      <c r="G208" s="7" t="s">
        <v>73</v>
      </c>
      <c r="H208" s="14">
        <f t="shared" ref="H208:H216" si="10">IF(OR(G208="N/A",G208="approved",G208="Ongoing",G208="IFI",G208="IFR"),1,0)</f>
        <v>1</v>
      </c>
      <c r="I208" s="1148">
        <f>COUNTIF(D208:D223,"&lt;&gt;")/COUNTA(B208:B223)</f>
        <v>1</v>
      </c>
      <c r="J208" s="1148">
        <f>AVERAGE(H208:H223)</f>
        <v>0.91825000000000001</v>
      </c>
      <c r="K208" s="83"/>
    </row>
    <row r="209" spans="1:11" s="8" customFormat="1" ht="35.1" hidden="1" customHeight="1" outlineLevel="1">
      <c r="A209" s="80">
        <f>IF(B209&lt;&gt;"", COUNTIF($B$208:B209, "&lt;&gt;"), "")</f>
        <v>2</v>
      </c>
      <c r="B209" s="10" t="s">
        <v>70</v>
      </c>
      <c r="C209" s="12" t="s">
        <v>252</v>
      </c>
      <c r="D209" s="7" t="s">
        <v>67</v>
      </c>
      <c r="E209" s="18">
        <v>57</v>
      </c>
      <c r="F209" s="7"/>
      <c r="G209" s="7" t="s">
        <v>111</v>
      </c>
      <c r="H209" s="14">
        <f t="shared" si="10"/>
        <v>1</v>
      </c>
      <c r="I209" s="1149"/>
      <c r="J209" s="1149"/>
      <c r="K209" s="83"/>
    </row>
    <row r="210" spans="1:11" s="8" customFormat="1" ht="35.1" hidden="1" customHeight="1" outlineLevel="1">
      <c r="A210" s="80">
        <f>IF(B210&lt;&gt;"", COUNTIF($B$208:B210, "&lt;&gt;"), "")</f>
        <v>3</v>
      </c>
      <c r="B210" s="10" t="s">
        <v>74</v>
      </c>
      <c r="C210" s="12" t="s">
        <v>253</v>
      </c>
      <c r="D210" s="7" t="s">
        <v>67</v>
      </c>
      <c r="E210" s="18">
        <v>7</v>
      </c>
      <c r="F210" s="7"/>
      <c r="G210" s="7" t="s">
        <v>73</v>
      </c>
      <c r="H210" s="14">
        <f t="shared" si="10"/>
        <v>1</v>
      </c>
      <c r="I210" s="1149"/>
      <c r="J210" s="1149"/>
      <c r="K210" s="83"/>
    </row>
    <row r="211" spans="1:11" s="8" customFormat="1" ht="35.1" hidden="1" customHeight="1" outlineLevel="1">
      <c r="A211" s="80">
        <f>IF(B211&lt;&gt;"", COUNTIF($B$208:B211, "&lt;&gt;"), "")</f>
        <v>4</v>
      </c>
      <c r="B211" s="10" t="s">
        <v>78</v>
      </c>
      <c r="C211" s="12" t="s">
        <v>254</v>
      </c>
      <c r="D211" s="18" t="s">
        <v>67</v>
      </c>
      <c r="E211" s="18">
        <v>3</v>
      </c>
      <c r="F211" s="18"/>
      <c r="G211" s="18" t="s">
        <v>73</v>
      </c>
      <c r="H211" s="14">
        <f t="shared" si="10"/>
        <v>1</v>
      </c>
      <c r="I211" s="1149"/>
      <c r="J211" s="1149"/>
      <c r="K211" s="83"/>
    </row>
    <row r="212" spans="1:11" s="8" customFormat="1" ht="35.1" hidden="1" customHeight="1" outlineLevel="1">
      <c r="A212" s="80">
        <f>IF(B212&lt;&gt;"", COUNTIF($B$208:B212, "&lt;&gt;"), "")</f>
        <v>5</v>
      </c>
      <c r="B212" s="10" t="s">
        <v>81</v>
      </c>
      <c r="C212" s="12" t="s">
        <v>255</v>
      </c>
      <c r="D212" s="18" t="s">
        <v>67</v>
      </c>
      <c r="E212" s="18">
        <v>2</v>
      </c>
      <c r="F212" s="18"/>
      <c r="G212" s="18" t="s">
        <v>111</v>
      </c>
      <c r="H212" s="14">
        <f t="shared" si="10"/>
        <v>1</v>
      </c>
      <c r="I212" s="1149"/>
      <c r="J212" s="1149"/>
      <c r="K212" s="83"/>
    </row>
    <row r="213" spans="1:11" s="8" customFormat="1" ht="35.1" hidden="1" customHeight="1" outlineLevel="1">
      <c r="A213" s="80">
        <f>IF(B213&lt;&gt;"", COUNTIF($B$208:B213, "&lt;&gt;"), "")</f>
        <v>6</v>
      </c>
      <c r="B213" s="10" t="s">
        <v>83</v>
      </c>
      <c r="C213" s="12" t="s">
        <v>256</v>
      </c>
      <c r="D213" s="71" t="s">
        <v>31</v>
      </c>
      <c r="E213" s="71" t="s">
        <v>31</v>
      </c>
      <c r="F213" s="7"/>
      <c r="G213" s="71" t="s">
        <v>31</v>
      </c>
      <c r="H213" s="14">
        <f t="shared" si="10"/>
        <v>1</v>
      </c>
      <c r="I213" s="1149"/>
      <c r="J213" s="1149"/>
      <c r="K213" s="83"/>
    </row>
    <row r="214" spans="1:11" s="8" customFormat="1" ht="35.1" hidden="1" customHeight="1" outlineLevel="1">
      <c r="A214" s="80">
        <f>IF(B214&lt;&gt;"", COUNTIF($B$208:B214, "&lt;&gt;"), "")</f>
        <v>7</v>
      </c>
      <c r="B214" s="10" t="s">
        <v>85</v>
      </c>
      <c r="C214" s="12" t="s">
        <v>257</v>
      </c>
      <c r="D214" s="71" t="s">
        <v>31</v>
      </c>
      <c r="E214" s="71" t="s">
        <v>31</v>
      </c>
      <c r="F214" s="7"/>
      <c r="G214" s="71" t="s">
        <v>31</v>
      </c>
      <c r="H214" s="14">
        <f t="shared" si="10"/>
        <v>1</v>
      </c>
      <c r="I214" s="1149"/>
      <c r="J214" s="1149"/>
      <c r="K214" s="83"/>
    </row>
    <row r="215" spans="1:11" s="8" customFormat="1" ht="35.1" hidden="1" customHeight="1" outlineLevel="1">
      <c r="A215" s="80">
        <f>IF(B215&lt;&gt;"", COUNTIF($B$208:B215, "&lt;&gt;"), "")</f>
        <v>8</v>
      </c>
      <c r="B215" s="10" t="s">
        <v>121</v>
      </c>
      <c r="C215" s="12" t="s">
        <v>258</v>
      </c>
      <c r="D215" s="18" t="s">
        <v>67</v>
      </c>
      <c r="E215" s="18">
        <v>3</v>
      </c>
      <c r="F215" s="18"/>
      <c r="G215" s="18" t="s">
        <v>73</v>
      </c>
      <c r="H215" s="14">
        <f t="shared" si="10"/>
        <v>1</v>
      </c>
      <c r="I215" s="1149"/>
      <c r="J215" s="1149"/>
      <c r="K215" s="83"/>
    </row>
    <row r="216" spans="1:11" s="8" customFormat="1" ht="35.1" hidden="1" customHeight="1" outlineLevel="1">
      <c r="A216" s="80">
        <f>IF(B216&lt;&gt;"", COUNTIF($B$208:B216, "&lt;&gt;"), "")</f>
        <v>9</v>
      </c>
      <c r="B216" s="10" t="s">
        <v>91</v>
      </c>
      <c r="C216" s="12" t="s">
        <v>259</v>
      </c>
      <c r="D216" s="71" t="s">
        <v>31</v>
      </c>
      <c r="E216" s="71" t="s">
        <v>31</v>
      </c>
      <c r="F216" s="7"/>
      <c r="G216" s="71" t="s">
        <v>31</v>
      </c>
      <c r="H216" s="14">
        <f t="shared" si="10"/>
        <v>1</v>
      </c>
      <c r="I216" s="1149"/>
      <c r="J216" s="1149"/>
      <c r="K216" s="83"/>
    </row>
    <row r="217" spans="1:11" s="8" customFormat="1" ht="35.1" hidden="1" customHeight="1" outlineLevel="1">
      <c r="A217" s="80">
        <f>IF(B217&lt;&gt;"", COUNTIF($B$208:B217, "&lt;&gt;"), "")</f>
        <v>10</v>
      </c>
      <c r="B217" s="68" t="s">
        <v>92</v>
      </c>
      <c r="C217" s="99" t="s">
        <v>260</v>
      </c>
      <c r="D217" s="66" t="s">
        <v>31</v>
      </c>
      <c r="E217" s="67" t="s">
        <v>31</v>
      </c>
      <c r="F217" s="66"/>
      <c r="G217" s="66" t="s">
        <v>31</v>
      </c>
      <c r="H217" s="69">
        <v>0.69199999999999995</v>
      </c>
      <c r="I217" s="1149"/>
      <c r="J217" s="1149"/>
      <c r="K217" s="83"/>
    </row>
    <row r="218" spans="1:11" s="8" customFormat="1" ht="35.1" hidden="1" customHeight="1" outlineLevel="1">
      <c r="A218" s="80">
        <f>IF(B218&lt;&gt;"", COUNTIF($B$208:B218, "&lt;&gt;"), "")</f>
        <v>11</v>
      </c>
      <c r="B218" s="10" t="s">
        <v>95</v>
      </c>
      <c r="C218" s="12" t="s">
        <v>261</v>
      </c>
      <c r="D218" s="7" t="s">
        <v>67</v>
      </c>
      <c r="E218" s="18">
        <v>1</v>
      </c>
      <c r="F218" s="7"/>
      <c r="G218" s="7" t="s">
        <v>262</v>
      </c>
      <c r="H218" s="14">
        <f>IF(OR(G218="N/A",G218="approved",G218="Ongoing",G218="IFI",G218="IFR"),1,0)</f>
        <v>0</v>
      </c>
      <c r="I218" s="1149"/>
      <c r="J218" s="1149"/>
      <c r="K218" s="83"/>
    </row>
    <row r="219" spans="1:11" s="8" customFormat="1" ht="35.1" hidden="1" customHeight="1" outlineLevel="1">
      <c r="A219" s="80">
        <f>IF(B219&lt;&gt;"", COUNTIF($B$208:B219, "&lt;&gt;"), "")</f>
        <v>12</v>
      </c>
      <c r="B219" s="10" t="s">
        <v>97</v>
      </c>
      <c r="C219" s="12" t="s">
        <v>31</v>
      </c>
      <c r="D219" s="66" t="s">
        <v>31</v>
      </c>
      <c r="E219" s="67" t="s">
        <v>31</v>
      </c>
      <c r="F219" s="66"/>
      <c r="G219" s="66" t="s">
        <v>31</v>
      </c>
      <c r="H219" s="14">
        <f>IF(OR(G219="N/A",G219="approved",G219="Ongoing",G219="IFI",G219="IFR"),1,0)</f>
        <v>1</v>
      </c>
      <c r="I219" s="1149"/>
      <c r="J219" s="1149"/>
      <c r="K219" s="83"/>
    </row>
    <row r="220" spans="1:11" s="8" customFormat="1" ht="35.1" hidden="1" customHeight="1" outlineLevel="1">
      <c r="A220" s="80">
        <f>IF(B220&lt;&gt;"", COUNTIF($B$208:B220, "&lt;&gt;"), "")</f>
        <v>13</v>
      </c>
      <c r="B220" s="11" t="s">
        <v>98</v>
      </c>
      <c r="C220" s="12" t="s">
        <v>31</v>
      </c>
      <c r="D220" s="66" t="s">
        <v>31</v>
      </c>
      <c r="E220" s="67" t="s">
        <v>31</v>
      </c>
      <c r="F220" s="66"/>
      <c r="G220" s="66" t="s">
        <v>31</v>
      </c>
      <c r="H220" s="14">
        <f>IF(OR(G220="N/A",G220="approved",G220="Ongoing",G220="IFI",G220="IFR"),1,0)</f>
        <v>1</v>
      </c>
      <c r="I220" s="1149"/>
      <c r="J220" s="1149"/>
      <c r="K220" s="83"/>
    </row>
    <row r="221" spans="1:11" s="8" customFormat="1" ht="35.1" hidden="1" customHeight="1" outlineLevel="1">
      <c r="A221" s="80">
        <f>IF(B221&lt;&gt;"", COUNTIF($B$208:B221, "&lt;&gt;"), "")</f>
        <v>14</v>
      </c>
      <c r="B221" s="11" t="s">
        <v>99</v>
      </c>
      <c r="C221" s="12" t="s">
        <v>263</v>
      </c>
      <c r="D221" s="66" t="s">
        <v>31</v>
      </c>
      <c r="E221" s="67" t="s">
        <v>31</v>
      </c>
      <c r="F221" s="66"/>
      <c r="G221" s="66" t="s">
        <v>31</v>
      </c>
      <c r="H221" s="14">
        <f>IF(OR(G221="N/A",G221="approved",G221="Ongoing",G221="IFI",G221="IFR"),1,0)</f>
        <v>1</v>
      </c>
      <c r="I221" s="1149"/>
      <c r="J221" s="1149"/>
      <c r="K221" s="83"/>
    </row>
    <row r="222" spans="1:11" s="8" customFormat="1" ht="35.1" hidden="1" customHeight="1" outlineLevel="1">
      <c r="A222" s="80">
        <f>IF(B222&lt;&gt;"", COUNTIF($B$208:B222, "&lt;&gt;"), "")</f>
        <v>15</v>
      </c>
      <c r="B222" s="10" t="s">
        <v>100</v>
      </c>
      <c r="C222" s="12" t="s">
        <v>264</v>
      </c>
      <c r="D222" s="66" t="s">
        <v>31</v>
      </c>
      <c r="E222" s="67" t="s">
        <v>31</v>
      </c>
      <c r="F222" s="66"/>
      <c r="G222" s="66" t="s">
        <v>31</v>
      </c>
      <c r="H222" s="14">
        <f>IF(OR(G222="N/A",G222="approved",G222="Ongoing",G222="IFI",G222="IFR"),1,0)</f>
        <v>1</v>
      </c>
      <c r="I222" s="1149"/>
      <c r="J222" s="1149"/>
      <c r="K222" s="83"/>
    </row>
    <row r="223" spans="1:11" s="8" customFormat="1" ht="30" hidden="1" outlineLevel="1">
      <c r="A223" s="80">
        <f>IF(B223&lt;&gt;"", COUNTIF($B$208:B223, "&lt;&gt;"), "")</f>
        <v>16</v>
      </c>
      <c r="B223" s="10" t="s">
        <v>102</v>
      </c>
      <c r="C223" s="12" t="s">
        <v>265</v>
      </c>
      <c r="D223" s="66" t="s">
        <v>31</v>
      </c>
      <c r="E223" s="67" t="s">
        <v>31</v>
      </c>
      <c r="F223" s="66"/>
      <c r="G223" s="66" t="s">
        <v>31</v>
      </c>
      <c r="H223" s="14">
        <v>1</v>
      </c>
      <c r="I223" s="1150"/>
      <c r="J223" s="1150"/>
      <c r="K223" s="83"/>
    </row>
    <row r="224" spans="1:11" ht="35.1" customHeight="1" collapsed="1">
      <c r="A224" s="1151" t="s">
        <v>266</v>
      </c>
      <c r="B224" s="1152"/>
      <c r="C224" s="1152"/>
      <c r="D224" s="1152"/>
      <c r="E224" s="1152"/>
      <c r="F224" s="1152"/>
      <c r="G224" s="1152"/>
      <c r="H224" s="1152"/>
      <c r="I224" s="1152"/>
      <c r="J224" s="1152"/>
      <c r="K224" s="79"/>
    </row>
    <row r="225" spans="1:11" s="8" customFormat="1" ht="35.1" hidden="1" customHeight="1" outlineLevel="1">
      <c r="A225" s="80">
        <f>IF(B225&lt;&gt;"", COUNTIF($B$225:B225, "&lt;&gt;"), "")</f>
        <v>1</v>
      </c>
      <c r="B225" s="10" t="s">
        <v>65</v>
      </c>
      <c r="C225" s="12" t="s">
        <v>267</v>
      </c>
      <c r="D225" s="7" t="s">
        <v>31</v>
      </c>
      <c r="E225" s="18" t="s">
        <v>31</v>
      </c>
      <c r="F225" s="7"/>
      <c r="G225" s="7" t="s">
        <v>31</v>
      </c>
      <c r="H225" s="14">
        <f t="shared" ref="H225:H233" si="11">IF(OR(G225="N/A",G225="approved",G225="Ongoing",G225="IFI",G225="IFR"),1,0)</f>
        <v>1</v>
      </c>
      <c r="I225" s="1156">
        <f>COUNTIF(D225:D240,"&lt;&gt;")/COUNTA(B225:B240)</f>
        <v>1</v>
      </c>
      <c r="J225" s="1156">
        <f>AVERAGE(H225:H240)</f>
        <v>1</v>
      </c>
      <c r="K225" s="83"/>
    </row>
    <row r="226" spans="1:11" s="8" customFormat="1" ht="35.1" hidden="1" customHeight="1" outlineLevel="1">
      <c r="A226" s="80">
        <f>IF(B226&lt;&gt;"", COUNTIF($B$225:B226, "&lt;&gt;"), "")</f>
        <v>2</v>
      </c>
      <c r="B226" s="10" t="s">
        <v>70</v>
      </c>
      <c r="C226" s="12" t="s">
        <v>31</v>
      </c>
      <c r="D226" s="7" t="s">
        <v>31</v>
      </c>
      <c r="E226" s="18" t="s">
        <v>31</v>
      </c>
      <c r="F226" s="7"/>
      <c r="G226" s="7" t="s">
        <v>31</v>
      </c>
      <c r="H226" s="14">
        <f t="shared" si="11"/>
        <v>1</v>
      </c>
      <c r="I226" s="1157"/>
      <c r="J226" s="1157"/>
      <c r="K226" s="83"/>
    </row>
    <row r="227" spans="1:11" s="8" customFormat="1" ht="35.1" hidden="1" customHeight="1" outlineLevel="1">
      <c r="A227" s="80">
        <f>IF(B227&lt;&gt;"", COUNTIF($B$225:B227, "&lt;&gt;"), "")</f>
        <v>3</v>
      </c>
      <c r="B227" s="10" t="s">
        <v>74</v>
      </c>
      <c r="C227" s="12" t="s">
        <v>268</v>
      </c>
      <c r="D227" s="7" t="s">
        <v>67</v>
      </c>
      <c r="E227" s="18">
        <v>3</v>
      </c>
      <c r="F227" s="7"/>
      <c r="G227" s="7" t="s">
        <v>73</v>
      </c>
      <c r="H227" s="14">
        <f t="shared" si="11"/>
        <v>1</v>
      </c>
      <c r="I227" s="1157"/>
      <c r="J227" s="1157"/>
      <c r="K227" s="83"/>
    </row>
    <row r="228" spans="1:11" s="8" customFormat="1" ht="35.1" hidden="1" customHeight="1" outlineLevel="1">
      <c r="A228" s="80">
        <f>IF(B228&lt;&gt;"", COUNTIF($B$225:B228, "&lt;&gt;"), "")</f>
        <v>4</v>
      </c>
      <c r="B228" s="10" t="s">
        <v>78</v>
      </c>
      <c r="C228" s="12" t="s">
        <v>269</v>
      </c>
      <c r="D228" s="7" t="s">
        <v>67</v>
      </c>
      <c r="E228" s="18">
        <v>2</v>
      </c>
      <c r="F228" s="7"/>
      <c r="G228" s="7" t="s">
        <v>73</v>
      </c>
      <c r="H228" s="14">
        <f t="shared" si="11"/>
        <v>1</v>
      </c>
      <c r="I228" s="1157"/>
      <c r="J228" s="1157"/>
      <c r="K228" s="83"/>
    </row>
    <row r="229" spans="1:11" s="8" customFormat="1" ht="35.1" hidden="1" customHeight="1" outlineLevel="1">
      <c r="A229" s="80">
        <f>IF(B229&lt;&gt;"", COUNTIF($B$225:B229, "&lt;&gt;"), "")</f>
        <v>5</v>
      </c>
      <c r="B229" s="10" t="s">
        <v>81</v>
      </c>
      <c r="C229" s="12" t="s">
        <v>270</v>
      </c>
      <c r="D229" s="7" t="s">
        <v>67</v>
      </c>
      <c r="E229" s="18">
        <v>1</v>
      </c>
      <c r="F229" s="7"/>
      <c r="G229" s="7" t="s">
        <v>73</v>
      </c>
      <c r="H229" s="14">
        <f t="shared" si="11"/>
        <v>1</v>
      </c>
      <c r="I229" s="1157"/>
      <c r="J229" s="1157"/>
      <c r="K229" s="83"/>
    </row>
    <row r="230" spans="1:11" s="8" customFormat="1" ht="35.1" hidden="1" customHeight="1" outlineLevel="1">
      <c r="A230" s="80">
        <f>IF(B230&lt;&gt;"", COUNTIF($B$225:B230, "&lt;&gt;"), "")</f>
        <v>6</v>
      </c>
      <c r="B230" s="10" t="s">
        <v>83</v>
      </c>
      <c r="C230" s="12" t="s">
        <v>31</v>
      </c>
      <c r="D230" s="7" t="s">
        <v>31</v>
      </c>
      <c r="E230" s="18" t="s">
        <v>31</v>
      </c>
      <c r="F230" s="7"/>
      <c r="G230" s="7" t="s">
        <v>31</v>
      </c>
      <c r="H230" s="14">
        <f t="shared" si="11"/>
        <v>1</v>
      </c>
      <c r="I230" s="1157"/>
      <c r="J230" s="1157"/>
      <c r="K230" s="83"/>
    </row>
    <row r="231" spans="1:11" s="8" customFormat="1" ht="35.1" hidden="1" customHeight="1" outlineLevel="1">
      <c r="A231" s="80">
        <f>IF(B231&lt;&gt;"", COUNTIF($B$225:B231, "&lt;&gt;"), "")</f>
        <v>7</v>
      </c>
      <c r="B231" s="10" t="s">
        <v>85</v>
      </c>
      <c r="C231" s="12" t="s">
        <v>271</v>
      </c>
      <c r="D231" s="7" t="s">
        <v>67</v>
      </c>
      <c r="E231" s="18">
        <v>1</v>
      </c>
      <c r="F231" s="7"/>
      <c r="G231" s="7" t="s">
        <v>73</v>
      </c>
      <c r="H231" s="14">
        <f t="shared" si="11"/>
        <v>1</v>
      </c>
      <c r="I231" s="1157"/>
      <c r="J231" s="1157"/>
      <c r="K231" s="83"/>
    </row>
    <row r="232" spans="1:11" s="8" customFormat="1" ht="35.1" hidden="1" customHeight="1" outlineLevel="1">
      <c r="A232" s="80">
        <f>IF(B232&lt;&gt;"", COUNTIF($B$225:B232, "&lt;&gt;"), "")</f>
        <v>8</v>
      </c>
      <c r="B232" s="10" t="s">
        <v>272</v>
      </c>
      <c r="C232" s="12" t="s">
        <v>273</v>
      </c>
      <c r="D232" s="7" t="s">
        <v>67</v>
      </c>
      <c r="E232" s="18">
        <v>1</v>
      </c>
      <c r="F232" s="7"/>
      <c r="G232" s="7" t="s">
        <v>73</v>
      </c>
      <c r="H232" s="14">
        <f t="shared" si="11"/>
        <v>1</v>
      </c>
      <c r="I232" s="1157"/>
      <c r="J232" s="1157"/>
      <c r="K232" s="83"/>
    </row>
    <row r="233" spans="1:11" s="8" customFormat="1" ht="35.1" hidden="1" customHeight="1" outlineLevel="1">
      <c r="A233" s="80">
        <f>IF(B233&lt;&gt;"", COUNTIF($B$225:B233, "&lt;&gt;"), "")</f>
        <v>9</v>
      </c>
      <c r="B233" s="10" t="s">
        <v>91</v>
      </c>
      <c r="C233" s="12" t="s">
        <v>31</v>
      </c>
      <c r="D233" s="7" t="s">
        <v>31</v>
      </c>
      <c r="E233" s="18" t="s">
        <v>31</v>
      </c>
      <c r="F233" s="7"/>
      <c r="G233" s="7" t="s">
        <v>31</v>
      </c>
      <c r="H233" s="14">
        <f t="shared" si="11"/>
        <v>1</v>
      </c>
      <c r="I233" s="1157"/>
      <c r="J233" s="1157"/>
      <c r="K233" s="83"/>
    </row>
    <row r="234" spans="1:11" s="8" customFormat="1" ht="35.1" hidden="1" customHeight="1" outlineLevel="1">
      <c r="A234" s="80">
        <f>IF(B234&lt;&gt;"", COUNTIF($B$225:B234, "&lt;&gt;"), "")</f>
        <v>10</v>
      </c>
      <c r="B234" s="10" t="s">
        <v>92</v>
      </c>
      <c r="C234" s="12" t="s">
        <v>274</v>
      </c>
      <c r="D234" s="7" t="str">
        <f>D227</f>
        <v>v</v>
      </c>
      <c r="E234" s="18">
        <f>E227</f>
        <v>3</v>
      </c>
      <c r="F234" s="7">
        <f>F227</f>
        <v>0</v>
      </c>
      <c r="G234" s="7" t="str">
        <f>G227</f>
        <v>Approved</v>
      </c>
      <c r="H234" s="14">
        <v>1</v>
      </c>
      <c r="I234" s="1157"/>
      <c r="J234" s="1157"/>
      <c r="K234" s="83"/>
    </row>
    <row r="235" spans="1:11" s="8" customFormat="1" ht="35.1" hidden="1" customHeight="1" outlineLevel="1">
      <c r="A235" s="80">
        <f>IF(B235&lt;&gt;"", COUNTIF($B$225:B235, "&lt;&gt;"), "")</f>
        <v>11</v>
      </c>
      <c r="B235" s="10" t="s">
        <v>95</v>
      </c>
      <c r="C235" s="12" t="s">
        <v>275</v>
      </c>
      <c r="D235" s="7" t="s">
        <v>31</v>
      </c>
      <c r="E235" s="18" t="s">
        <v>31</v>
      </c>
      <c r="F235" s="7"/>
      <c r="G235" s="7" t="s">
        <v>31</v>
      </c>
      <c r="H235" s="14">
        <f t="shared" ref="H235:H240" si="12">IF(OR(G235="N/A",G235="approved",G235="Ongoing",G235="IFI",G235="IFR"),1,0)</f>
        <v>1</v>
      </c>
      <c r="I235" s="1157"/>
      <c r="J235" s="1157"/>
      <c r="K235" s="83"/>
    </row>
    <row r="236" spans="1:11" s="8" customFormat="1" ht="35.1" hidden="1" customHeight="1" outlineLevel="1">
      <c r="A236" s="80">
        <f>IF(B236&lt;&gt;"", COUNTIF($B$225:B236, "&lt;&gt;"), "")</f>
        <v>12</v>
      </c>
      <c r="B236" s="10" t="s">
        <v>97</v>
      </c>
      <c r="C236" s="12" t="s">
        <v>31</v>
      </c>
      <c r="D236" s="7" t="s">
        <v>31</v>
      </c>
      <c r="E236" s="18" t="s">
        <v>31</v>
      </c>
      <c r="F236" s="7"/>
      <c r="G236" s="7" t="s">
        <v>31</v>
      </c>
      <c r="H236" s="14">
        <f t="shared" si="12"/>
        <v>1</v>
      </c>
      <c r="I236" s="1157"/>
      <c r="J236" s="1157"/>
      <c r="K236" s="83"/>
    </row>
    <row r="237" spans="1:11" s="8" customFormat="1" ht="35.1" hidden="1" customHeight="1" outlineLevel="1">
      <c r="A237" s="80">
        <f>IF(B237&lt;&gt;"", COUNTIF($B$225:B237, "&lt;&gt;"), "")</f>
        <v>13</v>
      </c>
      <c r="B237" s="10" t="s">
        <v>98</v>
      </c>
      <c r="C237" s="12" t="s">
        <v>31</v>
      </c>
      <c r="D237" s="7" t="s">
        <v>31</v>
      </c>
      <c r="E237" s="18" t="s">
        <v>31</v>
      </c>
      <c r="F237" s="7"/>
      <c r="G237" s="7" t="s">
        <v>31</v>
      </c>
      <c r="H237" s="14">
        <f t="shared" si="12"/>
        <v>1</v>
      </c>
      <c r="I237" s="1157"/>
      <c r="J237" s="1157"/>
      <c r="K237" s="83"/>
    </row>
    <row r="238" spans="1:11" s="8" customFormat="1" ht="35.1" hidden="1" customHeight="1" outlineLevel="1">
      <c r="A238" s="80">
        <f>IF(B238&lt;&gt;"", COUNTIF($B$225:B238, "&lt;&gt;"), "")</f>
        <v>14</v>
      </c>
      <c r="B238" s="11" t="s">
        <v>99</v>
      </c>
      <c r="C238" s="12" t="s">
        <v>276</v>
      </c>
      <c r="D238" s="7" t="s">
        <v>67</v>
      </c>
      <c r="E238" s="18">
        <v>1</v>
      </c>
      <c r="F238" s="7"/>
      <c r="G238" s="7" t="s">
        <v>73</v>
      </c>
      <c r="H238" s="14">
        <f t="shared" si="12"/>
        <v>1</v>
      </c>
      <c r="I238" s="1157"/>
      <c r="J238" s="1157"/>
      <c r="K238" s="83"/>
    </row>
    <row r="239" spans="1:11" s="8" customFormat="1" ht="35.1" hidden="1" customHeight="1" outlineLevel="1">
      <c r="A239" s="80">
        <f>IF(B239&lt;&gt;"", COUNTIF($B$225:B239, "&lt;&gt;"), "")</f>
        <v>15</v>
      </c>
      <c r="B239" s="10" t="s">
        <v>100</v>
      </c>
      <c r="C239" s="12" t="s">
        <v>275</v>
      </c>
      <c r="D239" s="7" t="s">
        <v>31</v>
      </c>
      <c r="E239" s="18" t="s">
        <v>31</v>
      </c>
      <c r="F239" s="7"/>
      <c r="G239" s="7" t="s">
        <v>31</v>
      </c>
      <c r="H239" s="14">
        <f t="shared" si="12"/>
        <v>1</v>
      </c>
      <c r="I239" s="1157"/>
      <c r="J239" s="1157"/>
      <c r="K239" s="83"/>
    </row>
    <row r="240" spans="1:11" s="8" customFormat="1" ht="35.1" hidden="1" customHeight="1" outlineLevel="1" thickBot="1">
      <c r="A240" s="80">
        <f>IF(B240&lt;&gt;"", COUNTIF($B$225:B240, "&lt;&gt;"), "")</f>
        <v>16</v>
      </c>
      <c r="B240" s="86" t="s">
        <v>102</v>
      </c>
      <c r="C240" s="87" t="s">
        <v>275</v>
      </c>
      <c r="D240" s="88" t="s">
        <v>31</v>
      </c>
      <c r="E240" s="89" t="s">
        <v>31</v>
      </c>
      <c r="F240" s="88"/>
      <c r="G240" s="88" t="s">
        <v>31</v>
      </c>
      <c r="H240" s="90">
        <f t="shared" si="12"/>
        <v>1</v>
      </c>
      <c r="I240" s="1158"/>
      <c r="J240" s="1158"/>
      <c r="K240" s="91"/>
    </row>
    <row r="241" collapsed="1"/>
  </sheetData>
  <autoFilter ref="B1:K240" xr:uid="{6EEDB609-52C5-4D22-994E-3943987A6D69}"/>
  <mergeCells count="42">
    <mergeCell ref="A224:J224"/>
    <mergeCell ref="I225:I240"/>
    <mergeCell ref="J225:J240"/>
    <mergeCell ref="A207:J207"/>
    <mergeCell ref="I208:I223"/>
    <mergeCell ref="J208:J223"/>
    <mergeCell ref="A53:J53"/>
    <mergeCell ref="I88:I103"/>
    <mergeCell ref="J88:J103"/>
    <mergeCell ref="I71:I86"/>
    <mergeCell ref="A2:J2"/>
    <mergeCell ref="J3:J18"/>
    <mergeCell ref="J20:J35"/>
    <mergeCell ref="J37:J52"/>
    <mergeCell ref="A19:J19"/>
    <mergeCell ref="A36:J36"/>
    <mergeCell ref="I3:I18"/>
    <mergeCell ref="I20:I35"/>
    <mergeCell ref="I37:I52"/>
    <mergeCell ref="A70:J70"/>
    <mergeCell ref="A87:J87"/>
    <mergeCell ref="I54:I69"/>
    <mergeCell ref="A104:J104"/>
    <mergeCell ref="J54:J69"/>
    <mergeCell ref="J71:J86"/>
    <mergeCell ref="A122:J122"/>
    <mergeCell ref="I123:I138"/>
    <mergeCell ref="J123:J138"/>
    <mergeCell ref="I105:I121"/>
    <mergeCell ref="J105:J121"/>
    <mergeCell ref="I191:I206"/>
    <mergeCell ref="J191:J206"/>
    <mergeCell ref="A173:J173"/>
    <mergeCell ref="A139:J139"/>
    <mergeCell ref="I140:I155"/>
    <mergeCell ref="J140:J155"/>
    <mergeCell ref="A156:J156"/>
    <mergeCell ref="I174:I189"/>
    <mergeCell ref="J174:J189"/>
    <mergeCell ref="A190:J190"/>
    <mergeCell ref="I157:I172"/>
    <mergeCell ref="J157:J172"/>
  </mergeCells>
  <phoneticPr fontId="164" type="noConversion"/>
  <conditionalFormatting sqref="A20:D35">
    <cfRule type="expression" dxfId="705" priority="1266">
      <formula>$H20=0%</formula>
    </cfRule>
    <cfRule type="expression" dxfId="704" priority="1267">
      <formula>($H20)=100%</formula>
    </cfRule>
  </conditionalFormatting>
  <conditionalFormatting sqref="A37:D52">
    <cfRule type="expression" dxfId="703" priority="1330">
      <formula>$H37=0%</formula>
    </cfRule>
    <cfRule type="expression" dxfId="702" priority="1331">
      <formula>($H37)=100%</formula>
    </cfRule>
  </conditionalFormatting>
  <conditionalFormatting sqref="B174:D178">
    <cfRule type="expression" dxfId="701" priority="636">
      <formula>$H174=0%</formula>
    </cfRule>
    <cfRule type="expression" dxfId="700" priority="637">
      <formula>($H174)=100%</formula>
    </cfRule>
  </conditionalFormatting>
  <conditionalFormatting sqref="B180:D180">
    <cfRule type="expression" dxfId="699" priority="634">
      <formula>$H180=0%</formula>
    </cfRule>
    <cfRule type="expression" dxfId="698" priority="635">
      <formula>($H180)=100%</formula>
    </cfRule>
  </conditionalFormatting>
  <conditionalFormatting sqref="A21:G21 A22:F22 A23:G25 A26:F26 A27:G35 B89:G92 B216:C217 B64:G69 C20:C21 C62 B62:B63 D62:G63 E174:G180 B179:G179 A20:F20 A54:G54 B55:G61 A3:H18 A20:A35 A37:F37 A38:G52 A54:A69 A71:G86 A88:F88 A89:A103">
    <cfRule type="expression" dxfId="697" priority="1246">
      <formula>$H3=0%</formula>
    </cfRule>
  </conditionalFormatting>
  <conditionalFormatting sqref="B93:G93">
    <cfRule type="expression" dxfId="696" priority="846">
      <formula>$H93=0%</formula>
    </cfRule>
    <cfRule type="expression" dxfId="695" priority="847">
      <formula>($H93)=100%</formula>
    </cfRule>
  </conditionalFormatting>
  <conditionalFormatting sqref="B140:G152">
    <cfRule type="expression" dxfId="694" priority="299">
      <formula>$H140=0%</formula>
    </cfRule>
    <cfRule type="expression" dxfId="693" priority="300">
      <formula>($H140)=100%</formula>
    </cfRule>
  </conditionalFormatting>
  <conditionalFormatting sqref="B153:G153">
    <cfRule type="expression" dxfId="692" priority="668">
      <formula>$H153=0%</formula>
    </cfRule>
    <cfRule type="expression" dxfId="691" priority="669">
      <formula>($H153)=100%</formula>
    </cfRule>
  </conditionalFormatting>
  <conditionalFormatting sqref="B154:G155">
    <cfRule type="expression" dxfId="690" priority="314">
      <formula>$H154=0%</formula>
    </cfRule>
    <cfRule type="expression" dxfId="689" priority="315">
      <formula>($H154)=100%</formula>
    </cfRule>
  </conditionalFormatting>
  <conditionalFormatting sqref="B181:G186">
    <cfRule type="expression" dxfId="688" priority="295">
      <formula>$H181=0%</formula>
    </cfRule>
    <cfRule type="expression" dxfId="687" priority="296">
      <formula>($H181)=100%</formula>
    </cfRule>
  </conditionalFormatting>
  <conditionalFormatting sqref="B187:G189">
    <cfRule type="expression" dxfId="686" priority="632">
      <formula>$H187=0%</formula>
    </cfRule>
    <cfRule type="expression" dxfId="685" priority="633">
      <formula>($H187)=100%</formula>
    </cfRule>
  </conditionalFormatting>
  <conditionalFormatting sqref="B208:G215">
    <cfRule type="expression" dxfId="684" priority="532">
      <formula>$H208=0%</formula>
    </cfRule>
    <cfRule type="expression" dxfId="683" priority="533">
      <formula>($H208)=100%</formula>
    </cfRule>
  </conditionalFormatting>
  <conditionalFormatting sqref="C20:C21 A21:G21 A22:F22 A23:G25 A26:F26 A27:G35 C62 B62:B63 D62:G63 B64:G69 B89:G92 E174:G180 B179:G179 B216:C217 A20:F20 A54:G54 B55:G61 A3:H18 A20:A35 A37:F37 A38:G52 A54:A69 A71:G86 A88:F88 A89:A103">
    <cfRule type="expression" dxfId="682" priority="1247">
      <formula>($H3)=100%</formula>
    </cfRule>
  </conditionalFormatting>
  <conditionalFormatting sqref="B94:H103">
    <cfRule type="expression" dxfId="681" priority="840">
      <formula>$H94=0%</formula>
    </cfRule>
    <cfRule type="expression" dxfId="680" priority="841">
      <formula>($H94)=100%</formula>
    </cfRule>
  </conditionalFormatting>
  <conditionalFormatting sqref="B105:H121">
    <cfRule type="expression" dxfId="679" priority="848">
      <formula>$H105=0%</formula>
    </cfRule>
    <cfRule type="expression" dxfId="678" priority="849">
      <formula>($H105)=100%</formula>
    </cfRule>
  </conditionalFormatting>
  <conditionalFormatting sqref="B123:H135">
    <cfRule type="expression" dxfId="677" priority="301">
      <formula>$H123=0%</formula>
    </cfRule>
    <cfRule type="expression" dxfId="676" priority="302">
      <formula>($H123)=100%</formula>
    </cfRule>
  </conditionalFormatting>
  <conditionalFormatting sqref="B136:H138">
    <cfRule type="expression" dxfId="675" priority="790">
      <formula>$H136=0%</formula>
    </cfRule>
    <cfRule type="expression" dxfId="674" priority="791">
      <formula>($H136)=100%</formula>
    </cfRule>
  </conditionalFormatting>
  <conditionalFormatting sqref="B157:H169">
    <cfRule type="expression" dxfId="673" priority="297">
      <formula>$H157=0%</formula>
    </cfRule>
    <cfRule type="expression" dxfId="672" priority="298">
      <formula>($H157)=100%</formula>
    </cfRule>
  </conditionalFormatting>
  <conditionalFormatting sqref="B170:H172">
    <cfRule type="expression" dxfId="671" priority="648">
      <formula>$H170=0%</formula>
    </cfRule>
    <cfRule type="expression" dxfId="670" priority="649">
      <formula>($H170)=100%</formula>
    </cfRule>
  </conditionalFormatting>
  <conditionalFormatting sqref="B191:H206">
    <cfRule type="expression" dxfId="669" priority="624">
      <formula>$H191=0%</formula>
    </cfRule>
    <cfRule type="expression" dxfId="668" priority="625">
      <formula>($H191)=100%</formula>
    </cfRule>
  </conditionalFormatting>
  <conditionalFormatting sqref="B218:H223">
    <cfRule type="expression" dxfId="667" priority="390">
      <formula>$H218=0%</formula>
    </cfRule>
    <cfRule type="expression" dxfId="666" priority="391">
      <formula>($H218)=100%</formula>
    </cfRule>
  </conditionalFormatting>
  <conditionalFormatting sqref="B225:H240">
    <cfRule type="expression" dxfId="665" priority="326">
      <formula>$H225=0%</formula>
    </cfRule>
    <cfRule type="expression" dxfId="664" priority="327">
      <formula>($H225)=100%</formula>
    </cfRule>
  </conditionalFormatting>
  <conditionalFormatting sqref="B50">
    <cfRule type="expression" dxfId="663" priority="348">
      <formula>$H50=0%</formula>
    </cfRule>
    <cfRule type="expression" dxfId="662" priority="349">
      <formula>($H50)=100%</formula>
    </cfRule>
  </conditionalFormatting>
  <conditionalFormatting sqref="B67">
    <cfRule type="expression" dxfId="661" priority="346">
      <formula>$H67=0%</formula>
    </cfRule>
    <cfRule type="expression" dxfId="660" priority="347">
      <formula>($H67)=100%</formula>
    </cfRule>
  </conditionalFormatting>
  <conditionalFormatting sqref="B84">
    <cfRule type="expression" dxfId="659" priority="344">
      <formula>$H84=0%</formula>
    </cfRule>
    <cfRule type="expression" dxfId="658" priority="345">
      <formula>($H84)=100%</formula>
    </cfRule>
  </conditionalFormatting>
  <conditionalFormatting sqref="B101">
    <cfRule type="expression" dxfId="657" priority="342">
      <formula>$H101=0%</formula>
    </cfRule>
    <cfRule type="expression" dxfId="656" priority="343">
      <formula>($H101)=100%</formula>
    </cfRule>
  </conditionalFormatting>
  <conditionalFormatting sqref="B118">
    <cfRule type="expression" dxfId="655" priority="340">
      <formula>$H118=0%</formula>
    </cfRule>
    <cfRule type="expression" dxfId="654" priority="341">
      <formula>($H118)=100%</formula>
    </cfRule>
  </conditionalFormatting>
  <conditionalFormatting sqref="B136">
    <cfRule type="expression" dxfId="653" priority="338">
      <formula>$H136=0%</formula>
    </cfRule>
    <cfRule type="expression" dxfId="652" priority="339">
      <formula>($H136)=100%</formula>
    </cfRule>
  </conditionalFormatting>
  <conditionalFormatting sqref="B153">
    <cfRule type="expression" dxfId="651" priority="336">
      <formula>$H153=0%</formula>
    </cfRule>
    <cfRule type="expression" dxfId="650" priority="337">
      <formula>($H153)=100%</formula>
    </cfRule>
  </conditionalFormatting>
  <conditionalFormatting sqref="B170">
    <cfRule type="expression" dxfId="649" priority="334">
      <formula>$H170=0%</formula>
    </cfRule>
    <cfRule type="expression" dxfId="648" priority="335">
      <formula>($H170)=100%</formula>
    </cfRule>
  </conditionalFormatting>
  <conditionalFormatting sqref="B187">
    <cfRule type="expression" dxfId="647" priority="332">
      <formula>$H187=0%</formula>
    </cfRule>
    <cfRule type="expression" dxfId="646" priority="333">
      <formula>($H187)=100%</formula>
    </cfRule>
  </conditionalFormatting>
  <conditionalFormatting sqref="B204">
    <cfRule type="expression" dxfId="645" priority="330">
      <formula>$H204=0%</formula>
    </cfRule>
    <cfRule type="expression" dxfId="644" priority="331">
      <formula>($H204)=100%</formula>
    </cfRule>
  </conditionalFormatting>
  <conditionalFormatting sqref="B221">
    <cfRule type="expression" dxfId="643" priority="328">
      <formula>$H221=0%</formula>
    </cfRule>
    <cfRule type="expression" dxfId="642" priority="329">
      <formula>($H221)=100%</formula>
    </cfRule>
  </conditionalFormatting>
  <conditionalFormatting sqref="B238">
    <cfRule type="expression" dxfId="641" priority="324">
      <formula>$H238=0%</formula>
    </cfRule>
    <cfRule type="expression" dxfId="640" priority="325">
      <formula>($H238)=100%</formula>
    </cfRule>
  </conditionalFormatting>
  <conditionalFormatting sqref="C63">
    <cfRule type="expression" dxfId="639" priority="1334">
      <formula>$H64=0%</formula>
    </cfRule>
    <cfRule type="expression" dxfId="638" priority="1335">
      <formula>($H64)=100%</formula>
    </cfRule>
  </conditionalFormatting>
  <conditionalFormatting sqref="C217">
    <cfRule type="expression" dxfId="637" priority="576">
      <formula>$H213=0%</formula>
    </cfRule>
    <cfRule type="expression" dxfId="636" priority="577">
      <formula>($H213)=100%</formula>
    </cfRule>
  </conditionalFormatting>
  <conditionalFormatting sqref="D27">
    <cfRule type="expression" dxfId="635" priority="1041">
      <formula>$H27=0%</formula>
    </cfRule>
    <cfRule type="expression" dxfId="634" priority="1042">
      <formula>($H27)=100%</formula>
    </cfRule>
  </conditionalFormatting>
  <conditionalFormatting sqref="D31:D32">
    <cfRule type="expression" dxfId="633" priority="1037">
      <formula>$H31=0%</formula>
    </cfRule>
    <cfRule type="expression" dxfId="632" priority="1038">
      <formula>($H31)=100%</formula>
    </cfRule>
  </conditionalFormatting>
  <conditionalFormatting sqref="D49">
    <cfRule type="expression" dxfId="631" priority="356">
      <formula>$H49=0%</formula>
    </cfRule>
    <cfRule type="expression" dxfId="630" priority="357">
      <formula>($H49)=100%</formula>
    </cfRule>
  </conditionalFormatting>
  <conditionalFormatting sqref="D118:E118">
    <cfRule type="expression" dxfId="629" priority="350">
      <formula>$H118=0%</formula>
    </cfRule>
    <cfRule type="expression" dxfId="628" priority="351">
      <formula>($H118)=100%</formula>
    </cfRule>
  </conditionalFormatting>
  <conditionalFormatting sqref="D216:G216">
    <cfRule type="expression" dxfId="627" priority="526">
      <formula>$H216=0%</formula>
    </cfRule>
    <cfRule type="expression" dxfId="626" priority="527">
      <formula>($H216)=100%</formula>
    </cfRule>
  </conditionalFormatting>
  <conditionalFormatting sqref="D217:H217">
    <cfRule type="expression" dxfId="625" priority="544">
      <formula>$H217=0%</formula>
    </cfRule>
    <cfRule type="expression" dxfId="624" priority="545">
      <formula>($H217)=100%</formula>
    </cfRule>
  </conditionalFormatting>
  <conditionalFormatting sqref="E20:E35">
    <cfRule type="expression" dxfId="623" priority="1075">
      <formula>$H20=0%</formula>
    </cfRule>
    <cfRule type="expression" dxfId="622" priority="1076">
      <formula>($H20)=100%</formula>
    </cfRule>
  </conditionalFormatting>
  <conditionalFormatting sqref="E37:E52">
    <cfRule type="expression" dxfId="621" priority="1069">
      <formula>$H37=0%</formula>
    </cfRule>
    <cfRule type="expression" dxfId="620" priority="1070">
      <formula>($H37)=100%</formula>
    </cfRule>
  </conditionalFormatting>
  <conditionalFormatting sqref="E50">
    <cfRule type="expression" dxfId="619" priority="354">
      <formula>$H50=0%</formula>
    </cfRule>
    <cfRule type="expression" dxfId="618" priority="355">
      <formula>($H50)=100%</formula>
    </cfRule>
  </conditionalFormatting>
  <conditionalFormatting sqref="E73">
    <cfRule type="expression" dxfId="617" priority="1067">
      <formula>$H73=0%</formula>
    </cfRule>
    <cfRule type="expression" dxfId="616" priority="1068">
      <formula>($H73)=100%</formula>
    </cfRule>
  </conditionalFormatting>
  <conditionalFormatting sqref="E88:E92">
    <cfRule type="expression" dxfId="615" priority="890">
      <formula>$H88=0%</formula>
    </cfRule>
    <cfRule type="expression" dxfId="614" priority="891">
      <formula>($H88)=100%</formula>
    </cfRule>
  </conditionalFormatting>
  <conditionalFormatting sqref="G20">
    <cfRule type="expression" dxfId="613" priority="896">
      <formula>$H20=0%</formula>
    </cfRule>
    <cfRule type="expression" dxfId="612" priority="897">
      <formula>($H20)=100%</formula>
    </cfRule>
  </conditionalFormatting>
  <conditionalFormatting sqref="G22">
    <cfRule type="expression" dxfId="611" priority="894">
      <formula>$H22=0%</formula>
    </cfRule>
    <cfRule type="expression" dxfId="610" priority="895">
      <formula>($H22)=100%</formula>
    </cfRule>
  </conditionalFormatting>
  <conditionalFormatting sqref="G26">
    <cfRule type="expression" dxfId="609" priority="892">
      <formula>$H26=0%</formula>
    </cfRule>
    <cfRule type="expression" dxfId="608" priority="893">
      <formula>($H26)=100%</formula>
    </cfRule>
  </conditionalFormatting>
  <conditionalFormatting sqref="G37">
    <cfRule type="expression" dxfId="607" priority="311">
      <formula>$H37=0%</formula>
    </cfRule>
    <cfRule type="expression" dxfId="606" priority="312">
      <formula>($H37)=100%</formula>
    </cfRule>
  </conditionalFormatting>
  <conditionalFormatting sqref="G88">
    <cfRule type="expression" dxfId="605" priority="886">
      <formula>$H88=0%</formula>
    </cfRule>
    <cfRule type="expression" dxfId="604" priority="887">
      <formula>($H88)=100%</formula>
    </cfRule>
  </conditionalFormatting>
  <conditionalFormatting sqref="H20:H35">
    <cfRule type="expression" dxfId="603" priority="900">
      <formula>$H20=0%</formula>
    </cfRule>
    <cfRule type="expression" dxfId="602" priority="901">
      <formula>($H20)=100%</formula>
    </cfRule>
  </conditionalFormatting>
  <conditionalFormatting sqref="H37:H52">
    <cfRule type="expression" dxfId="601" priority="949">
      <formula>$H37=0%</formula>
    </cfRule>
    <cfRule type="expression" dxfId="600" priority="950">
      <formula>($H37)=100%</formula>
    </cfRule>
  </conditionalFormatting>
  <conditionalFormatting sqref="H54:H69">
    <cfRule type="expression" dxfId="599" priority="945">
      <formula>$H54=0%</formula>
    </cfRule>
    <cfRule type="expression" dxfId="598" priority="946">
      <formula>($H54)=100%</formula>
    </cfRule>
  </conditionalFormatting>
  <conditionalFormatting sqref="H71:H86">
    <cfRule type="expression" dxfId="597" priority="810">
      <formula>$H71=0%</formula>
    </cfRule>
    <cfRule type="expression" dxfId="596" priority="811">
      <formula>($H71)=100%</formula>
    </cfRule>
  </conditionalFormatting>
  <conditionalFormatting sqref="H88:H93">
    <cfRule type="expression" dxfId="595" priority="844">
      <formula>$H88=0%</formula>
    </cfRule>
    <cfRule type="expression" dxfId="594" priority="845">
      <formula>($H88)=100%</formula>
    </cfRule>
  </conditionalFormatting>
  <conditionalFormatting sqref="H140:H155">
    <cfRule type="expression" dxfId="593" priority="764">
      <formula>$H140=0%</formula>
    </cfRule>
    <cfRule type="expression" dxfId="592" priority="765">
      <formula>($H140)=100%</formula>
    </cfRule>
  </conditionalFormatting>
  <conditionalFormatting sqref="H174:H189">
    <cfRule type="expression" dxfId="591" priority="708">
      <formula>$H174=0%</formula>
    </cfRule>
    <cfRule type="expression" dxfId="590" priority="709">
      <formula>($H174)=100%</formula>
    </cfRule>
  </conditionalFormatting>
  <conditionalFormatting sqref="H208:H216">
    <cfRule type="expression" dxfId="589" priority="540">
      <formula>$H208=0%</formula>
    </cfRule>
    <cfRule type="expression" dxfId="588" priority="541">
      <formula>($H208)=100%</formula>
    </cfRule>
  </conditionalFormatting>
  <conditionalFormatting sqref="I37">
    <cfRule type="cellIs" dxfId="587" priority="1034" operator="between">
      <formula>0.8</formula>
      <formula>0.9999</formula>
    </cfRule>
    <cfRule type="cellIs" dxfId="586" priority="1035" operator="between">
      <formula>0.6</formula>
      <formula>0.7999</formula>
    </cfRule>
    <cfRule type="cellIs" dxfId="585" priority="1036" operator="between">
      <formula>0</formula>
      <formula>0.5999</formula>
    </cfRule>
  </conditionalFormatting>
  <conditionalFormatting sqref="I54">
    <cfRule type="cellIs" dxfId="584" priority="1003" operator="equal">
      <formula>1</formula>
    </cfRule>
    <cfRule type="cellIs" dxfId="583" priority="1004" operator="between">
      <formula>0.8</formula>
      <formula>0.9999</formula>
    </cfRule>
    <cfRule type="cellIs" dxfId="582" priority="1005" operator="between">
      <formula>0.6</formula>
      <formula>0.7999</formula>
    </cfRule>
    <cfRule type="cellIs" dxfId="581" priority="1006" operator="between">
      <formula>0</formula>
      <formula>0.5999</formula>
    </cfRule>
  </conditionalFormatting>
  <conditionalFormatting sqref="I88">
    <cfRule type="cellIs" dxfId="580" priority="881" operator="between">
      <formula>0.8</formula>
      <formula>0.9999</formula>
    </cfRule>
    <cfRule type="cellIs" dxfId="579" priority="882" operator="between">
      <formula>0.6</formula>
      <formula>0.7999</formula>
    </cfRule>
    <cfRule type="cellIs" dxfId="578" priority="883" operator="between">
      <formula>0</formula>
      <formula>0.5999</formula>
    </cfRule>
  </conditionalFormatting>
  <conditionalFormatting sqref="I105">
    <cfRule type="cellIs" dxfId="577" priority="1017" operator="equal">
      <formula>1</formula>
    </cfRule>
    <cfRule type="cellIs" dxfId="576" priority="1018" operator="between">
      <formula>0.8</formula>
      <formula>0.9999</formula>
    </cfRule>
    <cfRule type="cellIs" dxfId="575" priority="1019" operator="between">
      <formula>0.6</formula>
      <formula>0.7999</formula>
    </cfRule>
    <cfRule type="cellIs" dxfId="574" priority="1020" operator="between">
      <formula>0</formula>
      <formula>0.5999</formula>
    </cfRule>
  </conditionalFormatting>
  <conditionalFormatting sqref="I123">
    <cfRule type="cellIs" dxfId="573" priority="795" operator="between">
      <formula>0.8</formula>
      <formula>0.9999</formula>
    </cfRule>
    <cfRule type="cellIs" dxfId="572" priority="796" operator="between">
      <formula>0.6</formula>
      <formula>0.7999</formula>
    </cfRule>
    <cfRule type="cellIs" dxfId="571" priority="797" operator="between">
      <formula>0</formula>
      <formula>0.5999</formula>
    </cfRule>
  </conditionalFormatting>
  <conditionalFormatting sqref="I140">
    <cfRule type="cellIs" dxfId="570" priority="767" operator="between">
      <formula>0.8</formula>
      <formula>0.9999</formula>
    </cfRule>
    <cfRule type="cellIs" dxfId="569" priority="768" operator="between">
      <formula>0.6</formula>
      <formula>0.7999</formula>
    </cfRule>
    <cfRule type="cellIs" dxfId="568" priority="769" operator="between">
      <formula>0</formula>
      <formula>0.5999</formula>
    </cfRule>
  </conditionalFormatting>
  <conditionalFormatting sqref="I157">
    <cfRule type="cellIs" dxfId="567" priority="739" operator="between">
      <formula>0.8</formula>
      <formula>0.9999</formula>
    </cfRule>
    <cfRule type="cellIs" dxfId="566" priority="740" operator="between">
      <formula>0.6</formula>
      <formula>0.7999</formula>
    </cfRule>
    <cfRule type="cellIs" dxfId="565" priority="741" operator="between">
      <formula>0</formula>
      <formula>0.5999</formula>
    </cfRule>
  </conditionalFormatting>
  <conditionalFormatting sqref="I174">
    <cfRule type="cellIs" dxfId="564" priority="711" operator="between">
      <formula>0.8</formula>
      <formula>0.9999</formula>
    </cfRule>
    <cfRule type="cellIs" dxfId="563" priority="712" operator="between">
      <formula>0.6</formula>
      <formula>0.7999</formula>
    </cfRule>
    <cfRule type="cellIs" dxfId="562" priority="713" operator="between">
      <formula>0</formula>
      <formula>0.5999</formula>
    </cfRule>
  </conditionalFormatting>
  <conditionalFormatting sqref="I191">
    <cfRule type="cellIs" dxfId="561" priority="683" operator="between">
      <formula>0.8</formula>
      <formula>0.9999</formula>
    </cfRule>
    <cfRule type="cellIs" dxfId="560" priority="684" operator="between">
      <formula>0.6</formula>
      <formula>0.7999</formula>
    </cfRule>
    <cfRule type="cellIs" dxfId="559" priority="685" operator="between">
      <formula>0</formula>
      <formula>0.5999</formula>
    </cfRule>
  </conditionalFormatting>
  <conditionalFormatting sqref="I208">
    <cfRule type="cellIs" dxfId="558" priority="555" operator="between">
      <formula>0.8</formula>
      <formula>0.9999</formula>
    </cfRule>
    <cfRule type="cellIs" dxfId="557" priority="556" operator="between">
      <formula>0.6</formula>
      <formula>0.7999</formula>
    </cfRule>
    <cfRule type="cellIs" dxfId="556" priority="557" operator="between">
      <formula>0</formula>
      <formula>0.5999</formula>
    </cfRule>
  </conditionalFormatting>
  <conditionalFormatting sqref="I225">
    <cfRule type="cellIs" dxfId="555" priority="397" operator="between">
      <formula>0.8</formula>
      <formula>0.9999</formula>
    </cfRule>
    <cfRule type="cellIs" dxfId="554" priority="398" operator="between">
      <formula>0.6</formula>
      <formula>0.7999</formula>
    </cfRule>
    <cfRule type="cellIs" dxfId="553" priority="399" operator="between">
      <formula>0</formula>
      <formula>0.5999</formula>
    </cfRule>
  </conditionalFormatting>
  <conditionalFormatting sqref="I3:J105">
    <cfRule type="cellIs" dxfId="552" priority="1098" operator="between">
      <formula>0.8</formula>
      <formula>0.9999</formula>
    </cfRule>
    <cfRule type="cellIs" dxfId="551" priority="1099" operator="between">
      <formula>0.6</formula>
      <formula>0.7999</formula>
    </cfRule>
    <cfRule type="cellIs" dxfId="550" priority="1100" stopIfTrue="1" operator="between">
      <formula>0</formula>
      <formula>0.5999</formula>
    </cfRule>
  </conditionalFormatting>
  <conditionalFormatting sqref="I71:J71">
    <cfRule type="cellIs" dxfId="549" priority="910" operator="equal">
      <formula>1</formula>
    </cfRule>
    <cfRule type="cellIs" dxfId="548" priority="911" operator="between">
      <formula>0.8</formula>
      <formula>0.9999</formula>
    </cfRule>
    <cfRule type="cellIs" dxfId="547" priority="912" operator="between">
      <formula>0.6</formula>
      <formula>0.7999</formula>
    </cfRule>
    <cfRule type="cellIs" dxfId="546" priority="913" operator="between">
      <formula>0</formula>
      <formula>0.5999</formula>
    </cfRule>
  </conditionalFormatting>
  <conditionalFormatting sqref="I88:J88">
    <cfRule type="cellIs" dxfId="545" priority="880" operator="equal">
      <formula>1</formula>
    </cfRule>
    <cfRule type="cellIs" dxfId="544" priority="903" operator="between">
      <formula>0.8</formula>
      <formula>0.9999</formula>
    </cfRule>
    <cfRule type="cellIs" dxfId="543" priority="904" operator="between">
      <formula>0.6</formula>
      <formula>0.7999</formula>
    </cfRule>
    <cfRule type="cellIs" dxfId="542" priority="905" operator="between">
      <formula>0</formula>
      <formula>0.5999</formula>
    </cfRule>
  </conditionalFormatting>
  <conditionalFormatting sqref="I122:J138">
    <cfRule type="cellIs" dxfId="541" priority="803" operator="between">
      <formula>0.8</formula>
      <formula>0.9999</formula>
    </cfRule>
    <cfRule type="cellIs" dxfId="540" priority="804" operator="between">
      <formula>0.6</formula>
      <formula>0.7999</formula>
    </cfRule>
    <cfRule type="cellIs" dxfId="539" priority="805" stopIfTrue="1" operator="between">
      <formula>0</formula>
      <formula>0.5999</formula>
    </cfRule>
  </conditionalFormatting>
  <conditionalFormatting sqref="I139:J155">
    <cfRule type="cellIs" dxfId="538" priority="775" operator="between">
      <formula>0.8</formula>
      <formula>0.9999</formula>
    </cfRule>
    <cfRule type="cellIs" dxfId="537" priority="776" operator="between">
      <formula>0.6</formula>
      <formula>0.7999</formula>
    </cfRule>
    <cfRule type="cellIs" dxfId="536" priority="777" stopIfTrue="1" operator="between">
      <formula>0</formula>
      <formula>0.5999</formula>
    </cfRule>
  </conditionalFormatting>
  <conditionalFormatting sqref="I156:J172">
    <cfRule type="cellIs" dxfId="535" priority="747" operator="between">
      <formula>0.8</formula>
      <formula>0.9999</formula>
    </cfRule>
    <cfRule type="cellIs" dxfId="534" priority="748" operator="between">
      <formula>0.6</formula>
      <formula>0.7999</formula>
    </cfRule>
    <cfRule type="cellIs" dxfId="533" priority="749" stopIfTrue="1" operator="between">
      <formula>0</formula>
      <formula>0.5999</formula>
    </cfRule>
  </conditionalFormatting>
  <conditionalFormatting sqref="I173:J189">
    <cfRule type="cellIs" dxfId="532" priority="719" operator="between">
      <formula>0.8</formula>
      <formula>0.9999</formula>
    </cfRule>
    <cfRule type="cellIs" dxfId="531" priority="720" operator="between">
      <formula>0.6</formula>
      <formula>0.7999</formula>
    </cfRule>
    <cfRule type="cellIs" dxfId="530" priority="721" stopIfTrue="1" operator="between">
      <formula>0</formula>
      <formula>0.5999</formula>
    </cfRule>
  </conditionalFormatting>
  <conditionalFormatting sqref="I190:J206">
    <cfRule type="cellIs" dxfId="529" priority="691" operator="between">
      <formula>0.8</formula>
      <formula>0.9999</formula>
    </cfRule>
    <cfRule type="cellIs" dxfId="528" priority="692" operator="between">
      <formula>0.6</formula>
      <formula>0.7999</formula>
    </cfRule>
    <cfRule type="cellIs" dxfId="527" priority="693" stopIfTrue="1" operator="between">
      <formula>0</formula>
      <formula>0.5999</formula>
    </cfRule>
  </conditionalFormatting>
  <conditionalFormatting sqref="I207:J223">
    <cfRule type="cellIs" dxfId="526" priority="563" operator="between">
      <formula>0.8</formula>
      <formula>0.9999</formula>
    </cfRule>
    <cfRule type="cellIs" dxfId="525" priority="564" operator="between">
      <formula>0.6</formula>
      <formula>0.7999</formula>
    </cfRule>
    <cfRule type="cellIs" dxfId="524" priority="565" stopIfTrue="1" operator="between">
      <formula>0</formula>
      <formula>0.5999</formula>
    </cfRule>
  </conditionalFormatting>
  <conditionalFormatting sqref="I224:J225">
    <cfRule type="cellIs" dxfId="523" priority="403" operator="between">
      <formula>0.8</formula>
      <formula>0.9999</formula>
    </cfRule>
    <cfRule type="cellIs" dxfId="522" priority="404" operator="between">
      <formula>0.6</formula>
      <formula>0.7999</formula>
    </cfRule>
    <cfRule type="cellIs" dxfId="521" priority="405" stopIfTrue="1" operator="between">
      <formula>0</formula>
      <formula>0.5999</formula>
    </cfRule>
  </conditionalFormatting>
  <conditionalFormatting sqref="I123:K123">
    <cfRule type="cellIs" dxfId="520" priority="794" operator="equal">
      <formula>1</formula>
    </cfRule>
  </conditionalFormatting>
  <conditionalFormatting sqref="I140:K140">
    <cfRule type="cellIs" dxfId="519" priority="766" operator="equal">
      <formula>1</formula>
    </cfRule>
  </conditionalFormatting>
  <conditionalFormatting sqref="I157:K157">
    <cfRule type="cellIs" dxfId="518" priority="738" operator="equal">
      <formula>1</formula>
    </cfRule>
  </conditionalFormatting>
  <conditionalFormatting sqref="I174:K174">
    <cfRule type="cellIs" dxfId="517" priority="710" operator="equal">
      <formula>1</formula>
    </cfRule>
  </conditionalFormatting>
  <conditionalFormatting sqref="I191:K191">
    <cfRule type="cellIs" dxfId="516" priority="682" operator="equal">
      <formula>1</formula>
    </cfRule>
  </conditionalFormatting>
  <conditionalFormatting sqref="I208:K208">
    <cfRule type="cellIs" dxfId="515" priority="554" operator="equal">
      <formula>1</formula>
    </cfRule>
  </conditionalFormatting>
  <conditionalFormatting sqref="I225:K225">
    <cfRule type="cellIs" dxfId="514" priority="396" operator="equal">
      <formula>1</formula>
    </cfRule>
  </conditionalFormatting>
  <conditionalFormatting sqref="J142:K142">
    <cfRule type="cellIs" dxfId="513" priority="770" operator="equal">
      <formula>1</formula>
    </cfRule>
  </conditionalFormatting>
  <conditionalFormatting sqref="J176:K176">
    <cfRule type="cellIs" dxfId="512" priority="714" operator="equal">
      <formula>1</formula>
    </cfRule>
  </conditionalFormatting>
  <conditionalFormatting sqref="J122:GO122 J124:K139 J141:K141 J143:K156 J158:K173 J175:K175 J177:K190 J192:K207 J209:K224 J3:GO8 J9:O12 Q9:GO12 J13:GO105 I37 K106:GO121 L123:GO240">
    <cfRule type="cellIs" dxfId="511" priority="1033" operator="equal">
      <formula>1</formula>
    </cfRule>
  </conditionalFormatting>
  <conditionalFormatting sqref="K226:K240">
    <cfRule type="cellIs" dxfId="510" priority="400" operator="equal">
      <formula>1</formula>
    </cfRule>
  </conditionalFormatting>
  <conditionalFormatting sqref="P9:P11">
    <cfRule type="duplicateValues" dxfId="509" priority="323"/>
  </conditionalFormatting>
  <conditionalFormatting sqref="P12">
    <cfRule type="duplicateValues" dxfId="508" priority="322"/>
  </conditionalFormatting>
  <conditionalFormatting sqref="A37:A52">
    <cfRule type="expression" dxfId="507" priority="293">
      <formula>$H37=0%</formula>
    </cfRule>
    <cfRule type="expression" dxfId="506" priority="294">
      <formula>($H37)=100%</formula>
    </cfRule>
  </conditionalFormatting>
  <conditionalFormatting sqref="A37:A52">
    <cfRule type="expression" dxfId="505" priority="291">
      <formula>$H37=0%</formula>
    </cfRule>
    <cfRule type="expression" dxfId="504" priority="292">
      <formula>($H37)=100%</formula>
    </cfRule>
  </conditionalFormatting>
  <conditionalFormatting sqref="A37:A52">
    <cfRule type="expression" dxfId="503" priority="289">
      <formula>$H37=0%</formula>
    </cfRule>
    <cfRule type="expression" dxfId="502" priority="290">
      <formula>($H37)=100%</formula>
    </cfRule>
  </conditionalFormatting>
  <conditionalFormatting sqref="A54:A69">
    <cfRule type="expression" dxfId="501" priority="287">
      <formula>$H54=0%</formula>
    </cfRule>
    <cfRule type="expression" dxfId="500" priority="288">
      <formula>($H54)=100%</formula>
    </cfRule>
  </conditionalFormatting>
  <conditionalFormatting sqref="A54:A69">
    <cfRule type="expression" dxfId="499" priority="285">
      <formula>$H54=0%</formula>
    </cfRule>
    <cfRule type="expression" dxfId="498" priority="286">
      <formula>($H54)=100%</formula>
    </cfRule>
  </conditionalFormatting>
  <conditionalFormatting sqref="A54:A69">
    <cfRule type="expression" dxfId="497" priority="283">
      <formula>$H54=0%</formula>
    </cfRule>
    <cfRule type="expression" dxfId="496" priority="284">
      <formula>($H54)=100%</formula>
    </cfRule>
  </conditionalFormatting>
  <conditionalFormatting sqref="A54:A69">
    <cfRule type="expression" dxfId="495" priority="281">
      <formula>$H54=0%</formula>
    </cfRule>
    <cfRule type="expression" dxfId="494" priority="282">
      <formula>($H54)=100%</formula>
    </cfRule>
  </conditionalFormatting>
  <conditionalFormatting sqref="A37:A52">
    <cfRule type="expression" dxfId="493" priority="279">
      <formula>$H37=0%</formula>
    </cfRule>
    <cfRule type="expression" dxfId="492" priority="280">
      <formula>($H37)=100%</formula>
    </cfRule>
  </conditionalFormatting>
  <conditionalFormatting sqref="A37:A52">
    <cfRule type="expression" dxfId="491" priority="277">
      <formula>$H37=0%</formula>
    </cfRule>
    <cfRule type="expression" dxfId="490" priority="278">
      <formula>($H37)=100%</formula>
    </cfRule>
  </conditionalFormatting>
  <conditionalFormatting sqref="A37:A52">
    <cfRule type="expression" dxfId="489" priority="275">
      <formula>$H37=0%</formula>
    </cfRule>
    <cfRule type="expression" dxfId="488" priority="276">
      <formula>($H37)=100%</formula>
    </cfRule>
  </conditionalFormatting>
  <conditionalFormatting sqref="A54:A69">
    <cfRule type="expression" dxfId="487" priority="273">
      <formula>$H54=0%</formula>
    </cfRule>
    <cfRule type="expression" dxfId="486" priority="274">
      <formula>($H54)=100%</formula>
    </cfRule>
  </conditionalFormatting>
  <conditionalFormatting sqref="A54:A69">
    <cfRule type="expression" dxfId="485" priority="271">
      <formula>$H54=0%</formula>
    </cfRule>
    <cfRule type="expression" dxfId="484" priority="272">
      <formula>($H54)=100%</formula>
    </cfRule>
  </conditionalFormatting>
  <conditionalFormatting sqref="A54:A69">
    <cfRule type="expression" dxfId="483" priority="269">
      <formula>$H54=0%</formula>
    </cfRule>
    <cfRule type="expression" dxfId="482" priority="270">
      <formula>($H54)=100%</formula>
    </cfRule>
  </conditionalFormatting>
  <conditionalFormatting sqref="A54:A69">
    <cfRule type="expression" dxfId="481" priority="267">
      <formula>$H54=0%</formula>
    </cfRule>
    <cfRule type="expression" dxfId="480" priority="268">
      <formula>($H54)=100%</formula>
    </cfRule>
  </conditionalFormatting>
  <conditionalFormatting sqref="A54:A69">
    <cfRule type="expression" dxfId="479" priority="265">
      <formula>$H54=0%</formula>
    </cfRule>
    <cfRule type="expression" dxfId="478" priority="266">
      <formula>($H54)=100%</formula>
    </cfRule>
  </conditionalFormatting>
  <conditionalFormatting sqref="A54:A69">
    <cfRule type="expression" dxfId="477" priority="263">
      <formula>$H54=0%</formula>
    </cfRule>
    <cfRule type="expression" dxfId="476" priority="264">
      <formula>($H54)=100%</formula>
    </cfRule>
  </conditionalFormatting>
  <conditionalFormatting sqref="A54:A69">
    <cfRule type="expression" dxfId="475" priority="261">
      <formula>$H54=0%</formula>
    </cfRule>
    <cfRule type="expression" dxfId="474" priority="262">
      <formula>($H54)=100%</formula>
    </cfRule>
  </conditionalFormatting>
  <conditionalFormatting sqref="A71:A86">
    <cfRule type="expression" dxfId="473" priority="259">
      <formula>$H71=0%</formula>
    </cfRule>
    <cfRule type="expression" dxfId="472" priority="260">
      <formula>($H71)=100%</formula>
    </cfRule>
  </conditionalFormatting>
  <conditionalFormatting sqref="A71:A86">
    <cfRule type="expression" dxfId="471" priority="257">
      <formula>$H71=0%</formula>
    </cfRule>
    <cfRule type="expression" dxfId="470" priority="258">
      <formula>($H71)=100%</formula>
    </cfRule>
  </conditionalFormatting>
  <conditionalFormatting sqref="A71:A86">
    <cfRule type="expression" dxfId="469" priority="255">
      <formula>$H71=0%</formula>
    </cfRule>
    <cfRule type="expression" dxfId="468" priority="256">
      <formula>($H71)=100%</formula>
    </cfRule>
  </conditionalFormatting>
  <conditionalFormatting sqref="A71:A86">
    <cfRule type="expression" dxfId="467" priority="253">
      <formula>$H71=0%</formula>
    </cfRule>
    <cfRule type="expression" dxfId="466" priority="254">
      <formula>($H71)=100%</formula>
    </cfRule>
  </conditionalFormatting>
  <conditionalFormatting sqref="A71:A86">
    <cfRule type="expression" dxfId="465" priority="251">
      <formula>$H71=0%</formula>
    </cfRule>
    <cfRule type="expression" dxfId="464" priority="252">
      <formula>($H71)=100%</formula>
    </cfRule>
  </conditionalFormatting>
  <conditionalFormatting sqref="A71:A86">
    <cfRule type="expression" dxfId="463" priority="249">
      <formula>$H71=0%</formula>
    </cfRule>
    <cfRule type="expression" dxfId="462" priority="250">
      <formula>($H71)=100%</formula>
    </cfRule>
  </conditionalFormatting>
  <conditionalFormatting sqref="A71:A86">
    <cfRule type="expression" dxfId="461" priority="247">
      <formula>$H71=0%</formula>
    </cfRule>
    <cfRule type="expression" dxfId="460" priority="248">
      <formula>($H71)=100%</formula>
    </cfRule>
  </conditionalFormatting>
  <conditionalFormatting sqref="A71:A86">
    <cfRule type="expression" dxfId="459" priority="245">
      <formula>$H71=0%</formula>
    </cfRule>
    <cfRule type="expression" dxfId="458" priority="246">
      <formula>($H71)=100%</formula>
    </cfRule>
  </conditionalFormatting>
  <conditionalFormatting sqref="A71:A86">
    <cfRule type="expression" dxfId="457" priority="243">
      <formula>$H71=0%</formula>
    </cfRule>
    <cfRule type="expression" dxfId="456" priority="244">
      <formula>($H71)=100%</formula>
    </cfRule>
  </conditionalFormatting>
  <conditionalFormatting sqref="A71:A86">
    <cfRule type="expression" dxfId="455" priority="241">
      <formula>$H71=0%</formula>
    </cfRule>
    <cfRule type="expression" dxfId="454" priority="242">
      <formula>($H71)=100%</formula>
    </cfRule>
  </conditionalFormatting>
  <conditionalFormatting sqref="A71:A86">
    <cfRule type="expression" dxfId="453" priority="239">
      <formula>$H71=0%</formula>
    </cfRule>
    <cfRule type="expression" dxfId="452" priority="240">
      <formula>($H71)=100%</formula>
    </cfRule>
  </conditionalFormatting>
  <conditionalFormatting sqref="A88:A103">
    <cfRule type="expression" dxfId="451" priority="237">
      <formula>$H88=0%</formula>
    </cfRule>
    <cfRule type="expression" dxfId="450" priority="238">
      <formula>($H88)=100%</formula>
    </cfRule>
  </conditionalFormatting>
  <conditionalFormatting sqref="A88:A103">
    <cfRule type="expression" dxfId="449" priority="235">
      <formula>$H88=0%</formula>
    </cfRule>
    <cfRule type="expression" dxfId="448" priority="236">
      <formula>($H88)=100%</formula>
    </cfRule>
  </conditionalFormatting>
  <conditionalFormatting sqref="A88:A103">
    <cfRule type="expression" dxfId="447" priority="233">
      <formula>$H88=0%</formula>
    </cfRule>
    <cfRule type="expression" dxfId="446" priority="234">
      <formula>($H88)=100%</formula>
    </cfRule>
  </conditionalFormatting>
  <conditionalFormatting sqref="A88:A103">
    <cfRule type="expression" dxfId="445" priority="231">
      <formula>$H88=0%</formula>
    </cfRule>
    <cfRule type="expression" dxfId="444" priority="232">
      <formula>($H88)=100%</formula>
    </cfRule>
  </conditionalFormatting>
  <conditionalFormatting sqref="A88:A103">
    <cfRule type="expression" dxfId="443" priority="229">
      <formula>$H88=0%</formula>
    </cfRule>
    <cfRule type="expression" dxfId="442" priority="230">
      <formula>($H88)=100%</formula>
    </cfRule>
  </conditionalFormatting>
  <conditionalFormatting sqref="A88:A103">
    <cfRule type="expression" dxfId="441" priority="227">
      <formula>$H88=0%</formula>
    </cfRule>
    <cfRule type="expression" dxfId="440" priority="228">
      <formula>($H88)=100%</formula>
    </cfRule>
  </conditionalFormatting>
  <conditionalFormatting sqref="A88:A103">
    <cfRule type="expression" dxfId="439" priority="225">
      <formula>$H88=0%</formula>
    </cfRule>
    <cfRule type="expression" dxfId="438" priority="226">
      <formula>($H88)=100%</formula>
    </cfRule>
  </conditionalFormatting>
  <conditionalFormatting sqref="A88:A103">
    <cfRule type="expression" dxfId="437" priority="223">
      <formula>$H88=0%</formula>
    </cfRule>
    <cfRule type="expression" dxfId="436" priority="224">
      <formula>($H88)=100%</formula>
    </cfRule>
  </conditionalFormatting>
  <conditionalFormatting sqref="A88:A103">
    <cfRule type="expression" dxfId="435" priority="221">
      <formula>$H88=0%</formula>
    </cfRule>
    <cfRule type="expression" dxfId="434" priority="222">
      <formula>($H88)=100%</formula>
    </cfRule>
  </conditionalFormatting>
  <conditionalFormatting sqref="A88:A103">
    <cfRule type="expression" dxfId="433" priority="219">
      <formula>$H88=0%</formula>
    </cfRule>
    <cfRule type="expression" dxfId="432" priority="220">
      <formula>($H88)=100%</formula>
    </cfRule>
  </conditionalFormatting>
  <conditionalFormatting sqref="A88:A103">
    <cfRule type="expression" dxfId="431" priority="217">
      <formula>$H88=0%</formula>
    </cfRule>
    <cfRule type="expression" dxfId="430" priority="218">
      <formula>($H88)=100%</formula>
    </cfRule>
  </conditionalFormatting>
  <conditionalFormatting sqref="A105:A121">
    <cfRule type="expression" dxfId="429" priority="215">
      <formula>$H105=0%</formula>
    </cfRule>
  </conditionalFormatting>
  <conditionalFormatting sqref="A105:A121">
    <cfRule type="expression" dxfId="428" priority="216">
      <formula>($H105)=100%</formula>
    </cfRule>
  </conditionalFormatting>
  <conditionalFormatting sqref="A105:A121">
    <cfRule type="expression" dxfId="427" priority="213">
      <formula>$H105=0%</formula>
    </cfRule>
    <cfRule type="expression" dxfId="426" priority="214">
      <formula>($H105)=100%</formula>
    </cfRule>
  </conditionalFormatting>
  <conditionalFormatting sqref="A105:A121">
    <cfRule type="expression" dxfId="425" priority="211">
      <formula>$H105=0%</formula>
    </cfRule>
    <cfRule type="expression" dxfId="424" priority="212">
      <formula>($H105)=100%</formula>
    </cfRule>
  </conditionalFormatting>
  <conditionalFormatting sqref="A105:A121">
    <cfRule type="expression" dxfId="423" priority="209">
      <formula>$H105=0%</formula>
    </cfRule>
    <cfRule type="expression" dxfId="422" priority="210">
      <formula>($H105)=100%</formula>
    </cfRule>
  </conditionalFormatting>
  <conditionalFormatting sqref="A105:A121">
    <cfRule type="expression" dxfId="421" priority="207">
      <formula>$H105=0%</formula>
    </cfRule>
    <cfRule type="expression" dxfId="420" priority="208">
      <formula>($H105)=100%</formula>
    </cfRule>
  </conditionalFormatting>
  <conditionalFormatting sqref="A105:A121">
    <cfRule type="expression" dxfId="419" priority="205">
      <formula>$H105=0%</formula>
    </cfRule>
    <cfRule type="expression" dxfId="418" priority="206">
      <formula>($H105)=100%</formula>
    </cfRule>
  </conditionalFormatting>
  <conditionalFormatting sqref="A105:A121">
    <cfRule type="expression" dxfId="417" priority="203">
      <formula>$H105=0%</formula>
    </cfRule>
    <cfRule type="expression" dxfId="416" priority="204">
      <formula>($H105)=100%</formula>
    </cfRule>
  </conditionalFormatting>
  <conditionalFormatting sqref="A105:A121">
    <cfRule type="expression" dxfId="415" priority="201">
      <formula>$H105=0%</formula>
    </cfRule>
    <cfRule type="expression" dxfId="414" priority="202">
      <formula>($H105)=100%</formula>
    </cfRule>
  </conditionalFormatting>
  <conditionalFormatting sqref="A105:A121">
    <cfRule type="expression" dxfId="413" priority="199">
      <formula>$H105=0%</formula>
    </cfRule>
    <cfRule type="expression" dxfId="412" priority="200">
      <formula>($H105)=100%</formula>
    </cfRule>
  </conditionalFormatting>
  <conditionalFormatting sqref="A105:A121">
    <cfRule type="expression" dxfId="411" priority="197">
      <formula>$H105=0%</formula>
    </cfRule>
    <cfRule type="expression" dxfId="410" priority="198">
      <formula>($H105)=100%</formula>
    </cfRule>
  </conditionalFormatting>
  <conditionalFormatting sqref="A105:A121">
    <cfRule type="expression" dxfId="409" priority="195">
      <formula>$H105=0%</formula>
    </cfRule>
    <cfRule type="expression" dxfId="408" priority="196">
      <formula>($H105)=100%</formula>
    </cfRule>
  </conditionalFormatting>
  <conditionalFormatting sqref="A105:A121">
    <cfRule type="expression" dxfId="407" priority="193">
      <formula>$H105=0%</formula>
    </cfRule>
    <cfRule type="expression" dxfId="406" priority="194">
      <formula>($H105)=100%</formula>
    </cfRule>
  </conditionalFormatting>
  <conditionalFormatting sqref="A123:A138">
    <cfRule type="expression" dxfId="405" priority="191">
      <formula>$H123=0%</formula>
    </cfRule>
  </conditionalFormatting>
  <conditionalFormatting sqref="A123:A138">
    <cfRule type="expression" dxfId="404" priority="192">
      <formula>($H123)=100%</formula>
    </cfRule>
  </conditionalFormatting>
  <conditionalFormatting sqref="A123:A138">
    <cfRule type="expression" dxfId="403" priority="189">
      <formula>$H123=0%</formula>
    </cfRule>
    <cfRule type="expression" dxfId="402" priority="190">
      <formula>($H123)=100%</formula>
    </cfRule>
  </conditionalFormatting>
  <conditionalFormatting sqref="A123:A138">
    <cfRule type="expression" dxfId="401" priority="187">
      <formula>$H123=0%</formula>
    </cfRule>
    <cfRule type="expression" dxfId="400" priority="188">
      <formula>($H123)=100%</formula>
    </cfRule>
  </conditionalFormatting>
  <conditionalFormatting sqref="A123:A138">
    <cfRule type="expression" dxfId="399" priority="185">
      <formula>$H123=0%</formula>
    </cfRule>
    <cfRule type="expression" dxfId="398" priority="186">
      <formula>($H123)=100%</formula>
    </cfRule>
  </conditionalFormatting>
  <conditionalFormatting sqref="A123:A138">
    <cfRule type="expression" dxfId="397" priority="183">
      <formula>$H123=0%</formula>
    </cfRule>
    <cfRule type="expression" dxfId="396" priority="184">
      <formula>($H123)=100%</formula>
    </cfRule>
  </conditionalFormatting>
  <conditionalFormatting sqref="A123:A138">
    <cfRule type="expression" dxfId="395" priority="181">
      <formula>$H123=0%</formula>
    </cfRule>
    <cfRule type="expression" dxfId="394" priority="182">
      <formula>($H123)=100%</formula>
    </cfRule>
  </conditionalFormatting>
  <conditionalFormatting sqref="A123:A138">
    <cfRule type="expression" dxfId="393" priority="179">
      <formula>$H123=0%</formula>
    </cfRule>
    <cfRule type="expression" dxfId="392" priority="180">
      <formula>($H123)=100%</formula>
    </cfRule>
  </conditionalFormatting>
  <conditionalFormatting sqref="A123:A138">
    <cfRule type="expression" dxfId="391" priority="177">
      <formula>$H123=0%</formula>
    </cfRule>
    <cfRule type="expression" dxfId="390" priority="178">
      <formula>($H123)=100%</formula>
    </cfRule>
  </conditionalFormatting>
  <conditionalFormatting sqref="A123:A138">
    <cfRule type="expression" dxfId="389" priority="175">
      <formula>$H123=0%</formula>
    </cfRule>
    <cfRule type="expression" dxfId="388" priority="176">
      <formula>($H123)=100%</formula>
    </cfRule>
  </conditionalFormatting>
  <conditionalFormatting sqref="A123:A138">
    <cfRule type="expression" dxfId="387" priority="173">
      <formula>$H123=0%</formula>
    </cfRule>
    <cfRule type="expression" dxfId="386" priority="174">
      <formula>($H123)=100%</formula>
    </cfRule>
  </conditionalFormatting>
  <conditionalFormatting sqref="A123:A138">
    <cfRule type="expression" dxfId="385" priority="171">
      <formula>$H123=0%</formula>
    </cfRule>
    <cfRule type="expression" dxfId="384" priority="172">
      <formula>($H123)=100%</formula>
    </cfRule>
  </conditionalFormatting>
  <conditionalFormatting sqref="A123:A138">
    <cfRule type="expression" dxfId="383" priority="169">
      <formula>$H123=0%</formula>
    </cfRule>
    <cfRule type="expression" dxfId="382" priority="170">
      <formula>($H123)=100%</formula>
    </cfRule>
  </conditionalFormatting>
  <conditionalFormatting sqref="A140:A155">
    <cfRule type="expression" dxfId="381" priority="167">
      <formula>$H140=0%</formula>
    </cfRule>
  </conditionalFormatting>
  <conditionalFormatting sqref="A140:A155">
    <cfRule type="expression" dxfId="380" priority="168">
      <formula>($H140)=100%</formula>
    </cfRule>
  </conditionalFormatting>
  <conditionalFormatting sqref="A140:A155">
    <cfRule type="expression" dxfId="379" priority="165">
      <formula>$H140=0%</formula>
    </cfRule>
    <cfRule type="expression" dxfId="378" priority="166">
      <formula>($H140)=100%</formula>
    </cfRule>
  </conditionalFormatting>
  <conditionalFormatting sqref="A140:A155">
    <cfRule type="expression" dxfId="377" priority="163">
      <formula>$H140=0%</formula>
    </cfRule>
    <cfRule type="expression" dxfId="376" priority="164">
      <formula>($H140)=100%</formula>
    </cfRule>
  </conditionalFormatting>
  <conditionalFormatting sqref="A140:A155">
    <cfRule type="expression" dxfId="375" priority="161">
      <formula>$H140=0%</formula>
    </cfRule>
    <cfRule type="expression" dxfId="374" priority="162">
      <formula>($H140)=100%</formula>
    </cfRule>
  </conditionalFormatting>
  <conditionalFormatting sqref="A140:A155">
    <cfRule type="expression" dxfId="373" priority="159">
      <formula>$H140=0%</formula>
    </cfRule>
    <cfRule type="expression" dxfId="372" priority="160">
      <formula>($H140)=100%</formula>
    </cfRule>
  </conditionalFormatting>
  <conditionalFormatting sqref="A140:A155">
    <cfRule type="expression" dxfId="371" priority="157">
      <formula>$H140=0%</formula>
    </cfRule>
    <cfRule type="expression" dxfId="370" priority="158">
      <formula>($H140)=100%</formula>
    </cfRule>
  </conditionalFormatting>
  <conditionalFormatting sqref="A140:A155">
    <cfRule type="expression" dxfId="369" priority="155">
      <formula>$H140=0%</formula>
    </cfRule>
    <cfRule type="expression" dxfId="368" priority="156">
      <formula>($H140)=100%</formula>
    </cfRule>
  </conditionalFormatting>
  <conditionalFormatting sqref="A140:A155">
    <cfRule type="expression" dxfId="367" priority="153">
      <formula>$H140=0%</formula>
    </cfRule>
    <cfRule type="expression" dxfId="366" priority="154">
      <formula>($H140)=100%</formula>
    </cfRule>
  </conditionalFormatting>
  <conditionalFormatting sqref="A140:A155">
    <cfRule type="expression" dxfId="365" priority="151">
      <formula>$H140=0%</formula>
    </cfRule>
    <cfRule type="expression" dxfId="364" priority="152">
      <formula>($H140)=100%</formula>
    </cfRule>
  </conditionalFormatting>
  <conditionalFormatting sqref="A140:A155">
    <cfRule type="expression" dxfId="363" priority="149">
      <formula>$H140=0%</formula>
    </cfRule>
    <cfRule type="expression" dxfId="362" priority="150">
      <formula>($H140)=100%</formula>
    </cfRule>
  </conditionalFormatting>
  <conditionalFormatting sqref="A140:A155">
    <cfRule type="expression" dxfId="361" priority="147">
      <formula>$H140=0%</formula>
    </cfRule>
    <cfRule type="expression" dxfId="360" priority="148">
      <formula>($H140)=100%</formula>
    </cfRule>
  </conditionalFormatting>
  <conditionalFormatting sqref="A140:A155">
    <cfRule type="expression" dxfId="359" priority="145">
      <formula>$H140=0%</formula>
    </cfRule>
    <cfRule type="expression" dxfId="358" priority="146">
      <formula>($H140)=100%</formula>
    </cfRule>
  </conditionalFormatting>
  <conditionalFormatting sqref="A157:A172">
    <cfRule type="expression" dxfId="357" priority="143">
      <formula>$H157=0%</formula>
    </cfRule>
  </conditionalFormatting>
  <conditionalFormatting sqref="A157:A172">
    <cfRule type="expression" dxfId="356" priority="144">
      <formula>($H157)=100%</formula>
    </cfRule>
  </conditionalFormatting>
  <conditionalFormatting sqref="A157:A172">
    <cfRule type="expression" dxfId="355" priority="141">
      <formula>$H157=0%</formula>
    </cfRule>
    <cfRule type="expression" dxfId="354" priority="142">
      <formula>($H157)=100%</formula>
    </cfRule>
  </conditionalFormatting>
  <conditionalFormatting sqref="A157:A172">
    <cfRule type="expression" dxfId="353" priority="139">
      <formula>$H157=0%</formula>
    </cfRule>
    <cfRule type="expression" dxfId="352" priority="140">
      <formula>($H157)=100%</formula>
    </cfRule>
  </conditionalFormatting>
  <conditionalFormatting sqref="A157:A172">
    <cfRule type="expression" dxfId="351" priority="137">
      <formula>$H157=0%</formula>
    </cfRule>
    <cfRule type="expression" dxfId="350" priority="138">
      <formula>($H157)=100%</formula>
    </cfRule>
  </conditionalFormatting>
  <conditionalFormatting sqref="A157:A172">
    <cfRule type="expression" dxfId="349" priority="135">
      <formula>$H157=0%</formula>
    </cfRule>
    <cfRule type="expression" dxfId="348" priority="136">
      <formula>($H157)=100%</formula>
    </cfRule>
  </conditionalFormatting>
  <conditionalFormatting sqref="A157:A172">
    <cfRule type="expression" dxfId="347" priority="133">
      <formula>$H157=0%</formula>
    </cfRule>
    <cfRule type="expression" dxfId="346" priority="134">
      <formula>($H157)=100%</formula>
    </cfRule>
  </conditionalFormatting>
  <conditionalFormatting sqref="A157:A172">
    <cfRule type="expression" dxfId="345" priority="131">
      <formula>$H157=0%</formula>
    </cfRule>
    <cfRule type="expression" dxfId="344" priority="132">
      <formula>($H157)=100%</formula>
    </cfRule>
  </conditionalFormatting>
  <conditionalFormatting sqref="A157:A172">
    <cfRule type="expression" dxfId="343" priority="129">
      <formula>$H157=0%</formula>
    </cfRule>
    <cfRule type="expression" dxfId="342" priority="130">
      <formula>($H157)=100%</formula>
    </cfRule>
  </conditionalFormatting>
  <conditionalFormatting sqref="A157:A172">
    <cfRule type="expression" dxfId="341" priority="127">
      <formula>$H157=0%</formula>
    </cfRule>
    <cfRule type="expression" dxfId="340" priority="128">
      <formula>($H157)=100%</formula>
    </cfRule>
  </conditionalFormatting>
  <conditionalFormatting sqref="A157:A172">
    <cfRule type="expression" dxfId="339" priority="125">
      <formula>$H157=0%</formula>
    </cfRule>
    <cfRule type="expression" dxfId="338" priority="126">
      <formula>($H157)=100%</formula>
    </cfRule>
  </conditionalFormatting>
  <conditionalFormatting sqref="A157:A172">
    <cfRule type="expression" dxfId="337" priority="123">
      <formula>$H157=0%</formula>
    </cfRule>
    <cfRule type="expression" dxfId="336" priority="124">
      <formula>($H157)=100%</formula>
    </cfRule>
  </conditionalFormatting>
  <conditionalFormatting sqref="A157:A172">
    <cfRule type="expression" dxfId="335" priority="121">
      <formula>$H157=0%</formula>
    </cfRule>
    <cfRule type="expression" dxfId="334" priority="122">
      <formula>($H157)=100%</formula>
    </cfRule>
  </conditionalFormatting>
  <conditionalFormatting sqref="A174:A189">
    <cfRule type="expression" dxfId="333" priority="119">
      <formula>$H174=0%</formula>
    </cfRule>
  </conditionalFormatting>
  <conditionalFormatting sqref="A174:A189">
    <cfRule type="expression" dxfId="332" priority="120">
      <formula>($H174)=100%</formula>
    </cfRule>
  </conditionalFormatting>
  <conditionalFormatting sqref="A174:A189">
    <cfRule type="expression" dxfId="331" priority="117">
      <formula>$H174=0%</formula>
    </cfRule>
    <cfRule type="expression" dxfId="330" priority="118">
      <formula>($H174)=100%</formula>
    </cfRule>
  </conditionalFormatting>
  <conditionalFormatting sqref="A174:A189">
    <cfRule type="expression" dxfId="329" priority="115">
      <formula>$H174=0%</formula>
    </cfRule>
    <cfRule type="expression" dxfId="328" priority="116">
      <formula>($H174)=100%</formula>
    </cfRule>
  </conditionalFormatting>
  <conditionalFormatting sqref="A174:A189">
    <cfRule type="expression" dxfId="327" priority="113">
      <formula>$H174=0%</formula>
    </cfRule>
    <cfRule type="expression" dxfId="326" priority="114">
      <formula>($H174)=100%</formula>
    </cfRule>
  </conditionalFormatting>
  <conditionalFormatting sqref="A174:A189">
    <cfRule type="expression" dxfId="325" priority="111">
      <formula>$H174=0%</formula>
    </cfRule>
    <cfRule type="expression" dxfId="324" priority="112">
      <formula>($H174)=100%</formula>
    </cfRule>
  </conditionalFormatting>
  <conditionalFormatting sqref="A174:A189">
    <cfRule type="expression" dxfId="323" priority="109">
      <formula>$H174=0%</formula>
    </cfRule>
    <cfRule type="expression" dxfId="322" priority="110">
      <formula>($H174)=100%</formula>
    </cfRule>
  </conditionalFormatting>
  <conditionalFormatting sqref="A174:A189">
    <cfRule type="expression" dxfId="321" priority="107">
      <formula>$H174=0%</formula>
    </cfRule>
    <cfRule type="expression" dxfId="320" priority="108">
      <formula>($H174)=100%</formula>
    </cfRule>
  </conditionalFormatting>
  <conditionalFormatting sqref="A174:A189">
    <cfRule type="expression" dxfId="319" priority="105">
      <formula>$H174=0%</formula>
    </cfRule>
    <cfRule type="expression" dxfId="318" priority="106">
      <formula>($H174)=100%</formula>
    </cfRule>
  </conditionalFormatting>
  <conditionalFormatting sqref="A174:A189">
    <cfRule type="expression" dxfId="317" priority="103">
      <formula>$H174=0%</formula>
    </cfRule>
    <cfRule type="expression" dxfId="316" priority="104">
      <formula>($H174)=100%</formula>
    </cfRule>
  </conditionalFormatting>
  <conditionalFormatting sqref="A174:A189">
    <cfRule type="expression" dxfId="315" priority="101">
      <formula>$H174=0%</formula>
    </cfRule>
    <cfRule type="expression" dxfId="314" priority="102">
      <formula>($H174)=100%</formula>
    </cfRule>
  </conditionalFormatting>
  <conditionalFormatting sqref="A174:A189">
    <cfRule type="expression" dxfId="313" priority="99">
      <formula>$H174=0%</formula>
    </cfRule>
    <cfRule type="expression" dxfId="312" priority="100">
      <formula>($H174)=100%</formula>
    </cfRule>
  </conditionalFormatting>
  <conditionalFormatting sqref="A174:A189">
    <cfRule type="expression" dxfId="311" priority="97">
      <formula>$H174=0%</formula>
    </cfRule>
    <cfRule type="expression" dxfId="310" priority="98">
      <formula>($H174)=100%</formula>
    </cfRule>
  </conditionalFormatting>
  <conditionalFormatting sqref="A191:A206">
    <cfRule type="expression" dxfId="309" priority="71">
      <formula>$H191=0%</formula>
    </cfRule>
  </conditionalFormatting>
  <conditionalFormatting sqref="A191:A206">
    <cfRule type="expression" dxfId="308" priority="72">
      <formula>($H191)=100%</formula>
    </cfRule>
  </conditionalFormatting>
  <conditionalFormatting sqref="A191:A206">
    <cfRule type="expression" dxfId="307" priority="69">
      <formula>$H191=0%</formula>
    </cfRule>
    <cfRule type="expression" dxfId="306" priority="70">
      <formula>($H191)=100%</formula>
    </cfRule>
  </conditionalFormatting>
  <conditionalFormatting sqref="A191:A206">
    <cfRule type="expression" dxfId="305" priority="67">
      <formula>$H191=0%</formula>
    </cfRule>
    <cfRule type="expression" dxfId="304" priority="68">
      <formula>($H191)=100%</formula>
    </cfRule>
  </conditionalFormatting>
  <conditionalFormatting sqref="A191:A206">
    <cfRule type="expression" dxfId="303" priority="65">
      <formula>$H191=0%</formula>
    </cfRule>
    <cfRule type="expression" dxfId="302" priority="66">
      <formula>($H191)=100%</formula>
    </cfRule>
  </conditionalFormatting>
  <conditionalFormatting sqref="A191:A206">
    <cfRule type="expression" dxfId="301" priority="63">
      <formula>$H191=0%</formula>
    </cfRule>
    <cfRule type="expression" dxfId="300" priority="64">
      <formula>($H191)=100%</formula>
    </cfRule>
  </conditionalFormatting>
  <conditionalFormatting sqref="A191:A206">
    <cfRule type="expression" dxfId="299" priority="61">
      <formula>$H191=0%</formula>
    </cfRule>
    <cfRule type="expression" dxfId="298" priority="62">
      <formula>($H191)=100%</formula>
    </cfRule>
  </conditionalFormatting>
  <conditionalFormatting sqref="A191:A206">
    <cfRule type="expression" dxfId="297" priority="59">
      <formula>$H191=0%</formula>
    </cfRule>
    <cfRule type="expression" dxfId="296" priority="60">
      <formula>($H191)=100%</formula>
    </cfRule>
  </conditionalFormatting>
  <conditionalFormatting sqref="A191:A206">
    <cfRule type="expression" dxfId="295" priority="57">
      <formula>$H191=0%</formula>
    </cfRule>
    <cfRule type="expression" dxfId="294" priority="58">
      <formula>($H191)=100%</formula>
    </cfRule>
  </conditionalFormatting>
  <conditionalFormatting sqref="A191:A206">
    <cfRule type="expression" dxfId="293" priority="55">
      <formula>$H191=0%</formula>
    </cfRule>
    <cfRule type="expression" dxfId="292" priority="56">
      <formula>($H191)=100%</formula>
    </cfRule>
  </conditionalFormatting>
  <conditionalFormatting sqref="A191:A206">
    <cfRule type="expression" dxfId="291" priority="53">
      <formula>$H191=0%</formula>
    </cfRule>
    <cfRule type="expression" dxfId="290" priority="54">
      <formula>($H191)=100%</formula>
    </cfRule>
  </conditionalFormatting>
  <conditionalFormatting sqref="A191:A206">
    <cfRule type="expression" dxfId="289" priority="51">
      <formula>$H191=0%</formula>
    </cfRule>
    <cfRule type="expression" dxfId="288" priority="52">
      <formula>($H191)=100%</formula>
    </cfRule>
  </conditionalFormatting>
  <conditionalFormatting sqref="A191:A206">
    <cfRule type="expression" dxfId="287" priority="49">
      <formula>$H191=0%</formula>
    </cfRule>
    <cfRule type="expression" dxfId="286" priority="50">
      <formula>($H191)=100%</formula>
    </cfRule>
  </conditionalFormatting>
  <conditionalFormatting sqref="A208:A223">
    <cfRule type="expression" dxfId="285" priority="47">
      <formula>$H208=0%</formula>
    </cfRule>
  </conditionalFormatting>
  <conditionalFormatting sqref="A208:A223">
    <cfRule type="expression" dxfId="284" priority="48">
      <formula>($H208)=100%</formula>
    </cfRule>
  </conditionalFormatting>
  <conditionalFormatting sqref="A208:A223">
    <cfRule type="expression" dxfId="283" priority="45">
      <formula>$H208=0%</formula>
    </cfRule>
    <cfRule type="expression" dxfId="282" priority="46">
      <formula>($H208)=100%</formula>
    </cfRule>
  </conditionalFormatting>
  <conditionalFormatting sqref="A208:A223">
    <cfRule type="expression" dxfId="281" priority="43">
      <formula>$H208=0%</formula>
    </cfRule>
    <cfRule type="expression" dxfId="280" priority="44">
      <formula>($H208)=100%</formula>
    </cfRule>
  </conditionalFormatting>
  <conditionalFormatting sqref="A208:A223">
    <cfRule type="expression" dxfId="279" priority="41">
      <formula>$H208=0%</formula>
    </cfRule>
    <cfRule type="expression" dxfId="278" priority="42">
      <formula>($H208)=100%</formula>
    </cfRule>
  </conditionalFormatting>
  <conditionalFormatting sqref="A208:A223">
    <cfRule type="expression" dxfId="277" priority="39">
      <formula>$H208=0%</formula>
    </cfRule>
    <cfRule type="expression" dxfId="276" priority="40">
      <formula>($H208)=100%</formula>
    </cfRule>
  </conditionalFormatting>
  <conditionalFormatting sqref="A208:A223">
    <cfRule type="expression" dxfId="275" priority="37">
      <formula>$H208=0%</formula>
    </cfRule>
    <cfRule type="expression" dxfId="274" priority="38">
      <formula>($H208)=100%</formula>
    </cfRule>
  </conditionalFormatting>
  <conditionalFormatting sqref="A208:A223">
    <cfRule type="expression" dxfId="273" priority="35">
      <formula>$H208=0%</formula>
    </cfRule>
    <cfRule type="expression" dxfId="272" priority="36">
      <formula>($H208)=100%</formula>
    </cfRule>
  </conditionalFormatting>
  <conditionalFormatting sqref="A208:A223">
    <cfRule type="expression" dxfId="271" priority="33">
      <formula>$H208=0%</formula>
    </cfRule>
    <cfRule type="expression" dxfId="270" priority="34">
      <formula>($H208)=100%</formula>
    </cfRule>
  </conditionalFormatting>
  <conditionalFormatting sqref="A208:A223">
    <cfRule type="expression" dxfId="269" priority="31">
      <formula>$H208=0%</formula>
    </cfRule>
    <cfRule type="expression" dxfId="268" priority="32">
      <formula>($H208)=100%</formula>
    </cfRule>
  </conditionalFormatting>
  <conditionalFormatting sqref="A208:A223">
    <cfRule type="expression" dxfId="267" priority="29">
      <formula>$H208=0%</formula>
    </cfRule>
    <cfRule type="expression" dxfId="266" priority="30">
      <formula>($H208)=100%</formula>
    </cfRule>
  </conditionalFormatting>
  <conditionalFormatting sqref="A208:A223">
    <cfRule type="expression" dxfId="265" priority="27">
      <formula>$H208=0%</formula>
    </cfRule>
    <cfRule type="expression" dxfId="264" priority="28">
      <formula>($H208)=100%</formula>
    </cfRule>
  </conditionalFormatting>
  <conditionalFormatting sqref="A208:A223">
    <cfRule type="expression" dxfId="263" priority="25">
      <formula>$H208=0%</formula>
    </cfRule>
    <cfRule type="expression" dxfId="262" priority="26">
      <formula>($H208)=100%</formula>
    </cfRule>
  </conditionalFormatting>
  <conditionalFormatting sqref="A225:A240">
    <cfRule type="expression" dxfId="261" priority="23">
      <formula>$H225=0%</formula>
    </cfRule>
  </conditionalFormatting>
  <conditionalFormatting sqref="A225:A240">
    <cfRule type="expression" dxfId="260" priority="24">
      <formula>($H225)=100%</formula>
    </cfRule>
  </conditionalFormatting>
  <conditionalFormatting sqref="A225:A240">
    <cfRule type="expression" dxfId="259" priority="21">
      <formula>$H225=0%</formula>
    </cfRule>
    <cfRule type="expression" dxfId="258" priority="22">
      <formula>($H225)=100%</formula>
    </cfRule>
  </conditionalFormatting>
  <conditionalFormatting sqref="A225:A240">
    <cfRule type="expression" dxfId="257" priority="19">
      <formula>$H225=0%</formula>
    </cfRule>
    <cfRule type="expression" dxfId="256" priority="20">
      <formula>($H225)=100%</formula>
    </cfRule>
  </conditionalFormatting>
  <conditionalFormatting sqref="A225:A240">
    <cfRule type="expression" dxfId="255" priority="17">
      <formula>$H225=0%</formula>
    </cfRule>
    <cfRule type="expression" dxfId="254" priority="18">
      <formula>($H225)=100%</formula>
    </cfRule>
  </conditionalFormatting>
  <conditionalFormatting sqref="A225:A240">
    <cfRule type="expression" dxfId="253" priority="15">
      <formula>$H225=0%</formula>
    </cfRule>
    <cfRule type="expression" dxfId="252" priority="16">
      <formula>($H225)=100%</formula>
    </cfRule>
  </conditionalFormatting>
  <conditionalFormatting sqref="A225:A240">
    <cfRule type="expression" dxfId="251" priority="13">
      <formula>$H225=0%</formula>
    </cfRule>
    <cfRule type="expression" dxfId="250" priority="14">
      <formula>($H225)=100%</formula>
    </cfRule>
  </conditionalFormatting>
  <conditionalFormatting sqref="A225:A240">
    <cfRule type="expression" dxfId="249" priority="11">
      <formula>$H225=0%</formula>
    </cfRule>
    <cfRule type="expression" dxfId="248" priority="12">
      <formula>($H225)=100%</formula>
    </cfRule>
  </conditionalFormatting>
  <conditionalFormatting sqref="A225:A240">
    <cfRule type="expression" dxfId="247" priority="9">
      <formula>$H225=0%</formula>
    </cfRule>
    <cfRule type="expression" dxfId="246" priority="10">
      <formula>($H225)=100%</formula>
    </cfRule>
  </conditionalFormatting>
  <conditionalFormatting sqref="A225:A240">
    <cfRule type="expression" dxfId="245" priority="7">
      <formula>$H225=0%</formula>
    </cfRule>
    <cfRule type="expression" dxfId="244" priority="8">
      <formula>($H225)=100%</formula>
    </cfRule>
  </conditionalFormatting>
  <conditionalFormatting sqref="A225:A240">
    <cfRule type="expression" dxfId="243" priority="5">
      <formula>$H225=0%</formula>
    </cfRule>
    <cfRule type="expression" dxfId="242" priority="6">
      <formula>($H225)=100%</formula>
    </cfRule>
  </conditionalFormatting>
  <conditionalFormatting sqref="A225:A240">
    <cfRule type="expression" dxfId="241" priority="3">
      <formula>$H225=0%</formula>
    </cfRule>
    <cfRule type="expression" dxfId="240" priority="4">
      <formula>($H225)=100%</formula>
    </cfRule>
  </conditionalFormatting>
  <conditionalFormatting sqref="A225:A240">
    <cfRule type="expression" dxfId="239" priority="1">
      <formula>$H225=0%</formula>
    </cfRule>
    <cfRule type="expression" dxfId="238" priority="2">
      <formula>($H225)=100%</formula>
    </cfRule>
  </conditionalFormatting>
  <hyperlinks>
    <hyperlink ref="C12" location="ITP_IAC_Hellenic!A1" display="ITP_Hellenic_Hyperlink" xr:uid="{112549D3-4A2E-4919-855C-1EC84233D505}"/>
    <hyperlink ref="C114" location="ITP_ONS_TECO!A1" display="ITP_TECO" xr:uid="{F923AA72-0228-4791-ABAC-A594DC6A37C3}"/>
    <hyperlink ref="C29" location="ITP_EXC_LSC!A1" display="ITP_LSC_Hyperlink" xr:uid="{FD5B104A-EBFF-409F-A1A5-E0AAA7D5C85F}"/>
    <hyperlink ref="C46" location="ITP_Cable_TNI_S7!A1" display="ITP Seaway7 Hyperlink" xr:uid="{7D8A84AD-4FDF-4AAA-A8AE-554EF4BEF74D}"/>
    <hyperlink ref="C63" location="ITP_CDWE!A1" display="ITP_CDWE_Hyperlink" xr:uid="{88620EB1-E070-424D-9AE5-E79788158110}"/>
    <hyperlink ref="C97" location="'ITP_OSS_SMPTSC'!A1" display="ITP_OSS_SMPTSC_Hyperlink" xr:uid="{BF8161AC-5A45-43EB-AAD1-A876DC551688}"/>
    <hyperlink ref="C132" location="'ITP_FOU_Pin_Pile_LOC_CSBC'!A1" display="ITP_FOU_Pin Pile LOC_CSBC" xr:uid="{0B115745-B51D-4EF7-9673-22A5BCFB9525}"/>
    <hyperlink ref="C149" location="'ITP_FOU_JKT_LOC_CWP'!A1" display="ITP_FOU_JKT_LOC_CWP" xr:uid="{9293D7B9-0B1D-4410-9AC6-5DEA8A3345D0}"/>
    <hyperlink ref="C166" location="'ITP_FOU_Pin_Pile_INT_EEW'!A1" display="ITP_FOU_Pin Pile INT_EEW - Hyperlink" xr:uid="{EAB9820C-B804-4EEC-A27C-F5ABA5F5E15F}"/>
    <hyperlink ref="C183" location="'ITP_FOU_JKT_INT_SKOP'!A1" display="ITP_FOU_JKT_INT_SKOP - Hyperlink" xr:uid="{ABA03CF8-2574-42E5-8C20-67CDF55A2F70}"/>
    <hyperlink ref="C200" location="'ITP_TNI_JPG_SUP_IQIP'!A1" display="ITP_T&amp;I_JPG SUP_IQIP - Hyperlink" xr:uid="{5A0DA5B9-5722-4981-8EBC-CC255A3A34A9}"/>
    <hyperlink ref="C217" location="'ITP_WTG_SUP_SGRE'!A1" display="ITP-WTG-SUP-SGRE (HyperLink)" xr:uid="{93439682-B78A-49F4-8460-DA60F0C25087}"/>
    <hyperlink ref="E54" r:id="rId1" display="https://ca1.aconex.com/rsrc/20231107.0739/en_US_DOC/document/view/index.html?ControlledDocument_ID=271341877556475067&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xr:uid="{FB4C1B5B-520A-40F6-B5FF-D32E65D21E68}"/>
    <hyperlink ref="E55" r:id="rId2" display="https://ca1.aconex.com/rsrc/20231107.0739/en_US_DOC/document/view/index.html?ControlledDocument_ID=271341877556424242&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xr:uid="{DF9956B2-0C9C-4044-B1C7-605505F72E22}"/>
    <hyperlink ref="E56" r:id="rId3" display="https://ca1.aconex.com/rsrc/20231107.0739/en_US_DOC/document/view/index.html?ControlledDocument_ID=271341877555212299&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xr:uid="{E2BEC0E8-208C-46CA-8E65-B8E4C78D3CDD}"/>
    <hyperlink ref="E57" r:id="rId4" display="https://ca1.aconex.com/rsrc/20231107.0739/en_US_DOC/document/view/index.html?ControlledDocument_ID=271341877555230269&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xr:uid="{1B807603-A480-49A9-8695-7DBC66B949B9}"/>
    <hyperlink ref="E58" r:id="rId5" display="https://ca1.aconex.com/rsrc/20231107.0739/en_US_DOC/document/view/index.html?ControlledDocument_ID=271341877554590294&amp;ControlledDocument_projectID=1879053289&amp;VIEW_CD_RETURN_URL=%2FSearchControlledDoc%3FSESSION_SAVE_DOCUMENTNO%3D%26SESSION_SAVE_TITLE%3D%26SESSION_SAVE_REVISION%3D%26SESSION_SAVE_STATUS%3D0%26SESSION_SAVE_TYPE%3D0%26SESSION_SAVE_DISCIPLINE%3D%26SESSION_CREATION_DATE%3Dnull%26SESSION_REVISION_DATE%3Dnull%26SESSION_SAVE_REVIEW_DATE%3Dnull%26SESSION_SAVE_REVIEWED_DATE%3Dnull%26SESSION_SAVE_AUTHOR%3D%26SESSION_SAVE_FILETYPE%3Dnull%26SESSION_REFERENCE%3D%26SESSION_SAVE_FOLDER_PATH%3D%26SESSION_SAVE_ALL_REVS%3Dnull%26SESSION_SAVE_SORT_DIR%3DASC%26SESSION_SAVE_SORT_FIELD%3Ddocno%26SESSION_SHARED_TO%3D-1%26SESSION_LINKED_TO_PUBLIC%3D0" xr:uid="{1C59CD23-0C82-47ED-B49B-4728FC8FD108}"/>
  </hyperlinks>
  <pageMargins left="0.7" right="0.7" top="0.75" bottom="0.75" header="0.3" footer="0.3"/>
  <pageSetup orientation="portrait" verticalDpi="360" r:id="rId6"/>
  <legacyDrawing r:id="rId7"/>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78222-3167-4D78-9121-262B862A5E40}">
  <sheetPr codeName="Sheet161">
    <tabColor theme="0" tint="-0.34998626667073579"/>
  </sheetPr>
  <dimension ref="A1:BH7"/>
  <sheetViews>
    <sheetView zoomScale="85" zoomScaleNormal="85" workbookViewId="0">
      <pane xSplit="12" ySplit="1" topLeftCell="M2" activePane="bottomRight" state="frozen"/>
      <selection activeCell="C30" sqref="C30"/>
      <selection pane="topRight" activeCell="C30" sqref="C30"/>
      <selection pane="bottomLeft" activeCell="C30" sqref="C30"/>
      <selection pane="bottomRight" activeCell="L2" sqref="L2"/>
    </sheetView>
  </sheetViews>
  <sheetFormatPr defaultRowHeight="15.75" outlineLevelCol="2"/>
  <cols>
    <col min="1" max="1" width="10.5703125" customWidth="1"/>
    <col min="2" max="3" width="35.5703125" style="61" customWidth="1"/>
    <col min="4" max="4" width="15.28515625" bestFit="1" customWidth="1"/>
    <col min="5" max="5" width="18" style="33" bestFit="1" customWidth="1"/>
    <col min="6" max="6" width="16.42578125" style="33" bestFit="1" customWidth="1"/>
    <col min="7" max="7" width="23.5703125" style="33" bestFit="1" customWidth="1"/>
    <col min="8" max="8" width="18.85546875" style="33" bestFit="1" customWidth="1"/>
    <col min="9" max="12" width="10.85546875" style="33" customWidth="1" outlineLevel="2"/>
    <col min="13" max="24" width="10.5703125" style="458" customWidth="1" outlineLevel="1"/>
    <col min="25" max="25" width="10.5703125" style="458" customWidth="1" outlineLevel="1" collapsed="1"/>
    <col min="26" max="34" width="10.5703125" style="458" customWidth="1" outlineLevel="1"/>
    <col min="35" max="35" width="10.5703125" style="458" customWidth="1" outlineLevel="1" collapsed="1"/>
    <col min="36" max="38" width="10.5703125" style="458" customWidth="1" outlineLevel="1"/>
    <col min="39" max="46" width="10.5703125" style="459" customWidth="1" outlineLevel="1"/>
    <col min="47" max="47" width="10.5703125" style="459" customWidth="1" outlineLevel="1" collapsed="1"/>
    <col min="48" max="48" width="10.5703125" style="459" customWidth="1" outlineLevel="1"/>
    <col min="49" max="49" width="10.5703125" customWidth="1" outlineLevel="1" collapsed="1"/>
    <col min="50" max="53" width="10.5703125" customWidth="1" outlineLevel="1"/>
    <col min="54" max="60" width="10.5703125" customWidth="1"/>
  </cols>
  <sheetData>
    <row r="1" spans="1:60" ht="24.95" customHeight="1">
      <c r="A1" s="37" t="s">
        <v>0</v>
      </c>
      <c r="B1" s="37" t="s">
        <v>986</v>
      </c>
      <c r="C1" s="37" t="s">
        <v>2437</v>
      </c>
      <c r="D1" s="38" t="s">
        <v>4038</v>
      </c>
      <c r="E1" s="38" t="s">
        <v>2383</v>
      </c>
      <c r="F1" s="38" t="s">
        <v>2384</v>
      </c>
      <c r="G1" s="38" t="s">
        <v>4008</v>
      </c>
      <c r="H1" s="38" t="s">
        <v>4009</v>
      </c>
      <c r="I1" s="868" t="s">
        <v>2828</v>
      </c>
      <c r="J1" s="37" t="s">
        <v>2827</v>
      </c>
      <c r="K1" s="868" t="s">
        <v>2828</v>
      </c>
      <c r="L1" s="37" t="s">
        <v>2827</v>
      </c>
      <c r="M1" s="869" t="s">
        <v>2403</v>
      </c>
      <c r="N1" s="869" t="s">
        <v>2422</v>
      </c>
      <c r="O1" s="869" t="s">
        <v>2423</v>
      </c>
      <c r="P1" s="869" t="s">
        <v>2424</v>
      </c>
      <c r="Q1" s="869" t="s">
        <v>2425</v>
      </c>
      <c r="R1" s="869" t="s">
        <v>2426</v>
      </c>
      <c r="S1" s="869" t="s">
        <v>2427</v>
      </c>
      <c r="T1" s="869" t="s">
        <v>2428</v>
      </c>
      <c r="U1" s="869" t="s">
        <v>2429</v>
      </c>
      <c r="V1" s="869" t="s">
        <v>2430</v>
      </c>
      <c r="W1" s="869" t="s">
        <v>2431</v>
      </c>
      <c r="X1" s="869" t="s">
        <v>2432</v>
      </c>
      <c r="Y1" s="870" t="s">
        <v>2411</v>
      </c>
      <c r="Z1" s="870" t="s">
        <v>2412</v>
      </c>
      <c r="AA1" s="870" t="s">
        <v>2413</v>
      </c>
      <c r="AB1" s="870" t="s">
        <v>2414</v>
      </c>
      <c r="AC1" s="870" t="s">
        <v>2415</v>
      </c>
      <c r="AD1" s="870" t="s">
        <v>2416</v>
      </c>
      <c r="AE1" s="870" t="s">
        <v>2417</v>
      </c>
      <c r="AF1" s="870" t="s">
        <v>2418</v>
      </c>
      <c r="AG1" s="870" t="s">
        <v>2419</v>
      </c>
      <c r="AH1" s="870" t="s">
        <v>2420</v>
      </c>
      <c r="AI1" s="870" t="s">
        <v>2421</v>
      </c>
      <c r="AJ1" s="870" t="s">
        <v>2398</v>
      </c>
      <c r="AK1" s="869" t="s">
        <v>2400</v>
      </c>
      <c r="AL1" s="869" t="s">
        <v>2401</v>
      </c>
      <c r="AM1" s="869" t="s">
        <v>2410</v>
      </c>
      <c r="AN1" s="869" t="s">
        <v>2409</v>
      </c>
      <c r="AO1" s="869" t="s">
        <v>2441</v>
      </c>
      <c r="AP1" s="869" t="s">
        <v>2408</v>
      </c>
      <c r="AQ1" s="869" t="s">
        <v>2402</v>
      </c>
      <c r="AR1" s="869" t="s">
        <v>2407</v>
      </c>
      <c r="AS1" s="869" t="s">
        <v>2404</v>
      </c>
      <c r="AT1" s="869" t="s">
        <v>2405</v>
      </c>
      <c r="AU1" s="869" t="s">
        <v>2406</v>
      </c>
      <c r="AV1" s="869" t="s">
        <v>2399</v>
      </c>
      <c r="AW1" s="870" t="s">
        <v>2547</v>
      </c>
      <c r="AX1" s="870" t="s">
        <v>2548</v>
      </c>
      <c r="AY1" s="870" t="s">
        <v>2549</v>
      </c>
      <c r="AZ1" s="870" t="s">
        <v>2550</v>
      </c>
      <c r="BA1" s="870" t="s">
        <v>2558</v>
      </c>
      <c r="BB1" s="870" t="s">
        <v>2551</v>
      </c>
      <c r="BC1" s="870" t="s">
        <v>2552</v>
      </c>
      <c r="BD1" s="870" t="s">
        <v>2553</v>
      </c>
      <c r="BE1" s="870" t="s">
        <v>2554</v>
      </c>
      <c r="BF1" s="870" t="s">
        <v>2555</v>
      </c>
      <c r="BG1" s="870" t="s">
        <v>2556</v>
      </c>
      <c r="BH1" s="870" t="s">
        <v>2557</v>
      </c>
    </row>
    <row r="2" spans="1:60" s="40" customFormat="1" ht="30" customHeight="1">
      <c r="A2" s="846">
        <v>1</v>
      </c>
      <c r="B2" s="840" t="s">
        <v>2435</v>
      </c>
      <c r="C2" s="598" t="s">
        <v>2826</v>
      </c>
      <c r="D2" s="98">
        <f t="shared" ref="D2:D7" si="0">IFERROR(IF(SUM(M2:BH2)=0,"-",SUM(M2:BH2)),"ERR")</f>
        <v>6</v>
      </c>
      <c r="E2" s="30" t="str">
        <f>IF(COUNTIFS(NCR!$G:$G, Data_NCR!B2,
             NCR!$B:$B, "Opening",
             NCR!$F:$F, "Non-Conformance Report")=0,
   "-",
   COUNTIFS(NCR!$G:$G, Data_NCR!B2,
            NCR!$B:$B, "Opening",
            NCR!$F:$F, "Non-Conformance Report"))</f>
        <v>-</v>
      </c>
      <c r="F2" s="30">
        <f>IF(COUNTIFS(NCR!$G:$G, Data_NCR!B2,
             NCR!$B:$B, "Closed",
             NCR!$F:$F, "Non-Conformance Report")=0,
   "-",
   COUNTIFS(NCR!$G:$G, Data_NCR!B2,
            NCR!$B:$B, "Closed",
            NCR!$F:$F, "Non-Conformance Report"))</f>
        <v>6</v>
      </c>
      <c r="G2" s="32" t="str">
        <f>IF(COUNTIFS(NCR!$G:$G, Data_NCR!B2,
             NCR!$B:$B, "Opening",
             NCR!$F:$F, "Request for NCR")=0,
   "-",
   COUNTIFS(NCR!$G:$G, Data_NCR!B2,
            NCR!$B:$B, "Opening",
            NCR!$F:$F, "Request for NCR"))</f>
        <v>-</v>
      </c>
      <c r="H2" s="32" t="str">
        <f>IF(COUNTIFS(NCR!$G:$G, Data_NCR!B2,
             NCR!$B:$B, "Closed",
             NCR!$F:$F, "Request for NCR")=0,
   "-",
   COUNTIFS(NCR!$G:$G, Data_NCR!B2,
            NCR!$B:$B, "Closed",
            NCR!$F:$F, "Request for NCR"))</f>
        <v>-</v>
      </c>
      <c r="I2" s="30" t="str">
        <f>_xlfn.LET(
    _xlpm.countA, COUNTIFS(NCR!Q:Q, "*Cat A*", NCR!G:G, Data_NCR!B2),
    _xlpm.countB, COUNTIFS(NCR!Q:Q, "*Cat B*", NCR!G:G, Data_NCR!B2),
    _xlpm.total, _xlpm.countA + _xlpm.countB,
    IF(_xlpm.total = 0, "-", _xlpm.total)
)</f>
        <v>-</v>
      </c>
      <c r="J2" s="30">
        <f>IF(COUNTIFS(NCR!Q:Q,"*Cat C*",NCR!G:G,Data_NCR!B2)=0,"-",COUNTIFS(NCR!Q:Q,"*Cat C*",NCR!G:G,Data_NCR!B2))</f>
        <v>6</v>
      </c>
      <c r="K2" s="847" t="str">
        <f t="shared" ref="K2:K7" si="1">IFERROR(I2/D2,"-")</f>
        <v>-</v>
      </c>
      <c r="L2" s="847">
        <f t="shared" ref="L2:L7" si="2">IFERROR(J2/D2,"-")</f>
        <v>1</v>
      </c>
      <c r="M2" s="98">
        <f>COUNTIFS(NCR!$G:$G,Data_NCR!$B2,NCR!$AI:$AI,Data_NCR!$M$1)</f>
        <v>0</v>
      </c>
      <c r="N2" s="98">
        <f>COUNTIFS(NCR!$G:$G,Data_NCR!$B2,NCR!$AI:$AI,Data_NCR!$N$1)</f>
        <v>0</v>
      </c>
      <c r="O2" s="98">
        <f>COUNTIFS(NCR!$G:$G,Data_NCR!$B2,NCR!$AI:$AI,Data_NCR!$O$1)</f>
        <v>0</v>
      </c>
      <c r="P2" s="98">
        <f>COUNTIFS(NCR!$G:$G,Data_NCR!$B2,NCR!$AI:$AI,Data_NCR!$P$1)</f>
        <v>0</v>
      </c>
      <c r="Q2" s="98">
        <f>COUNTIFS(NCR!$G:$G,Data_NCR!$B2,NCR!$AI:$AI,Data_NCR!$Q$1)</f>
        <v>0</v>
      </c>
      <c r="R2" s="98">
        <f>COUNTIFS(NCR!$G:$G,Data_NCR!$B2,NCR!$AI:$AI,Data_NCR!$R$1)</f>
        <v>0</v>
      </c>
      <c r="S2" s="98">
        <f>COUNTIFS(NCR!$G:$G,Data_NCR!$B2,NCR!$AI:$AI,Data_NCR!$S$1)</f>
        <v>0</v>
      </c>
      <c r="T2" s="98">
        <f>COUNTIFS(NCR!$G:$G,Data_NCR!$B2,NCR!$AI:$AI,Data_NCR!$T$1)</f>
        <v>0</v>
      </c>
      <c r="U2" s="98">
        <f>COUNTIFS(NCR!$G:$G,Data_NCR!$B2,NCR!$AI:$AI,Data_NCR!$U$1)</f>
        <v>0</v>
      </c>
      <c r="V2" s="98">
        <f>COUNTIFS(NCR!$G:$G,Data_NCR!$B2,NCR!$AI:$AI,Data_NCR!$V$1)</f>
        <v>0</v>
      </c>
      <c r="W2" s="98">
        <f>COUNTIFS(NCR!$G:$G,Data_NCR!$B2,NCR!$AI:$AI,Data_NCR!$W$1)</f>
        <v>0</v>
      </c>
      <c r="X2" s="98">
        <f>COUNTIFS(NCR!$G:$G,Data_NCR!$B2,NCR!$AI:$AI,Data_NCR!$X$1)</f>
        <v>0</v>
      </c>
      <c r="Y2" s="98">
        <f>COUNTIFS(NCR!$G:$G,Data_NCR!$B2,NCR!$AI:$AI,Data_NCR!$Y$1)</f>
        <v>0</v>
      </c>
      <c r="Z2" s="98">
        <f>COUNTIFS(NCR!$G:$G,Data_NCR!$B2,NCR!$AI:$AI,Data_NCR!$Z$1)</f>
        <v>0</v>
      </c>
      <c r="AA2" s="98">
        <f>COUNTIFS(NCR!$G:$G,Data_NCR!$B2,NCR!$AI:$AI,Data_NCR!$AA$1)</f>
        <v>0</v>
      </c>
      <c r="AB2" s="98">
        <f>COUNTIFS(NCR!$G:$G,Data_NCR!$B2,NCR!$AI:$AI,Data_NCR!$AB$1)</f>
        <v>0</v>
      </c>
      <c r="AC2" s="98">
        <f>COUNTIFS(NCR!$G:$G,Data_NCR!$B2,NCR!$AI:$AI,Data_NCR!$AC$1)</f>
        <v>0</v>
      </c>
      <c r="AD2" s="98">
        <f>COUNTIFS(NCR!$G:$G,Data_NCR!$B2,NCR!$AI:$AI,Data_NCR!$AD$1)</f>
        <v>0</v>
      </c>
      <c r="AE2" s="98">
        <f>COUNTIFS(NCR!$G:$G,Data_NCR!$B2,NCR!$AI:$AI,Data_NCR!$AE$1)</f>
        <v>0</v>
      </c>
      <c r="AF2" s="98">
        <f>COUNTIFS(NCR!$G:$G,Data_NCR!$B2,NCR!$AI:$AI,Data_NCR!$AF$1)</f>
        <v>0</v>
      </c>
      <c r="AG2" s="98">
        <f>COUNTIFS(NCR!$G:$G,Data_NCR!$B2,NCR!$AI:$AI,Data_NCR!$AG$1)</f>
        <v>0</v>
      </c>
      <c r="AH2" s="98">
        <f>COUNTIFS(NCR!$G:$G,Data_NCR!$B2,NCR!$AI:$AI,Data_NCR!$AH$1)</f>
        <v>0</v>
      </c>
      <c r="AI2" s="98">
        <f>COUNTIFS(NCR!$G:$G,Data_NCR!$B2,NCR!$AI:$AI,Data_NCR!$AI$1)</f>
        <v>0</v>
      </c>
      <c r="AJ2" s="98">
        <f>COUNTIFS(NCR!$G:$G,Data_NCR!$B2,NCR!$AI:$AI,Data_NCR!$AJ$1)</f>
        <v>3</v>
      </c>
      <c r="AK2" s="98">
        <f>COUNTIFS(NCR!$G:$G,Data_NCR!$B2,NCR!$AI:$AI,Data_NCR!$AK$1)</f>
        <v>1</v>
      </c>
      <c r="AL2" s="98">
        <f>COUNTIFS(NCR!$G:$G,Data_NCR!$B2,NCR!$AI:$AI,Data_NCR!$AL$1)</f>
        <v>0</v>
      </c>
      <c r="AM2" s="98">
        <f>COUNTIFS(NCR!$G:$G,Data_NCR!$B2,NCR!$AI:$AI,Data_NCR!$AM$1)</f>
        <v>1</v>
      </c>
      <c r="AN2" s="98">
        <f>COUNTIFS(NCR!$G:$G,Data_NCR!$B2,NCR!$AI:$AI,Data_NCR!$AN$1)</f>
        <v>0</v>
      </c>
      <c r="AO2" s="98">
        <f>COUNTIFS(NCR!$G:$G,Data_NCR!$B2,NCR!$AI:$AI,Data_NCR!$AO$1)</f>
        <v>0</v>
      </c>
      <c r="AP2" s="98">
        <f>COUNTIFS(NCR!$G:$G,Data_NCR!$B2,NCR!$AI:$AI,Data_NCR!$AP$1)</f>
        <v>0</v>
      </c>
      <c r="AQ2" s="98">
        <f>COUNTIFS(NCR!$G:$G,Data_NCR!$B2,NCR!$AI:$AI,Data_NCR!$AQ$1)</f>
        <v>1</v>
      </c>
      <c r="AR2" s="98">
        <f>COUNTIFS(NCR!$G:$G,Data_NCR!$B2,NCR!$AI:$AI,Data_NCR!$AR$1)</f>
        <v>0</v>
      </c>
      <c r="AS2" s="98">
        <f>COUNTIFS(NCR!$G:$G,Data_NCR!$B2,NCR!$AI:$AI,Data_NCR!$AS$1)</f>
        <v>0</v>
      </c>
      <c r="AT2" s="98">
        <f>COUNTIFS(NCR!$G:$G,Data_NCR!$B2,NCR!$AI:$AI,Data_NCR!$AT$1)</f>
        <v>0</v>
      </c>
      <c r="AU2" s="98">
        <f>COUNTIFS(NCR!$G:$G,Data_NCR!$B2,NCR!$AI:$AI,Data_NCR!$AU$1)</f>
        <v>0</v>
      </c>
      <c r="AV2" s="98">
        <f>COUNTIFS(NCR!$G:$G,Data_NCR!$B2,NCR!$AI:$AI,Data_NCR!$AV$1)</f>
        <v>0</v>
      </c>
      <c r="AW2" s="98">
        <f>COUNTIFS(NCR!$G:$G,Data_NCR!$B2,NCR!$AI:$AI,Data_NCR!$AW$1)</f>
        <v>0</v>
      </c>
      <c r="AX2" s="98">
        <f>COUNTIFS(NCR!$G:$G,Data_NCR!$B2,NCR!$AI:$AI,Data_NCR!$AX$1)</f>
        <v>0</v>
      </c>
      <c r="AY2" s="98">
        <f>COUNTIFS(NCR!$G:$G,Data_NCR!$B2,NCR!$AI:$AI,Data_NCR!$AY$1)</f>
        <v>0</v>
      </c>
      <c r="AZ2" s="98">
        <f>COUNTIFS(NCR!$G:$G,Data_NCR!$B2,NCR!$AI:$AI,Data_NCR!$AZ$1)</f>
        <v>0</v>
      </c>
      <c r="BA2" s="98">
        <f>COUNTIFS(NCR!$G:$G,Data_NCR!$B2,NCR!$AI:$AI,Data_NCR!$BA$1)</f>
        <v>0</v>
      </c>
      <c r="BB2" s="98">
        <f>COUNTIFS(NCR!$G:$G,Data_NCR!$B2,NCR!$AI:$AI,Data_NCR!$BB$1)</f>
        <v>0</v>
      </c>
      <c r="BC2" s="98">
        <f>COUNTIFS(NCR!$G:$G,Data_NCR!$B2,NCR!$AI:$AI,Data_NCR!$BC$1)</f>
        <v>0</v>
      </c>
      <c r="BD2" s="98">
        <f>COUNTIFS(NCR!$G:$G,Data_NCR!$B2,NCR!$AI:$AI,Data_NCR!$BD$1)</f>
        <v>0</v>
      </c>
      <c r="BE2" s="98">
        <f>COUNTIFS(NCR!$G:$G,Data_NCR!$B2,NCR!$AI:$AI,Data_NCR!$BE$1)</f>
        <v>0</v>
      </c>
      <c r="BF2" s="98">
        <f>COUNTIFS(NCR!$G:$G,Data_NCR!$B2,NCR!$AI:$AI,Data_NCR!$BF$1)</f>
        <v>0</v>
      </c>
      <c r="BG2" s="98">
        <f>COUNTIFS(NCR!$G:$G,Data_NCR!$B2,NCR!$AI:$AI,Data_NCR!$BG$1)</f>
        <v>0</v>
      </c>
      <c r="BH2" s="98">
        <f>COUNTIFS(NCR!$G:$G,Data_NCR!$B2,NCR!$AI:$AI,Data_NCR!$BH$1)</f>
        <v>0</v>
      </c>
    </row>
    <row r="3" spans="1:60" ht="30" customHeight="1">
      <c r="A3" s="846">
        <v>2</v>
      </c>
      <c r="B3" s="802" t="s">
        <v>1161</v>
      </c>
      <c r="C3" s="598" t="s">
        <v>2846</v>
      </c>
      <c r="D3" s="98">
        <f t="shared" si="0"/>
        <v>36</v>
      </c>
      <c r="E3" s="30" t="str">
        <f>IF(COUNTIFS(NCR!$G:$G, Data_NCR!B3,
             NCR!$B:$B, "Opening",
             NCR!$F:$F, "Non-Conformance Report")=0,
   "-",
   COUNTIFS(NCR!$G:$G, Data_NCR!B3,
            NCR!$B:$B, "Opening",
            NCR!$F:$F, "Non-Conformance Report"))</f>
        <v>-</v>
      </c>
      <c r="F3" s="30">
        <f>IF(COUNTIFS(NCR!$G:$G, Data_NCR!B3,
             NCR!$B:$B, "Closed",
             NCR!$F:$F, "Non-Conformance Report")=0,
   "-",
   COUNTIFS(NCR!$G:$G, Data_NCR!B3,
            NCR!$B:$B, "Closed",
            NCR!$F:$F, "Non-Conformance Report"))</f>
        <v>36</v>
      </c>
      <c r="G3" s="32" t="str">
        <f>IF(COUNTIFS(NCR!$G:$G, Data_NCR!B3,
             NCR!$B:$B, "Opening",
             NCR!$F:$F, "Request for NCR")=0,
   "-",
   COUNTIFS(NCR!$G:$G, Data_NCR!B3,
            NCR!$B:$B, "Opening",
            NCR!$F:$F, "Request for NCR"))</f>
        <v>-</v>
      </c>
      <c r="H3" s="32" t="str">
        <f>IF(COUNTIFS(NCR!$G:$G, Data_NCR!B3,
             NCR!$B:$B, "Closed",
             NCR!$F:$F, "Request for NCR")=0,
   "-",
   COUNTIFS(NCR!$G:$G, Data_NCR!B3,
            NCR!$B:$B, "Closed",
            NCR!$F:$F, "Request for NCR"))</f>
        <v>-</v>
      </c>
      <c r="I3" s="30" t="str">
        <f>_xlfn.LET(
    _xlpm.countA, COUNTIFS(NCR!Q:Q, "*Cat A*", NCR!G:G, Data_NCR!B3),
    _xlpm.countB, COUNTIFS(NCR!Q:Q, "*Cat B*", NCR!G:G, Data_NCR!B3),
    _xlpm.total, _xlpm.countA + _xlpm.countB,
    IF(_xlpm.total = 0, "-", _xlpm.total)
)</f>
        <v>-</v>
      </c>
      <c r="J3" s="30">
        <f>IF(COUNTIFS(NCR!Q:Q,"*Cat C*",NCR!G:G,Data_NCR!B3)=0,"-",COUNTIFS(NCR!Q:Q,"*Cat C*",NCR!G:G,Data_NCR!B3))</f>
        <v>36</v>
      </c>
      <c r="K3" s="847" t="str">
        <f t="shared" si="1"/>
        <v>-</v>
      </c>
      <c r="L3" s="847">
        <f t="shared" si="2"/>
        <v>1</v>
      </c>
      <c r="M3" s="98">
        <f>COUNTIFS(NCR!$G:$G,Data_NCR!$B3,NCR!$AI:$AI,Data_NCR!$M$1)</f>
        <v>0</v>
      </c>
      <c r="N3" s="98">
        <f>COUNTIFS(NCR!$G:$G,Data_NCR!$B3,NCR!$AI:$AI,Data_NCR!$N$1)</f>
        <v>0</v>
      </c>
      <c r="O3" s="98">
        <f>COUNTIFS(NCR!$G:$G,Data_NCR!$B3,NCR!$AI:$AI,Data_NCR!$O$1)</f>
        <v>0</v>
      </c>
      <c r="P3" s="98">
        <f>COUNTIFS(NCR!$G:$G,Data_NCR!$B3,NCR!$AI:$AI,Data_NCR!$P$1)</f>
        <v>0</v>
      </c>
      <c r="Q3" s="98">
        <f>COUNTIFS(NCR!$G:$G,Data_NCR!$B3,NCR!$AI:$AI,Data_NCR!$Q$1)</f>
        <v>0</v>
      </c>
      <c r="R3" s="98">
        <f>COUNTIFS(NCR!$G:$G,Data_NCR!$B3,NCR!$AI:$AI,Data_NCR!$R$1)</f>
        <v>0</v>
      </c>
      <c r="S3" s="98">
        <f>COUNTIFS(NCR!$G:$G,Data_NCR!$B3,NCR!$AI:$AI,Data_NCR!$S$1)</f>
        <v>5</v>
      </c>
      <c r="T3" s="98">
        <f>COUNTIFS(NCR!$G:$G,Data_NCR!$B3,NCR!$AI:$AI,Data_NCR!$T$1)</f>
        <v>0</v>
      </c>
      <c r="U3" s="98">
        <f>COUNTIFS(NCR!$G:$G,Data_NCR!$B3,NCR!$AI:$AI,Data_NCR!$U$1)</f>
        <v>0</v>
      </c>
      <c r="V3" s="98">
        <f>COUNTIFS(NCR!$G:$G,Data_NCR!$B3,NCR!$AI:$AI,Data_NCR!$V$1)</f>
        <v>0</v>
      </c>
      <c r="W3" s="98">
        <f>COUNTIFS(NCR!$G:$G,Data_NCR!$B3,NCR!$AI:$AI,Data_NCR!$W$1)</f>
        <v>0</v>
      </c>
      <c r="X3" s="98">
        <f>COUNTIFS(NCR!$G:$G,Data_NCR!$B3,NCR!$AI:$AI,Data_NCR!$X$1)</f>
        <v>1</v>
      </c>
      <c r="Y3" s="98">
        <f>COUNTIFS(NCR!$G:$G,Data_NCR!$B3,NCR!$AI:$AI,Data_NCR!$Y$1)</f>
        <v>0</v>
      </c>
      <c r="Z3" s="98">
        <f>COUNTIFS(NCR!$G:$G,Data_NCR!$B3,NCR!$AI:$AI,Data_NCR!$Z$1)</f>
        <v>0</v>
      </c>
      <c r="AA3" s="98">
        <f>COUNTIFS(NCR!$G:$G,Data_NCR!$B3,NCR!$AI:$AI,Data_NCR!$AA$1)</f>
        <v>1</v>
      </c>
      <c r="AB3" s="98">
        <f>COUNTIFS(NCR!$G:$G,Data_NCR!$B3,NCR!$AI:$AI,Data_NCR!$AB$1)</f>
        <v>0</v>
      </c>
      <c r="AC3" s="98">
        <f>COUNTIFS(NCR!$G:$G,Data_NCR!$B3,NCR!$AI:$AI,Data_NCR!$AC$1)</f>
        <v>1</v>
      </c>
      <c r="AD3" s="98">
        <f>COUNTIFS(NCR!$G:$G,Data_NCR!$B3,NCR!$AI:$AI,Data_NCR!$AD$1)</f>
        <v>4</v>
      </c>
      <c r="AE3" s="98">
        <f>COUNTIFS(NCR!$G:$G,Data_NCR!$B3,NCR!$AI:$AI,Data_NCR!$AE$1)</f>
        <v>1</v>
      </c>
      <c r="AF3" s="98">
        <f>COUNTIFS(NCR!$G:$G,Data_NCR!$B3,NCR!$AI:$AI,Data_NCR!$AF$1)</f>
        <v>1</v>
      </c>
      <c r="AG3" s="98">
        <f>COUNTIFS(NCR!$G:$G,Data_NCR!$B3,NCR!$AI:$AI,Data_NCR!$AG$1)</f>
        <v>1</v>
      </c>
      <c r="AH3" s="98">
        <f>COUNTIFS(NCR!$G:$G,Data_NCR!$B3,NCR!$AI:$AI,Data_NCR!$AH$1)</f>
        <v>2</v>
      </c>
      <c r="AI3" s="98">
        <f>COUNTIFS(NCR!$G:$G,Data_NCR!$B3,NCR!$AI:$AI,Data_NCR!$AI$1)</f>
        <v>3</v>
      </c>
      <c r="AJ3" s="98">
        <f>COUNTIFS(NCR!$G:$G,Data_NCR!$B3,NCR!$AI:$AI,Data_NCR!$AJ$1)</f>
        <v>1</v>
      </c>
      <c r="AK3" s="98">
        <f>COUNTIFS(NCR!$G:$G,Data_NCR!$B3,NCR!$AI:$AI,Data_NCR!$AK$1)</f>
        <v>3</v>
      </c>
      <c r="AL3" s="98">
        <f>COUNTIFS(NCR!$G:$G,Data_NCR!$B3,NCR!$AI:$AI,Data_NCR!$AL$1)</f>
        <v>2</v>
      </c>
      <c r="AM3" s="98">
        <f>COUNTIFS(NCR!$G:$G,Data_NCR!$B3,NCR!$AI:$AI,Data_NCR!$AM$1)</f>
        <v>0</v>
      </c>
      <c r="AN3" s="98">
        <f>COUNTIFS(NCR!$G:$G,Data_NCR!$B3,NCR!$AI:$AI,Data_NCR!$AN$1)</f>
        <v>0</v>
      </c>
      <c r="AO3" s="98">
        <f>COUNTIFS(NCR!$G:$G,Data_NCR!$B3,NCR!$AI:$AI,Data_NCR!$AO$1)</f>
        <v>1</v>
      </c>
      <c r="AP3" s="98">
        <f>COUNTIFS(NCR!$G:$G,Data_NCR!$B3,NCR!$AI:$AI,Data_NCR!$AP$1)</f>
        <v>0</v>
      </c>
      <c r="AQ3" s="98">
        <f>COUNTIFS(NCR!$G:$G,Data_NCR!$B3,NCR!$AI:$AI,Data_NCR!$AQ$1)</f>
        <v>1</v>
      </c>
      <c r="AR3" s="98">
        <f>COUNTIFS(NCR!$G:$G,Data_NCR!$B3,NCR!$AI:$AI,Data_NCR!$AR$1)</f>
        <v>1</v>
      </c>
      <c r="AS3" s="98">
        <f>COUNTIFS(NCR!$G:$G,Data_NCR!$B3,NCR!$AI:$AI,Data_NCR!$AS$1)</f>
        <v>0</v>
      </c>
      <c r="AT3" s="98">
        <f>COUNTIFS(NCR!$G:$G,Data_NCR!$B3,NCR!$AI:$AI,Data_NCR!$AT$1)</f>
        <v>2</v>
      </c>
      <c r="AU3" s="98">
        <f>COUNTIFS(NCR!$G:$G,Data_NCR!$B3,NCR!$AI:$AI,Data_NCR!$AU$1)</f>
        <v>0</v>
      </c>
      <c r="AV3" s="98">
        <f>COUNTIFS(NCR!$G:$G,Data_NCR!$B3,NCR!$AI:$AI,Data_NCR!$AV$1)</f>
        <v>1</v>
      </c>
      <c r="AW3" s="98">
        <f>COUNTIFS(NCR!$G:$G,Data_NCR!$B3,NCR!$AI:$AI,Data_NCR!$AW$1)</f>
        <v>0</v>
      </c>
      <c r="AX3" s="98">
        <f>COUNTIFS(NCR!$G:$G,Data_NCR!$B3,NCR!$AI:$AI,Data_NCR!$AX$1)</f>
        <v>0</v>
      </c>
      <c r="AY3" s="98">
        <f>COUNTIFS(NCR!$G:$G,Data_NCR!$B3,NCR!$AI:$AI,Data_NCR!$AY$1)</f>
        <v>2</v>
      </c>
      <c r="AZ3" s="98">
        <f>COUNTIFS(NCR!$G:$G,Data_NCR!$B3,NCR!$AI:$AI,Data_NCR!$AZ$1)</f>
        <v>2</v>
      </c>
      <c r="BA3" s="98">
        <f>COUNTIFS(NCR!$G:$G,Data_NCR!$B3,NCR!$AI:$AI,Data_NCR!$BA$1)</f>
        <v>0</v>
      </c>
      <c r="BB3" s="98">
        <f>COUNTIFS(NCR!$G:$G,Data_NCR!$B3,NCR!$AI:$AI,Data_NCR!$BB$1)</f>
        <v>0</v>
      </c>
      <c r="BC3" s="98">
        <f>COUNTIFS(NCR!$G:$G,Data_NCR!$B3,NCR!$AI:$AI,Data_NCR!$BC$1)</f>
        <v>0</v>
      </c>
      <c r="BD3" s="98">
        <f>COUNTIFS(NCR!$G:$G,Data_NCR!$B3,NCR!$AI:$AI,Data_NCR!$BD$1)</f>
        <v>0</v>
      </c>
      <c r="BE3" s="98">
        <f>COUNTIFS(NCR!$G:$G,Data_NCR!$B3,NCR!$AI:$AI,Data_NCR!$BE$1)</f>
        <v>0</v>
      </c>
      <c r="BF3" s="98">
        <f>COUNTIFS(NCR!$G:$G,Data_NCR!$B3,NCR!$AI:$AI,Data_NCR!$BF$1)</f>
        <v>0</v>
      </c>
      <c r="BG3" s="98">
        <f>COUNTIFS(NCR!$G:$G,Data_NCR!$B3,NCR!$AI:$AI,Data_NCR!$BG$1)</f>
        <v>0</v>
      </c>
      <c r="BH3" s="98">
        <f>COUNTIFS(NCR!$G:$G,Data_NCR!$B3,NCR!$AI:$AI,Data_NCR!$BH$1)</f>
        <v>0</v>
      </c>
    </row>
    <row r="4" spans="1:60" s="33" customFormat="1" ht="30" customHeight="1">
      <c r="A4" s="846">
        <v>3</v>
      </c>
      <c r="B4" s="802" t="s">
        <v>2725</v>
      </c>
      <c r="C4" s="598" t="s">
        <v>2825</v>
      </c>
      <c r="D4" s="98">
        <f t="shared" si="0"/>
        <v>1</v>
      </c>
      <c r="E4" s="30" t="str">
        <f>IF(COUNTIFS(NCR!$G:$G, Data_NCR!B4,
             NCR!$B:$B, "Opening",
             NCR!$F:$F, "Non-Conformance Report")=0,
   "-",
   COUNTIFS(NCR!$G:$G, Data_NCR!B4,
            NCR!$B:$B, "Opening",
            NCR!$F:$F, "Non-Conformance Report"))</f>
        <v>-</v>
      </c>
      <c r="F4" s="30">
        <f>IF(COUNTIFS(NCR!$G:$G, Data_NCR!B4,
             NCR!$B:$B, "Closed",
             NCR!$F:$F, "Non-Conformance Report")=0,
   "-",
   COUNTIFS(NCR!$G:$G, Data_NCR!B4,
            NCR!$B:$B, "Closed",
            NCR!$F:$F, "Non-Conformance Report"))</f>
        <v>1</v>
      </c>
      <c r="G4" s="32" t="str">
        <f>IF(COUNTIFS(NCR!$G:$G, Data_NCR!B4,
             NCR!$B:$B, "Opening",
             NCR!$F:$F, "Request for NCR")=0,
   "-",
   COUNTIFS(NCR!$G:$G, Data_NCR!B4,
            NCR!$B:$B, "Opening",
            NCR!$F:$F, "Request for NCR"))</f>
        <v>-</v>
      </c>
      <c r="H4" s="32" t="str">
        <f>IF(COUNTIFS(NCR!$G:$G, Data_NCR!B4,
             NCR!$B:$B, "Closed",
             NCR!$F:$F, "Request for NCR")=0,
   "-",
   COUNTIFS(NCR!$G:$G, Data_NCR!B4,
            NCR!$B:$B, "Closed",
            NCR!$F:$F, "Request for NCR"))</f>
        <v>-</v>
      </c>
      <c r="I4" s="30" t="str">
        <f>_xlfn.LET(
    _xlpm.countA, COUNTIFS(NCR!Q:Q, "*Cat A*", NCR!G:G, Data_NCR!B4),
    _xlpm.countB, COUNTIFS(NCR!Q:Q, "*Cat B*", NCR!G:G, Data_NCR!B4),
    _xlpm.total, _xlpm.countA + _xlpm.countB,
    IF(_xlpm.total = 0, "-", _xlpm.total)
)</f>
        <v>-</v>
      </c>
      <c r="J4" s="30">
        <f>IF(COUNTIFS(NCR!Q:Q,"*Cat C*",NCR!G:G,Data_NCR!B4)=0,"-",COUNTIFS(NCR!Q:Q,"*Cat C*",NCR!G:G,Data_NCR!B4))</f>
        <v>1</v>
      </c>
      <c r="K4" s="847" t="str">
        <f t="shared" si="1"/>
        <v>-</v>
      </c>
      <c r="L4" s="847">
        <f t="shared" si="2"/>
        <v>1</v>
      </c>
      <c r="M4" s="98">
        <f>COUNTIFS(NCR!$G:$G,Data_NCR!$B4,NCR!$AI:$AI,Data_NCR!$M$1)</f>
        <v>0</v>
      </c>
      <c r="N4" s="98">
        <f>COUNTIFS(NCR!$G:$G,Data_NCR!$B4,NCR!$AI:$AI,Data_NCR!$N$1)</f>
        <v>0</v>
      </c>
      <c r="O4" s="98">
        <f>COUNTIFS(NCR!$G:$G,Data_NCR!$B4,NCR!$AI:$AI,Data_NCR!$O$1)</f>
        <v>0</v>
      </c>
      <c r="P4" s="98">
        <f>COUNTIFS(NCR!$G:$G,Data_NCR!$B4,NCR!$AI:$AI,Data_NCR!$P$1)</f>
        <v>0</v>
      </c>
      <c r="Q4" s="98">
        <f>COUNTIFS(NCR!$G:$G,Data_NCR!$B4,NCR!$AI:$AI,Data_NCR!$Q$1)</f>
        <v>0</v>
      </c>
      <c r="R4" s="98">
        <f>COUNTIFS(NCR!$G:$G,Data_NCR!$B4,NCR!$AI:$AI,Data_NCR!$R$1)</f>
        <v>0</v>
      </c>
      <c r="S4" s="98">
        <f>COUNTIFS(NCR!$G:$G,Data_NCR!$B4,NCR!$AI:$AI,Data_NCR!$S$1)</f>
        <v>0</v>
      </c>
      <c r="T4" s="98">
        <f>COUNTIFS(NCR!$G:$G,Data_NCR!$B4,NCR!$AI:$AI,Data_NCR!$T$1)</f>
        <v>0</v>
      </c>
      <c r="U4" s="98">
        <f>COUNTIFS(NCR!$G:$G,Data_NCR!$B4,NCR!$AI:$AI,Data_NCR!$U$1)</f>
        <v>0</v>
      </c>
      <c r="V4" s="98">
        <f>COUNTIFS(NCR!$G:$G,Data_NCR!$B4,NCR!$AI:$AI,Data_NCR!$V$1)</f>
        <v>0</v>
      </c>
      <c r="W4" s="98">
        <f>COUNTIFS(NCR!$G:$G,Data_NCR!$B4,NCR!$AI:$AI,Data_NCR!$W$1)</f>
        <v>0</v>
      </c>
      <c r="X4" s="98">
        <f>COUNTIFS(NCR!$G:$G,Data_NCR!$B4,NCR!$AI:$AI,Data_NCR!$X$1)</f>
        <v>0</v>
      </c>
      <c r="Y4" s="98">
        <f>COUNTIFS(NCR!$G:$G,Data_NCR!$B4,NCR!$AI:$AI,Data_NCR!$Y$1)</f>
        <v>0</v>
      </c>
      <c r="Z4" s="98">
        <f>COUNTIFS(NCR!$G:$G,Data_NCR!$B4,NCR!$AI:$AI,Data_NCR!$Z$1)</f>
        <v>0</v>
      </c>
      <c r="AA4" s="98">
        <f>COUNTIFS(NCR!$G:$G,Data_NCR!$B4,NCR!$AI:$AI,Data_NCR!$AA$1)</f>
        <v>0</v>
      </c>
      <c r="AB4" s="98">
        <f>COUNTIFS(NCR!$G:$G,Data_NCR!$B4,NCR!$AI:$AI,Data_NCR!$AB$1)</f>
        <v>0</v>
      </c>
      <c r="AC4" s="98">
        <f>COUNTIFS(NCR!$G:$G,Data_NCR!$B4,NCR!$AI:$AI,Data_NCR!$AC$1)</f>
        <v>0</v>
      </c>
      <c r="AD4" s="98">
        <f>COUNTIFS(NCR!$G:$G,Data_NCR!$B4,NCR!$AI:$AI,Data_NCR!$AD$1)</f>
        <v>0</v>
      </c>
      <c r="AE4" s="98">
        <f>COUNTIFS(NCR!$G:$G,Data_NCR!$B4,NCR!$AI:$AI,Data_NCR!$AE$1)</f>
        <v>0</v>
      </c>
      <c r="AF4" s="98">
        <f>COUNTIFS(NCR!$G:$G,Data_NCR!$B4,NCR!$AI:$AI,Data_NCR!$AF$1)</f>
        <v>0</v>
      </c>
      <c r="AG4" s="98">
        <f>COUNTIFS(NCR!$G:$G,Data_NCR!$B4,NCR!$AI:$AI,Data_NCR!$AG$1)</f>
        <v>0</v>
      </c>
      <c r="AH4" s="98">
        <f>COUNTIFS(NCR!$G:$G,Data_NCR!$B4,NCR!$AI:$AI,Data_NCR!$AH$1)</f>
        <v>0</v>
      </c>
      <c r="AI4" s="98">
        <f>COUNTIFS(NCR!$G:$G,Data_NCR!$B4,NCR!$AI:$AI,Data_NCR!$AI$1)</f>
        <v>0</v>
      </c>
      <c r="AJ4" s="98">
        <f>COUNTIFS(NCR!$G:$G,Data_NCR!$B4,NCR!$AI:$AI,Data_NCR!$AJ$1)</f>
        <v>0</v>
      </c>
      <c r="AK4" s="98">
        <f>COUNTIFS(NCR!$G:$G,Data_NCR!$B4,NCR!$AI:$AI,Data_NCR!$AK$1)</f>
        <v>0</v>
      </c>
      <c r="AL4" s="98">
        <f>COUNTIFS(NCR!$G:$G,Data_NCR!$B4,NCR!$AI:$AI,Data_NCR!$AL$1)</f>
        <v>0</v>
      </c>
      <c r="AM4" s="98">
        <f>COUNTIFS(NCR!$G:$G,Data_NCR!$B4,NCR!$AI:$AI,Data_NCR!$AM$1)</f>
        <v>0</v>
      </c>
      <c r="AN4" s="98">
        <f>COUNTIFS(NCR!$G:$G,Data_NCR!$B4,NCR!$AI:$AI,Data_NCR!$AN$1)</f>
        <v>0</v>
      </c>
      <c r="AO4" s="98">
        <f>COUNTIFS(NCR!$G:$G,Data_NCR!$B4,NCR!$AI:$AI,Data_NCR!$AO$1)</f>
        <v>0</v>
      </c>
      <c r="AP4" s="98">
        <f>COUNTIFS(NCR!$G:$G,Data_NCR!$B4,NCR!$AI:$AI,Data_NCR!$AP$1)</f>
        <v>0</v>
      </c>
      <c r="AQ4" s="98">
        <f>COUNTIFS(NCR!$G:$G,Data_NCR!$B4,NCR!$AI:$AI,Data_NCR!$AQ$1)</f>
        <v>0</v>
      </c>
      <c r="AR4" s="98">
        <f>COUNTIFS(NCR!$G:$G,Data_NCR!$B4,NCR!$AI:$AI,Data_NCR!$AR$1)</f>
        <v>0</v>
      </c>
      <c r="AS4" s="98">
        <f>COUNTIFS(NCR!$G:$G,Data_NCR!$B4,NCR!$AI:$AI,Data_NCR!$AS$1)</f>
        <v>0</v>
      </c>
      <c r="AT4" s="98">
        <f>COUNTIFS(NCR!$G:$G,Data_NCR!$B4,NCR!$AI:$AI,Data_NCR!$AT$1)</f>
        <v>0</v>
      </c>
      <c r="AU4" s="98">
        <f>COUNTIFS(NCR!$G:$G,Data_NCR!$B4,NCR!$AI:$AI,Data_NCR!$AU$1)</f>
        <v>0</v>
      </c>
      <c r="AV4" s="98">
        <f>COUNTIFS(NCR!$G:$G,Data_NCR!$B4,NCR!$AI:$AI,Data_NCR!$AV$1)</f>
        <v>0</v>
      </c>
      <c r="AW4" s="98">
        <f>COUNTIFS(NCR!$G:$G,Data_NCR!$B4,NCR!$AI:$AI,Data_NCR!$AW$1)</f>
        <v>0</v>
      </c>
      <c r="AX4" s="98">
        <f>COUNTIFS(NCR!$G:$G,Data_NCR!$B4,NCR!$AI:$AI,Data_NCR!$AX$1)</f>
        <v>0</v>
      </c>
      <c r="AY4" s="98">
        <f>COUNTIFS(NCR!$G:$G,Data_NCR!$B4,NCR!$AI:$AI,Data_NCR!$AY$1)</f>
        <v>1</v>
      </c>
      <c r="AZ4" s="98">
        <f>COUNTIFS(NCR!$G:$G,Data_NCR!$B4,NCR!$AI:$AI,Data_NCR!$AZ$1)</f>
        <v>0</v>
      </c>
      <c r="BA4" s="98">
        <f>COUNTIFS(NCR!$G:$G,Data_NCR!$B4,NCR!$AI:$AI,Data_NCR!$BA$1)</f>
        <v>0</v>
      </c>
      <c r="BB4" s="98">
        <f>COUNTIFS(NCR!$G:$G,Data_NCR!$B4,NCR!$AI:$AI,Data_NCR!$BB$1)</f>
        <v>0</v>
      </c>
      <c r="BC4" s="98">
        <f>COUNTIFS(NCR!$G:$G,Data_NCR!$B4,NCR!$AI:$AI,Data_NCR!$BC$1)</f>
        <v>0</v>
      </c>
      <c r="BD4" s="98">
        <f>COUNTIFS(NCR!$G:$G,Data_NCR!$B4,NCR!$AI:$AI,Data_NCR!$BD$1)</f>
        <v>0</v>
      </c>
      <c r="BE4" s="98">
        <f>COUNTIFS(NCR!$G:$G,Data_NCR!$B4,NCR!$AI:$AI,Data_NCR!$BE$1)</f>
        <v>0</v>
      </c>
      <c r="BF4" s="98">
        <f>COUNTIFS(NCR!$G:$G,Data_NCR!$B4,NCR!$AI:$AI,Data_NCR!$BF$1)</f>
        <v>0</v>
      </c>
      <c r="BG4" s="98">
        <f>COUNTIFS(NCR!$G:$G,Data_NCR!$B4,NCR!$AI:$AI,Data_NCR!$BG$1)</f>
        <v>0</v>
      </c>
      <c r="BH4" s="98">
        <f>COUNTIFS(NCR!$G:$G,Data_NCR!$B4,NCR!$AI:$AI,Data_NCR!$BH$1)</f>
        <v>0</v>
      </c>
    </row>
    <row r="5" spans="1:60" s="40" customFormat="1" ht="30" customHeight="1">
      <c r="A5" s="846">
        <v>4</v>
      </c>
      <c r="B5" s="802" t="s">
        <v>1454</v>
      </c>
      <c r="C5" s="598" t="s">
        <v>2847</v>
      </c>
      <c r="D5" s="98">
        <f t="shared" si="0"/>
        <v>28</v>
      </c>
      <c r="E5" s="30">
        <f>IF(COUNTIFS(NCR!$G:$G, Data_NCR!B5,
             NCR!$B:$B, "Opening",
             NCR!$F:$F, "Non-Conformance Report")=0,
   "-",
   COUNTIFS(NCR!$G:$G, Data_NCR!B5,
            NCR!$B:$B, "Opening",
            NCR!$F:$F, "Non-Conformance Report"))</f>
        <v>4</v>
      </c>
      <c r="F5" s="30">
        <f>IF(COUNTIFS(NCR!$G:$G, Data_NCR!B5,
             NCR!$B:$B, "Closed",
             NCR!$F:$F, "Non-Conformance Report")=0,
   "-",
   COUNTIFS(NCR!$G:$G, Data_NCR!B5,
            NCR!$B:$B, "Closed",
            NCR!$F:$F, "Non-Conformance Report"))</f>
        <v>15</v>
      </c>
      <c r="G5" s="32">
        <f>IF(COUNTIFS(NCR!$G:$G, Data_NCR!B5,
             NCR!$B:$B, "Opening",
             NCR!$F:$F, "Request for NCR")=0,
   "-",
   COUNTIFS(NCR!$G:$G, Data_NCR!B5,
            NCR!$B:$B, "Opening",
            NCR!$F:$F, "Request for NCR"))</f>
        <v>5</v>
      </c>
      <c r="H5" s="32">
        <f>IF(COUNTIFS(NCR!$G:$G, Data_NCR!B5,
             NCR!$B:$B, "Closed",
             NCR!$F:$F, "Request for NCR")=0,
   "-",
   COUNTIFS(NCR!$G:$G, Data_NCR!B5,
            NCR!$B:$B, "Closed",
            NCR!$F:$F, "Request for NCR"))</f>
        <v>4</v>
      </c>
      <c r="I5" s="30">
        <f>_xlfn.LET(
    _xlpm.countA, COUNTIFS(NCR!Q:Q, "*Cat A*", NCR!G:G, Data_NCR!B5),
    _xlpm.countB, COUNTIFS(NCR!Q:Q, "*Cat B*", NCR!G:G, Data_NCR!B5),
    _xlpm.total, _xlpm.countA + _xlpm.countB,
    IF(_xlpm.total = 0, "-", _xlpm.total)
)</f>
        <v>6</v>
      </c>
      <c r="J5" s="30">
        <f>IF(COUNTIFS(NCR!Q:Q,"*Cat C*",NCR!G:G,Data_NCR!B5)=0,"-",COUNTIFS(NCR!Q:Q,"*Cat C*",NCR!G:G,Data_NCR!B5))</f>
        <v>17</v>
      </c>
      <c r="K5" s="847">
        <f t="shared" si="1"/>
        <v>0.21428571428571427</v>
      </c>
      <c r="L5" s="847">
        <f t="shared" si="2"/>
        <v>0.6071428571428571</v>
      </c>
      <c r="M5" s="98">
        <f>COUNTIFS(NCR!$G:$G,Data_NCR!$B5,NCR!$AI:$AI,Data_NCR!$M$1)</f>
        <v>0</v>
      </c>
      <c r="N5" s="98">
        <f>COUNTIFS(NCR!$G:$G,Data_NCR!$B5,NCR!$AI:$AI,Data_NCR!$N$1)</f>
        <v>0</v>
      </c>
      <c r="O5" s="98">
        <f>COUNTIFS(NCR!$G:$G,Data_NCR!$B5,NCR!$AI:$AI,Data_NCR!$O$1)</f>
        <v>0</v>
      </c>
      <c r="P5" s="98">
        <f>COUNTIFS(NCR!$G:$G,Data_NCR!$B5,NCR!$AI:$AI,Data_NCR!$P$1)</f>
        <v>0</v>
      </c>
      <c r="Q5" s="98">
        <f>COUNTIFS(NCR!$G:$G,Data_NCR!$B5,NCR!$AI:$AI,Data_NCR!$Q$1)</f>
        <v>0</v>
      </c>
      <c r="R5" s="98">
        <f>COUNTIFS(NCR!$G:$G,Data_NCR!$B5,NCR!$AI:$AI,Data_NCR!$R$1)</f>
        <v>0</v>
      </c>
      <c r="S5" s="98">
        <f>COUNTIFS(NCR!$G:$G,Data_NCR!$B5,NCR!$AI:$AI,Data_NCR!$S$1)</f>
        <v>0</v>
      </c>
      <c r="T5" s="98">
        <f>COUNTIFS(NCR!$G:$G,Data_NCR!$B5,NCR!$AI:$AI,Data_NCR!$T$1)</f>
        <v>0</v>
      </c>
      <c r="U5" s="98">
        <f>COUNTIFS(NCR!$G:$G,Data_NCR!$B5,NCR!$AI:$AI,Data_NCR!$U$1)</f>
        <v>0</v>
      </c>
      <c r="V5" s="98">
        <f>COUNTIFS(NCR!$G:$G,Data_NCR!$B5,NCR!$AI:$AI,Data_NCR!$V$1)</f>
        <v>0</v>
      </c>
      <c r="W5" s="98">
        <f>COUNTIFS(NCR!$G:$G,Data_NCR!$B5,NCR!$AI:$AI,Data_NCR!$W$1)</f>
        <v>0</v>
      </c>
      <c r="X5" s="98">
        <f>COUNTIFS(NCR!$G:$G,Data_NCR!$B5,NCR!$AI:$AI,Data_NCR!$X$1)</f>
        <v>0</v>
      </c>
      <c r="Y5" s="98">
        <f>COUNTIFS(NCR!$G:$G,Data_NCR!$B5,NCR!$AI:$AI,Data_NCR!$Y$1)</f>
        <v>0</v>
      </c>
      <c r="Z5" s="98">
        <f>COUNTIFS(NCR!$G:$G,Data_NCR!$B5,NCR!$AI:$AI,Data_NCR!$Z$1)</f>
        <v>0</v>
      </c>
      <c r="AA5" s="98">
        <f>COUNTIFS(NCR!$G:$G,Data_NCR!$B5,NCR!$AI:$AI,Data_NCR!$AA$1)</f>
        <v>0</v>
      </c>
      <c r="AB5" s="98">
        <f>COUNTIFS(NCR!$G:$G,Data_NCR!$B5,NCR!$AI:$AI,Data_NCR!$AB$1)</f>
        <v>0</v>
      </c>
      <c r="AC5" s="98">
        <f>COUNTIFS(NCR!$G:$G,Data_NCR!$B5,NCR!$AI:$AI,Data_NCR!$AC$1)</f>
        <v>0</v>
      </c>
      <c r="AD5" s="98">
        <f>COUNTIFS(NCR!$G:$G,Data_NCR!$B5,NCR!$AI:$AI,Data_NCR!$AD$1)</f>
        <v>0</v>
      </c>
      <c r="AE5" s="98">
        <f>COUNTIFS(NCR!$G:$G,Data_NCR!$B5,NCR!$AI:$AI,Data_NCR!$AE$1)</f>
        <v>0</v>
      </c>
      <c r="AF5" s="98">
        <f>COUNTIFS(NCR!$G:$G,Data_NCR!$B5,NCR!$AI:$AI,Data_NCR!$AF$1)</f>
        <v>2</v>
      </c>
      <c r="AG5" s="98">
        <f>COUNTIFS(NCR!$G:$G,Data_NCR!$B5,NCR!$AI:$AI,Data_NCR!$AG$1)</f>
        <v>2</v>
      </c>
      <c r="AH5" s="98">
        <f>COUNTIFS(NCR!$G:$G,Data_NCR!$B5,NCR!$AI:$AI,Data_NCR!$AH$1)</f>
        <v>1</v>
      </c>
      <c r="AI5" s="98">
        <f>COUNTIFS(NCR!$G:$G,Data_NCR!$B5,NCR!$AI:$AI,Data_NCR!$AI$1)</f>
        <v>0</v>
      </c>
      <c r="AJ5" s="98">
        <f>COUNTIFS(NCR!$G:$G,Data_NCR!$B5,NCR!$AI:$AI,Data_NCR!$AJ$1)</f>
        <v>0</v>
      </c>
      <c r="AK5" s="98">
        <f>COUNTIFS(NCR!$G:$G,Data_NCR!$B5,NCR!$AI:$AI,Data_NCR!$AK$1)</f>
        <v>0</v>
      </c>
      <c r="AL5" s="98">
        <f>COUNTIFS(NCR!$G:$G,Data_NCR!$B5,NCR!$AI:$AI,Data_NCR!$AL$1)</f>
        <v>0</v>
      </c>
      <c r="AM5" s="98">
        <f>COUNTIFS(NCR!$G:$G,Data_NCR!$B5,NCR!$AI:$AI,Data_NCR!$AM$1)</f>
        <v>0</v>
      </c>
      <c r="AN5" s="98">
        <f>COUNTIFS(NCR!$G:$G,Data_NCR!$B5,NCR!$AI:$AI,Data_NCR!$AN$1)</f>
        <v>0</v>
      </c>
      <c r="AO5" s="98">
        <f>COUNTIFS(NCR!$G:$G,Data_NCR!$B5,NCR!$AI:$AI,Data_NCR!$AO$1)</f>
        <v>1</v>
      </c>
      <c r="AP5" s="98">
        <f>COUNTIFS(NCR!$G:$G,Data_NCR!$B5,NCR!$AI:$AI,Data_NCR!$AP$1)</f>
        <v>4</v>
      </c>
      <c r="AQ5" s="98">
        <f>COUNTIFS(NCR!$G:$G,Data_NCR!$B5,NCR!$AI:$AI,Data_NCR!$AQ$1)</f>
        <v>2</v>
      </c>
      <c r="AR5" s="98">
        <f>COUNTIFS(NCR!$G:$G,Data_NCR!$B5,NCR!$AI:$AI,Data_NCR!$AR$1)</f>
        <v>0</v>
      </c>
      <c r="AS5" s="98">
        <f>COUNTIFS(NCR!$G:$G,Data_NCR!$B5,NCR!$AI:$AI,Data_NCR!$AS$1)</f>
        <v>2</v>
      </c>
      <c r="AT5" s="98">
        <f>COUNTIFS(NCR!$G:$G,Data_NCR!$B5,NCR!$AI:$AI,Data_NCR!$AT$1)</f>
        <v>1</v>
      </c>
      <c r="AU5" s="98">
        <f>COUNTIFS(NCR!$G:$G,Data_NCR!$B5,NCR!$AI:$AI,Data_NCR!$AU$1)</f>
        <v>0</v>
      </c>
      <c r="AV5" s="98">
        <f>COUNTIFS(NCR!$G:$G,Data_NCR!$B5,NCR!$AI:$AI,Data_NCR!$AV$1)</f>
        <v>0</v>
      </c>
      <c r="AW5" s="98">
        <f>COUNTIFS(NCR!$G:$G,Data_NCR!$B5,NCR!$AI:$AI,Data_NCR!$AW$1)</f>
        <v>0</v>
      </c>
      <c r="AX5" s="98">
        <f>COUNTIFS(NCR!$G:$G,Data_NCR!$B5,NCR!$AI:$AI,Data_NCR!$AX$1)</f>
        <v>0</v>
      </c>
      <c r="AY5" s="98">
        <f>COUNTIFS(NCR!$G:$G,Data_NCR!$B5,NCR!$AI:$AI,Data_NCR!$AY$1)</f>
        <v>1</v>
      </c>
      <c r="AZ5" s="98">
        <f>COUNTIFS(NCR!$G:$G,Data_NCR!$B5,NCR!$AI:$AI,Data_NCR!$AZ$1)</f>
        <v>2</v>
      </c>
      <c r="BA5" s="98">
        <f>COUNTIFS(NCR!$G:$G,Data_NCR!$B5,NCR!$AI:$AI,Data_NCR!$BA$1)</f>
        <v>1</v>
      </c>
      <c r="BB5" s="98">
        <f>COUNTIFS(NCR!$G:$G,Data_NCR!$B5,NCR!$AI:$AI,Data_NCR!$BB$1)</f>
        <v>2</v>
      </c>
      <c r="BC5" s="98">
        <f>COUNTIFS(NCR!$G:$G,Data_NCR!$B5,NCR!$AI:$AI,Data_NCR!$BC$1)</f>
        <v>2</v>
      </c>
      <c r="BD5" s="98">
        <f>COUNTIFS(NCR!$G:$G,Data_NCR!$B5,NCR!$AI:$AI,Data_NCR!$BD$1)</f>
        <v>1</v>
      </c>
      <c r="BE5" s="98">
        <f>COUNTIFS(NCR!$G:$G,Data_NCR!$B5,NCR!$AI:$AI,Data_NCR!$BE$1)</f>
        <v>1</v>
      </c>
      <c r="BF5" s="98">
        <f>COUNTIFS(NCR!$G:$G,Data_NCR!$B5,NCR!$AI:$AI,Data_NCR!$BF$1)</f>
        <v>1</v>
      </c>
      <c r="BG5" s="98">
        <f>COUNTIFS(NCR!$G:$G,Data_NCR!$B5,NCR!$AI:$AI,Data_NCR!$BG$1)</f>
        <v>1</v>
      </c>
      <c r="BH5" s="98">
        <f>COUNTIFS(NCR!$G:$G,Data_NCR!$B5,NCR!$AI:$AI,Data_NCR!$BH$1)</f>
        <v>1</v>
      </c>
    </row>
    <row r="6" spans="1:60" s="40" customFormat="1" ht="30" customHeight="1">
      <c r="A6" s="846">
        <v>5</v>
      </c>
      <c r="B6" s="802" t="s">
        <v>1045</v>
      </c>
      <c r="C6" s="598" t="s">
        <v>2848</v>
      </c>
      <c r="D6" s="98">
        <f t="shared" si="0"/>
        <v>29</v>
      </c>
      <c r="E6" s="30" t="str">
        <f>IF(COUNTIFS(NCR!$G:$G, Data_NCR!B6,
             NCR!$B:$B, "Opening",
             NCR!$F:$F, "Non-Conformance Report")=0,
   "-",
   COUNTIFS(NCR!$G:$G, Data_NCR!B6,
            NCR!$B:$B, "Opening",
            NCR!$F:$F, "Non-Conformance Report"))</f>
        <v>-</v>
      </c>
      <c r="F6" s="30">
        <f>IF(COUNTIFS(NCR!$G:$G, Data_NCR!B6,
             NCR!$B:$B, "Closed",
             NCR!$F:$F, "Non-Conformance Report")=0,
   "-",
   COUNTIFS(NCR!$G:$G, Data_NCR!B6,
            NCR!$B:$B, "Closed",
            NCR!$F:$F, "Non-Conformance Report"))</f>
        <v>28</v>
      </c>
      <c r="G6" s="32" t="str">
        <f>IF(COUNTIFS(NCR!$G:$G, Data_NCR!B6,
             NCR!$B:$B, "Opening",
             NCR!$F:$F, "Request for NCR")=0,
   "-",
   COUNTIFS(NCR!$G:$G, Data_NCR!B6,
            NCR!$B:$B, "Opening",
            NCR!$F:$F, "Request for NCR"))</f>
        <v>-</v>
      </c>
      <c r="H6" s="32">
        <f>IF(COUNTIFS(NCR!$G:$G, Data_NCR!B6,
             NCR!$B:$B, "Closed",
             NCR!$F:$F, "Request for NCR")=0,
   "-",
   COUNTIFS(NCR!$G:$G, Data_NCR!B6,
            NCR!$B:$B, "Closed",
            NCR!$F:$F, "Request for NCR"))</f>
        <v>1</v>
      </c>
      <c r="I6" s="30" t="str">
        <f>_xlfn.LET(
    _xlpm.countA, COUNTIFS(NCR!Q:Q, "*Cat A*", NCR!G:G, Data_NCR!B6),
    _xlpm.countB, COUNTIFS(NCR!Q:Q, "*Cat B*", NCR!G:G, Data_NCR!B6),
    _xlpm.total, _xlpm.countA + _xlpm.countB,
    IF(_xlpm.total = 0, "-", _xlpm.total)
)</f>
        <v>-</v>
      </c>
      <c r="J6" s="30">
        <f>IF(COUNTIFS(NCR!Q:Q,"*Cat C*",NCR!G:G,Data_NCR!B6)=0,"-",COUNTIFS(NCR!Q:Q,"*Cat C*",NCR!G:G,Data_NCR!B6))</f>
        <v>29</v>
      </c>
      <c r="K6" s="847" t="str">
        <f t="shared" si="1"/>
        <v>-</v>
      </c>
      <c r="L6" s="847">
        <f t="shared" si="2"/>
        <v>1</v>
      </c>
      <c r="M6" s="98">
        <f>COUNTIFS(NCR!$G:$G,Data_NCR!$B6,NCR!$AI:$AI,Data_NCR!$M$1)</f>
        <v>0</v>
      </c>
      <c r="N6" s="98">
        <f>COUNTIFS(NCR!$G:$G,Data_NCR!$B6,NCR!$AI:$AI,Data_NCR!$N$1)</f>
        <v>0</v>
      </c>
      <c r="O6" s="98">
        <f>COUNTIFS(NCR!$G:$G,Data_NCR!$B6,NCR!$AI:$AI,Data_NCR!$O$1)</f>
        <v>0</v>
      </c>
      <c r="P6" s="98">
        <f>COUNTIFS(NCR!$G:$G,Data_NCR!$B6,NCR!$AI:$AI,Data_NCR!$P$1)</f>
        <v>0</v>
      </c>
      <c r="Q6" s="98">
        <f>COUNTIFS(NCR!$G:$G,Data_NCR!$B6,NCR!$AI:$AI,Data_NCR!$Q$1)</f>
        <v>0</v>
      </c>
      <c r="R6" s="98">
        <f>COUNTIFS(NCR!$G:$G,Data_NCR!$B6,NCR!$AI:$AI,Data_NCR!$R$1)</f>
        <v>0</v>
      </c>
      <c r="S6" s="98">
        <f>COUNTIFS(NCR!$G:$G,Data_NCR!$B6,NCR!$AI:$AI,Data_NCR!$S$1)</f>
        <v>0</v>
      </c>
      <c r="T6" s="98">
        <f>COUNTIFS(NCR!$G:$G,Data_NCR!$B6,NCR!$AI:$AI,Data_NCR!$T$1)</f>
        <v>0</v>
      </c>
      <c r="U6" s="98">
        <f>COUNTIFS(NCR!$G:$G,Data_NCR!$B6,NCR!$AI:$AI,Data_NCR!$U$1)</f>
        <v>0</v>
      </c>
      <c r="V6" s="98">
        <f>COUNTIFS(NCR!$G:$G,Data_NCR!$B6,NCR!$AI:$AI,Data_NCR!$V$1)</f>
        <v>0</v>
      </c>
      <c r="W6" s="98">
        <f>COUNTIFS(NCR!$G:$G,Data_NCR!$B6,NCR!$AI:$AI,Data_NCR!$W$1)</f>
        <v>0</v>
      </c>
      <c r="X6" s="98">
        <f>COUNTIFS(NCR!$G:$G,Data_NCR!$B6,NCR!$AI:$AI,Data_NCR!$X$1)</f>
        <v>0</v>
      </c>
      <c r="Y6" s="98">
        <f>COUNTIFS(NCR!$G:$G,Data_NCR!$B6,NCR!$AI:$AI,Data_NCR!$Y$1)</f>
        <v>0</v>
      </c>
      <c r="Z6" s="98">
        <f>COUNTIFS(NCR!$G:$G,Data_NCR!$B6,NCR!$AI:$AI,Data_NCR!$Z$1)</f>
        <v>0</v>
      </c>
      <c r="AA6" s="98">
        <f>COUNTIFS(NCR!$G:$G,Data_NCR!$B6,NCR!$AI:$AI,Data_NCR!$AA$1)</f>
        <v>0</v>
      </c>
      <c r="AB6" s="98">
        <f>COUNTIFS(NCR!$G:$G,Data_NCR!$B6,NCR!$AI:$AI,Data_NCR!$AB$1)</f>
        <v>0</v>
      </c>
      <c r="AC6" s="98">
        <f>COUNTIFS(NCR!$G:$G,Data_NCR!$B6,NCR!$AI:$AI,Data_NCR!$AC$1)</f>
        <v>0</v>
      </c>
      <c r="AD6" s="98">
        <f>COUNTIFS(NCR!$G:$G,Data_NCR!$B6,NCR!$AI:$AI,Data_NCR!$AD$1)</f>
        <v>0</v>
      </c>
      <c r="AE6" s="98">
        <f>COUNTIFS(NCR!$G:$G,Data_NCR!$B6,NCR!$AI:$AI,Data_NCR!$AE$1)</f>
        <v>0</v>
      </c>
      <c r="AF6" s="98">
        <f>COUNTIFS(NCR!$G:$G,Data_NCR!$B6,NCR!$AI:$AI,Data_NCR!$AF$1)</f>
        <v>0</v>
      </c>
      <c r="AG6" s="98">
        <f>COUNTIFS(NCR!$G:$G,Data_NCR!$B6,NCR!$AI:$AI,Data_NCR!$AG$1)</f>
        <v>0</v>
      </c>
      <c r="AH6" s="98">
        <f>COUNTIFS(NCR!$G:$G,Data_NCR!$B6,NCR!$AI:$AI,Data_NCR!$AH$1)</f>
        <v>0</v>
      </c>
      <c r="AI6" s="98">
        <f>COUNTIFS(NCR!$G:$G,Data_NCR!$B6,NCR!$AI:$AI,Data_NCR!$AI$1)</f>
        <v>0</v>
      </c>
      <c r="AJ6" s="98">
        <f>COUNTIFS(NCR!$G:$G,Data_NCR!$B6,NCR!$AI:$AI,Data_NCR!$AJ$1)</f>
        <v>0</v>
      </c>
      <c r="AK6" s="98">
        <f>COUNTIFS(NCR!$G:$G,Data_NCR!$B6,NCR!$AI:$AI,Data_NCR!$AK$1)</f>
        <v>0</v>
      </c>
      <c r="AL6" s="98">
        <f>COUNTIFS(NCR!$G:$G,Data_NCR!$B6,NCR!$AI:$AI,Data_NCR!$AL$1)</f>
        <v>0</v>
      </c>
      <c r="AM6" s="98">
        <f>COUNTIFS(NCR!$G:$G,Data_NCR!$B6,NCR!$AI:$AI,Data_NCR!$AM$1)</f>
        <v>3</v>
      </c>
      <c r="AN6" s="98">
        <f>COUNTIFS(NCR!$G:$G,Data_NCR!$B6,NCR!$AI:$AI,Data_NCR!$AN$1)</f>
        <v>2</v>
      </c>
      <c r="AO6" s="98">
        <f>COUNTIFS(NCR!$G:$G,Data_NCR!$B6,NCR!$AI:$AI,Data_NCR!$AO$1)</f>
        <v>4</v>
      </c>
      <c r="AP6" s="98">
        <f>COUNTIFS(NCR!$G:$G,Data_NCR!$B6,NCR!$AI:$AI,Data_NCR!$AP$1)</f>
        <v>1</v>
      </c>
      <c r="AQ6" s="98">
        <f>COUNTIFS(NCR!$G:$G,Data_NCR!$B6,NCR!$AI:$AI,Data_NCR!$AQ$1)</f>
        <v>1</v>
      </c>
      <c r="AR6" s="98">
        <f>COUNTIFS(NCR!$G:$G,Data_NCR!$B6,NCR!$AI:$AI,Data_NCR!$AR$1)</f>
        <v>1</v>
      </c>
      <c r="AS6" s="98">
        <f>COUNTIFS(NCR!$G:$G,Data_NCR!$B6,NCR!$AI:$AI,Data_NCR!$AS$1)</f>
        <v>2</v>
      </c>
      <c r="AT6" s="98">
        <f>COUNTIFS(NCR!$G:$G,Data_NCR!$B6,NCR!$AI:$AI,Data_NCR!$AT$1)</f>
        <v>7</v>
      </c>
      <c r="AU6" s="98">
        <f>COUNTIFS(NCR!$G:$G,Data_NCR!$B6,NCR!$AI:$AI,Data_NCR!$AU$1)</f>
        <v>1</v>
      </c>
      <c r="AV6" s="98">
        <f>COUNTIFS(NCR!$G:$G,Data_NCR!$B6,NCR!$AI:$AI,Data_NCR!$AV$1)</f>
        <v>1</v>
      </c>
      <c r="AW6" s="98">
        <f>COUNTIFS(NCR!$G:$G,Data_NCR!$B6,NCR!$AI:$AI,Data_NCR!$AW$1)</f>
        <v>0</v>
      </c>
      <c r="AX6" s="98">
        <f>COUNTIFS(NCR!$G:$G,Data_NCR!$B6,NCR!$AI:$AI,Data_NCR!$AX$1)</f>
        <v>0</v>
      </c>
      <c r="AY6" s="98">
        <f>COUNTIFS(NCR!$G:$G,Data_NCR!$B6,NCR!$AI:$AI,Data_NCR!$AY$1)</f>
        <v>0</v>
      </c>
      <c r="AZ6" s="98">
        <f>COUNTIFS(NCR!$G:$G,Data_NCR!$B6,NCR!$AI:$AI,Data_NCR!$AZ$1)</f>
        <v>2</v>
      </c>
      <c r="BA6" s="98">
        <f>COUNTIFS(NCR!$G:$G,Data_NCR!$B6,NCR!$AI:$AI,Data_NCR!$BA$1)</f>
        <v>0</v>
      </c>
      <c r="BB6" s="98">
        <f>COUNTIFS(NCR!$G:$G,Data_NCR!$B6,NCR!$AI:$AI,Data_NCR!$BB$1)</f>
        <v>1</v>
      </c>
      <c r="BC6" s="98">
        <f>COUNTIFS(NCR!$G:$G,Data_NCR!$B6,NCR!$AI:$AI,Data_NCR!$BC$1)</f>
        <v>2</v>
      </c>
      <c r="BD6" s="98">
        <f>COUNTIFS(NCR!$G:$G,Data_NCR!$B6,NCR!$AI:$AI,Data_NCR!$BD$1)</f>
        <v>1</v>
      </c>
      <c r="BE6" s="98">
        <f>COUNTIFS(NCR!$G:$G,Data_NCR!$B6,NCR!$AI:$AI,Data_NCR!$BE$1)</f>
        <v>0</v>
      </c>
      <c r="BF6" s="98">
        <f>COUNTIFS(NCR!$G:$G,Data_NCR!$B6,NCR!$AI:$AI,Data_NCR!$BF$1)</f>
        <v>0</v>
      </c>
      <c r="BG6" s="98">
        <f>COUNTIFS(NCR!$G:$G,Data_NCR!$B6,NCR!$AI:$AI,Data_NCR!$BG$1)</f>
        <v>0</v>
      </c>
      <c r="BH6" s="98">
        <f>COUNTIFS(NCR!$G:$G,Data_NCR!$B6,NCR!$AI:$AI,Data_NCR!$BH$1)</f>
        <v>0</v>
      </c>
    </row>
    <row r="7" spans="1:60" s="40" customFormat="1" ht="30" customHeight="1">
      <c r="A7" s="846">
        <v>6</v>
      </c>
      <c r="B7" s="802" t="s">
        <v>2397</v>
      </c>
      <c r="C7" s="598" t="s">
        <v>2849</v>
      </c>
      <c r="D7" s="98" t="str">
        <f t="shared" si="0"/>
        <v>-</v>
      </c>
      <c r="E7" s="30" t="str">
        <f>IF(COUNTIFS(NCR!$G:$G, Data_NCR!B7,
             NCR!$B:$B, "Opening",
             NCR!$F:$F, "Non-Conformance Report")=0,
   "-",
   COUNTIFS(NCR!$G:$G, Data_NCR!B7,
            NCR!$B:$B, "Opening",
            NCR!$F:$F, "Non-Conformance Report"))</f>
        <v>-</v>
      </c>
      <c r="F7" s="30" t="str">
        <f>IF(COUNTIFS(NCR!$G:$G, Data_NCR!B7,
             NCR!$B:$B, "Closed",
             NCR!$F:$F, "Non-Conformance Report")=0,
   "-",
   COUNTIFS(NCR!$G:$G, Data_NCR!B7,
            NCR!$B:$B, "Closed",
            NCR!$F:$F, "Non-Conformance Report"))</f>
        <v>-</v>
      </c>
      <c r="G7" s="32" t="str">
        <f>IF(COUNTIFS(NCR!$G:$G, Data_NCR!B7,
             NCR!$B:$B, "Opening",
             NCR!$F:$F, "Request for NCR")=0,
   "-",
   COUNTIFS(NCR!$G:$G, Data_NCR!B7,
            NCR!$B:$B, "Opening",
            NCR!$F:$F, "Request for NCR"))</f>
        <v>-</v>
      </c>
      <c r="H7" s="32" t="str">
        <f>IF(COUNTIFS(NCR!$G:$G, Data_NCR!B7,
             NCR!$B:$B, "Closed",
             NCR!$F:$F, "Request for NCR")=0,
   "-",
   COUNTIFS(NCR!$G:$G, Data_NCR!B7,
            NCR!$B:$B, "Closed",
            NCR!$F:$F, "Request for NCR"))</f>
        <v>-</v>
      </c>
      <c r="I7" s="30" t="str">
        <f>_xlfn.LET(
    _xlpm.countA, COUNTIFS(NCR!Q:Q, "*Cat A*", NCR!G:G, Data_NCR!B7),
    _xlpm.countB, COUNTIFS(NCR!Q:Q, "*Cat B*", NCR!G:G, Data_NCR!B7),
    _xlpm.total, _xlpm.countA + _xlpm.countB,
    IF(_xlpm.total = 0, "-", _xlpm.total)
)</f>
        <v>-</v>
      </c>
      <c r="J7" s="30" t="str">
        <f>IF(COUNTIFS(NCR!Q:Q,"*Cat C*",NCR!G:G,Data_NCR!B7)=0,"-",COUNTIFS(NCR!Q:Q,"*Cat C*",NCR!G:G,Data_NCR!B7))</f>
        <v>-</v>
      </c>
      <c r="K7" s="847" t="str">
        <f t="shared" si="1"/>
        <v>-</v>
      </c>
      <c r="L7" s="847" t="str">
        <f t="shared" si="2"/>
        <v>-</v>
      </c>
      <c r="M7" s="98">
        <f>COUNTIFS(NCR!$G:$G,Data_NCR!$B7,NCR!$AI:$AI,Data_NCR!$M$1)</f>
        <v>0</v>
      </c>
      <c r="N7" s="98">
        <f>COUNTIFS(NCR!$G:$G,Data_NCR!$B7,NCR!$AI:$AI,Data_NCR!$N$1)</f>
        <v>0</v>
      </c>
      <c r="O7" s="98">
        <f>COUNTIFS(NCR!$G:$G,Data_NCR!$B7,NCR!$AI:$AI,Data_NCR!$O$1)</f>
        <v>0</v>
      </c>
      <c r="P7" s="98">
        <f>COUNTIFS(NCR!$G:$G,Data_NCR!$B7,NCR!$AI:$AI,Data_NCR!$P$1)</f>
        <v>0</v>
      </c>
      <c r="Q7" s="98">
        <f>COUNTIFS(NCR!$G:$G,Data_NCR!$B7,NCR!$AI:$AI,Data_NCR!$Q$1)</f>
        <v>0</v>
      </c>
      <c r="R7" s="98">
        <f>COUNTIFS(NCR!$G:$G,Data_NCR!$B7,NCR!$AI:$AI,Data_NCR!$R$1)</f>
        <v>0</v>
      </c>
      <c r="S7" s="98">
        <f>COUNTIFS(NCR!$G:$G,Data_NCR!$B7,NCR!$AI:$AI,Data_NCR!$S$1)</f>
        <v>0</v>
      </c>
      <c r="T7" s="98">
        <f>COUNTIFS(NCR!$G:$G,Data_NCR!$B7,NCR!$AI:$AI,Data_NCR!$T$1)</f>
        <v>0</v>
      </c>
      <c r="U7" s="98">
        <f>COUNTIFS(NCR!$G:$G,Data_NCR!$B7,NCR!$AI:$AI,Data_NCR!$U$1)</f>
        <v>0</v>
      </c>
      <c r="V7" s="98">
        <f>COUNTIFS(NCR!$G:$G,Data_NCR!$B7,NCR!$AI:$AI,Data_NCR!$V$1)</f>
        <v>0</v>
      </c>
      <c r="W7" s="98">
        <f>COUNTIFS(NCR!$G:$G,Data_NCR!$B7,NCR!$AI:$AI,Data_NCR!$W$1)</f>
        <v>0</v>
      </c>
      <c r="X7" s="98">
        <f>COUNTIFS(NCR!$G:$G,Data_NCR!$B7,NCR!$AI:$AI,Data_NCR!$X$1)</f>
        <v>0</v>
      </c>
      <c r="Y7" s="98">
        <f>COUNTIFS(NCR!$G:$G,Data_NCR!$B7,NCR!$AI:$AI,Data_NCR!$Y$1)</f>
        <v>0</v>
      </c>
      <c r="Z7" s="98">
        <f>COUNTIFS(NCR!$G:$G,Data_NCR!$B7,NCR!$AI:$AI,Data_NCR!$Z$1)</f>
        <v>0</v>
      </c>
      <c r="AA7" s="98">
        <f>COUNTIFS(NCR!$G:$G,Data_NCR!$B7,NCR!$AI:$AI,Data_NCR!$AA$1)</f>
        <v>0</v>
      </c>
      <c r="AB7" s="98">
        <f>COUNTIFS(NCR!$G:$G,Data_NCR!$B7,NCR!$AI:$AI,Data_NCR!$AB$1)</f>
        <v>0</v>
      </c>
      <c r="AC7" s="98">
        <f>COUNTIFS(NCR!$G:$G,Data_NCR!$B7,NCR!$AI:$AI,Data_NCR!$AC$1)</f>
        <v>0</v>
      </c>
      <c r="AD7" s="98">
        <f>COUNTIFS(NCR!$G:$G,Data_NCR!$B7,NCR!$AI:$AI,Data_NCR!$AD$1)</f>
        <v>0</v>
      </c>
      <c r="AE7" s="98">
        <f>COUNTIFS(NCR!$G:$G,Data_NCR!$B7,NCR!$AI:$AI,Data_NCR!$AE$1)</f>
        <v>0</v>
      </c>
      <c r="AF7" s="98">
        <f>COUNTIFS(NCR!$G:$G,Data_NCR!$B7,NCR!$AI:$AI,Data_NCR!$AF$1)</f>
        <v>0</v>
      </c>
      <c r="AG7" s="98">
        <f>COUNTIFS(NCR!$G:$G,Data_NCR!$B7,NCR!$AI:$AI,Data_NCR!$AG$1)</f>
        <v>0</v>
      </c>
      <c r="AH7" s="98">
        <f>COUNTIFS(NCR!$G:$G,Data_NCR!$B7,NCR!$AI:$AI,Data_NCR!$AH$1)</f>
        <v>0</v>
      </c>
      <c r="AI7" s="98">
        <f>COUNTIFS(NCR!$G:$G,Data_NCR!$B7,NCR!$AI:$AI,Data_NCR!$AI$1)</f>
        <v>0</v>
      </c>
      <c r="AJ7" s="98">
        <f>COUNTIFS(NCR!$G:$G,Data_NCR!$B7,NCR!$AI:$AI,Data_NCR!$AJ$1)</f>
        <v>0</v>
      </c>
      <c r="AK7" s="98">
        <f>COUNTIFS(NCR!$G:$G,Data_NCR!$B7,NCR!$AI:$AI,Data_NCR!$AK$1)</f>
        <v>0</v>
      </c>
      <c r="AL7" s="98">
        <f>COUNTIFS(NCR!$G:$G,Data_NCR!$B7,NCR!$AI:$AI,Data_NCR!$AL$1)</f>
        <v>0</v>
      </c>
      <c r="AM7" s="98">
        <f>COUNTIFS(NCR!$G:$G,Data_NCR!$B7,NCR!$AI:$AI,Data_NCR!$AM$1)</f>
        <v>0</v>
      </c>
      <c r="AN7" s="98">
        <f>COUNTIFS(NCR!$G:$G,Data_NCR!$B7,NCR!$AI:$AI,Data_NCR!$AN$1)</f>
        <v>0</v>
      </c>
      <c r="AO7" s="98">
        <f>COUNTIFS(NCR!$G:$G,Data_NCR!$B7,NCR!$AI:$AI,Data_NCR!$AO$1)</f>
        <v>0</v>
      </c>
      <c r="AP7" s="98">
        <f>COUNTIFS(NCR!$G:$G,Data_NCR!$B7,NCR!$AI:$AI,Data_NCR!$AP$1)</f>
        <v>0</v>
      </c>
      <c r="AQ7" s="98">
        <f>COUNTIFS(NCR!$G:$G,Data_NCR!$B7,NCR!$AI:$AI,Data_NCR!$AQ$1)</f>
        <v>0</v>
      </c>
      <c r="AR7" s="98">
        <f>COUNTIFS(NCR!$G:$G,Data_NCR!$B7,NCR!$AI:$AI,Data_NCR!$AR$1)</f>
        <v>0</v>
      </c>
      <c r="AS7" s="98">
        <f>COUNTIFS(NCR!$G:$G,Data_NCR!$B7,NCR!$AI:$AI,Data_NCR!$AS$1)</f>
        <v>0</v>
      </c>
      <c r="AT7" s="98">
        <f>COUNTIFS(NCR!$G:$G,Data_NCR!$B7,NCR!$AI:$AI,Data_NCR!$AT$1)</f>
        <v>0</v>
      </c>
      <c r="AU7" s="98">
        <f>COUNTIFS(NCR!$G:$G,Data_NCR!$B7,NCR!$AI:$AI,Data_NCR!$AU$1)</f>
        <v>0</v>
      </c>
      <c r="AV7" s="98">
        <f>COUNTIFS(NCR!$G:$G,Data_NCR!$B7,NCR!$AI:$AI,Data_NCR!$AV$1)</f>
        <v>0</v>
      </c>
      <c r="AW7" s="98">
        <f>COUNTIFS(NCR!$G:$G,Data_NCR!$B7,NCR!$AI:$AI,Data_NCR!$AW$1)</f>
        <v>0</v>
      </c>
      <c r="AX7" s="98">
        <f>COUNTIFS(NCR!$G:$G,Data_NCR!$B7,NCR!$AI:$AI,Data_NCR!$AX$1)</f>
        <v>0</v>
      </c>
      <c r="AY7" s="98">
        <f>COUNTIFS(NCR!$G:$G,Data_NCR!$B7,NCR!$AI:$AI,Data_NCR!$AY$1)</f>
        <v>0</v>
      </c>
      <c r="AZ7" s="98">
        <f>COUNTIFS(NCR!$G:$G,Data_NCR!$B7,NCR!$AI:$AI,Data_NCR!$AZ$1)</f>
        <v>0</v>
      </c>
      <c r="BA7" s="98">
        <f>COUNTIFS(NCR!$G:$G,Data_NCR!$B7,NCR!$AI:$AI,Data_NCR!$BA$1)</f>
        <v>0</v>
      </c>
      <c r="BB7" s="98">
        <f>COUNTIFS(NCR!$G:$G,Data_NCR!$B7,NCR!$AI:$AI,Data_NCR!$BB$1)</f>
        <v>0</v>
      </c>
      <c r="BC7" s="98">
        <f>COUNTIFS(NCR!$G:$G,Data_NCR!$B7,NCR!$AI:$AI,Data_NCR!$BC$1)</f>
        <v>0</v>
      </c>
      <c r="BD7" s="98">
        <f>COUNTIFS(NCR!$G:$G,Data_NCR!$B7,NCR!$AI:$AI,Data_NCR!$BD$1)</f>
        <v>0</v>
      </c>
      <c r="BE7" s="98">
        <f>COUNTIFS(NCR!$G:$G,Data_NCR!$B7,NCR!$AI:$AI,Data_NCR!$BE$1)</f>
        <v>0</v>
      </c>
      <c r="BF7" s="98">
        <f>COUNTIFS(NCR!$G:$G,Data_NCR!$B7,NCR!$AI:$AI,Data_NCR!$BF$1)</f>
        <v>0</v>
      </c>
      <c r="BG7" s="98">
        <f>COUNTIFS(NCR!$G:$G,Data_NCR!$B7,NCR!$AI:$AI,Data_NCR!$BG$1)</f>
        <v>0</v>
      </c>
      <c r="BH7" s="98">
        <f>COUNTIFS(NCR!$G:$G,Data_NCR!$B7,NCR!$AI:$AI,Data_NCR!$BH$1)</f>
        <v>0</v>
      </c>
    </row>
  </sheetData>
  <sheetProtection selectLockedCells="1"/>
  <phoneticPr fontId="43" type="noConversion"/>
  <conditionalFormatting sqref="M2:BH7">
    <cfRule type="cellIs" dxfId="237" priority="7" operator="greaterThan">
      <formula>0</formula>
    </cfRule>
  </conditionalFormatting>
  <conditionalFormatting sqref="E2:E7 G2:G7">
    <cfRule type="cellIs" dxfId="236" priority="4" operator="notEqual">
      <formula>"-"</formula>
    </cfRule>
  </conditionalFormatting>
  <conditionalFormatting sqref="D2:D7">
    <cfRule type="expression" dxfId="235" priority="2">
      <formula>IF($D2&lt;&gt;"-",$D2&lt;&gt;SUM($E2:$H2))</formula>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F5EC1-9B55-4B75-8987-298032A27DDC}">
  <sheetPr codeName="Sheet162">
    <tabColor theme="0" tint="-0.34998626667073579"/>
  </sheetPr>
  <dimension ref="A1:BH8"/>
  <sheetViews>
    <sheetView zoomScale="85" zoomScaleNormal="85" workbookViewId="0">
      <pane xSplit="12" ySplit="1" topLeftCell="M2" activePane="bottomRight" state="frozen"/>
      <selection activeCell="C30" sqref="C30"/>
      <selection pane="topRight" activeCell="C30" sqref="C30"/>
      <selection pane="bottomLeft" activeCell="C30" sqref="C30"/>
      <selection pane="bottomRight" activeCell="BH7" sqref="H6:BH7"/>
    </sheetView>
  </sheetViews>
  <sheetFormatPr defaultRowHeight="15.75" outlineLevelCol="2"/>
  <cols>
    <col min="1" max="1" width="10.5703125" customWidth="1"/>
    <col min="2" max="3" width="30.5703125" style="61" customWidth="1"/>
    <col min="4" max="4" width="15.5703125" customWidth="1"/>
    <col min="5" max="6" width="15.5703125" style="33" customWidth="1"/>
    <col min="7" max="7" width="15.85546875" style="33" customWidth="1"/>
    <col min="8" max="8" width="15.5703125" style="33" customWidth="1"/>
    <col min="9" max="12" width="10.85546875" style="33" customWidth="1" outlineLevel="2"/>
    <col min="13" max="24" width="10.5703125" style="458" customWidth="1" outlineLevel="1"/>
    <col min="25" max="25" width="10.5703125" style="458" customWidth="1" outlineLevel="1" collapsed="1"/>
    <col min="26" max="34" width="10.5703125" style="458" customWidth="1" outlineLevel="1"/>
    <col min="35" max="35" width="10.5703125" style="458" customWidth="1" outlineLevel="1" collapsed="1"/>
    <col min="36" max="38" width="10.5703125" style="458" customWidth="1" outlineLevel="1"/>
    <col min="39" max="46" width="10.5703125" style="459" customWidth="1" outlineLevel="1"/>
    <col min="47" max="47" width="10.5703125" style="459" customWidth="1" outlineLevel="1" collapsed="1"/>
    <col min="48" max="48" width="10.5703125" style="459" customWidth="1" outlineLevel="1"/>
    <col min="49" max="49" width="10.5703125" customWidth="1" outlineLevel="1" collapsed="1"/>
    <col min="50" max="53" width="10.5703125" customWidth="1" outlineLevel="1"/>
    <col min="54" max="60" width="10.5703125" customWidth="1"/>
  </cols>
  <sheetData>
    <row r="1" spans="1:60" ht="30" customHeight="1" thickBot="1">
      <c r="A1" s="785" t="s">
        <v>0</v>
      </c>
      <c r="B1" s="778" t="s">
        <v>986</v>
      </c>
      <c r="C1" s="778" t="s">
        <v>2437</v>
      </c>
      <c r="D1" s="795" t="s">
        <v>4040</v>
      </c>
      <c r="E1" s="843" t="s">
        <v>4016</v>
      </c>
      <c r="F1" s="843" t="s">
        <v>4017</v>
      </c>
      <c r="G1" s="844" t="s">
        <v>4018</v>
      </c>
      <c r="H1" s="844" t="s">
        <v>4019</v>
      </c>
      <c r="I1" s="786" t="s">
        <v>2828</v>
      </c>
      <c r="J1" s="777" t="s">
        <v>2827</v>
      </c>
      <c r="K1" s="845" t="s">
        <v>2828</v>
      </c>
      <c r="L1" s="777" t="s">
        <v>2827</v>
      </c>
      <c r="M1" s="784" t="s">
        <v>2403</v>
      </c>
      <c r="N1" s="779" t="s">
        <v>2422</v>
      </c>
      <c r="O1" s="779" t="s">
        <v>2423</v>
      </c>
      <c r="P1" s="779" t="s">
        <v>2424</v>
      </c>
      <c r="Q1" s="779" t="s">
        <v>2425</v>
      </c>
      <c r="R1" s="779" t="s">
        <v>2426</v>
      </c>
      <c r="S1" s="779" t="s">
        <v>2427</v>
      </c>
      <c r="T1" s="779" t="s">
        <v>2428</v>
      </c>
      <c r="U1" s="779" t="s">
        <v>2429</v>
      </c>
      <c r="V1" s="779" t="s">
        <v>2430</v>
      </c>
      <c r="W1" s="779" t="s">
        <v>2431</v>
      </c>
      <c r="X1" s="779" t="s">
        <v>2432</v>
      </c>
      <c r="Y1" s="780" t="s">
        <v>2411</v>
      </c>
      <c r="Z1" s="780" t="s">
        <v>2412</v>
      </c>
      <c r="AA1" s="780" t="s">
        <v>2413</v>
      </c>
      <c r="AB1" s="780" t="s">
        <v>2414</v>
      </c>
      <c r="AC1" s="780" t="s">
        <v>2415</v>
      </c>
      <c r="AD1" s="780" t="s">
        <v>2416</v>
      </c>
      <c r="AE1" s="780" t="s">
        <v>2417</v>
      </c>
      <c r="AF1" s="780" t="s">
        <v>2418</v>
      </c>
      <c r="AG1" s="780" t="s">
        <v>2419</v>
      </c>
      <c r="AH1" s="780" t="s">
        <v>2420</v>
      </c>
      <c r="AI1" s="780" t="s">
        <v>2421</v>
      </c>
      <c r="AJ1" s="780" t="s">
        <v>2398</v>
      </c>
      <c r="AK1" s="779" t="s">
        <v>2400</v>
      </c>
      <c r="AL1" s="779" t="s">
        <v>2401</v>
      </c>
      <c r="AM1" s="779" t="s">
        <v>2410</v>
      </c>
      <c r="AN1" s="779" t="s">
        <v>2409</v>
      </c>
      <c r="AO1" s="779" t="s">
        <v>2441</v>
      </c>
      <c r="AP1" s="779" t="s">
        <v>2408</v>
      </c>
      <c r="AQ1" s="779" t="s">
        <v>2402</v>
      </c>
      <c r="AR1" s="779" t="s">
        <v>2407</v>
      </c>
      <c r="AS1" s="779" t="s">
        <v>2404</v>
      </c>
      <c r="AT1" s="779" t="s">
        <v>2405</v>
      </c>
      <c r="AU1" s="779" t="s">
        <v>2406</v>
      </c>
      <c r="AV1" s="781" t="s">
        <v>2399</v>
      </c>
      <c r="AW1" s="783" t="s">
        <v>2547</v>
      </c>
      <c r="AX1" s="780" t="s">
        <v>2548</v>
      </c>
      <c r="AY1" s="780" t="s">
        <v>2549</v>
      </c>
      <c r="AZ1" s="780" t="s">
        <v>2550</v>
      </c>
      <c r="BA1" s="780" t="s">
        <v>2558</v>
      </c>
      <c r="BB1" s="780" t="s">
        <v>2551</v>
      </c>
      <c r="BC1" s="780" t="s">
        <v>2552</v>
      </c>
      <c r="BD1" s="780" t="s">
        <v>2553</v>
      </c>
      <c r="BE1" s="780" t="s">
        <v>2554</v>
      </c>
      <c r="BF1" s="780" t="s">
        <v>2555</v>
      </c>
      <c r="BG1" s="780" t="s">
        <v>2556</v>
      </c>
      <c r="BH1" s="782" t="s">
        <v>2557</v>
      </c>
    </row>
    <row r="2" spans="1:60" s="40" customFormat="1" ht="30" customHeight="1">
      <c r="A2" s="861">
        <v>1</v>
      </c>
      <c r="B2" s="848" t="s">
        <v>2435</v>
      </c>
      <c r="C2" s="849" t="s">
        <v>2826</v>
      </c>
      <c r="D2" s="850" t="str">
        <f t="shared" ref="D2:D7" si="0">IFERROR(IF(SUM(M2:BH2)=0,"-",SUM(M2:BH2)),"ERR")</f>
        <v>-</v>
      </c>
      <c r="E2" s="851" t="str">
        <f>IF(COUNTIFS(Obs!$G:$G, Data_Obs!B2,
             Obs!$B:$B, "Opening",
             Obs!$F:$F, "Observation")=0,
   "-",
   COUNTIFS(Obs!$G:$G, Data_Obs!B2,
            Obs!$B:$B, "Opening",
            Obs!$F:$F, "Observation"))</f>
        <v>-</v>
      </c>
      <c r="F2" s="851" t="str">
        <f>IF(COUNTIFS(Obs!$G:$G, Data_Obs!B2,
             Obs!$B:$B, "Closed",
             Obs!$F:$F, "Observation")=0,
   "-",
   COUNTIFS(Obs!$G:$G, Data_Obs!B2,
            Obs!$B:$B, "Closed",
            Obs!$F:$F, "Observation"))</f>
        <v>-</v>
      </c>
      <c r="G2" s="852" t="str">
        <f>IF(COUNTIFS(Obs!$G:$G, Data_Obs!B2,
             Obs!$B:$B, "Opening",
             Obs!$F:$F, "Request for Obs")=0,
   "-",
   COUNTIFS(Obs!$G:$G, Data_Obs!B2,
            Obs!$B:$B, "Opening",
            Obs!$F:$F, "Observation"))</f>
        <v>-</v>
      </c>
      <c r="H2" s="862" t="str">
        <f>IF(COUNTIFS(Obs!$G:$G, Data_Obs!B2,
             Obs!$B:$B, "Closed",
             Obs!$F:$F, "Observation")=0,
   "-",
   COUNTIFS(Obs!$G:$G, Data_Obs!B2,
            Obs!$B:$B, "Closed",
            Obs!$F:$F, "Observation"))</f>
        <v>-</v>
      </c>
      <c r="I2" s="858" t="str">
        <f>_xlfn.LET(
    _xlpm.countA, COUNTIFS(Obs!Q:Q, "*Cat A*", Obs!G:G, Data_Obs!B2),
    _xlpm.countB, COUNTIFS(Obs!Q:Q, "*Cat B*", Obs!G:G, Data_Obs!B2),
    _xlpm.total, _xlpm.countA + _xlpm.countB,
    IF(_xlpm.total = 0, "-", _xlpm.total)
)</f>
        <v>-</v>
      </c>
      <c r="J2" s="851" t="str">
        <f>IF(COUNTIFS(Obs!Q:Q,"*Cat C*",Obs!G:G,Data_Obs!B2)=0,"-",COUNTIFS(Obs!Q:Q,"*Cat C*",Obs!G:G,Data_Obs!B2))</f>
        <v>-</v>
      </c>
      <c r="K2" s="853" t="str">
        <f t="shared" ref="K2:K7" si="1">IFERROR(I2/D2,"-")</f>
        <v>-</v>
      </c>
      <c r="L2" s="853" t="str">
        <f t="shared" ref="L2:L7" si="2">IFERROR(J2/D2,"-")</f>
        <v>-</v>
      </c>
      <c r="M2" s="850">
        <f>COUNTIFS(Obs!$G:$G,Data_Obs!$B2,Obs!$AI:$AI,Data_Obs!$M$1)</f>
        <v>0</v>
      </c>
      <c r="N2" s="850">
        <f>COUNTIFS(Obs!$G:$G,Data_Obs!$B2,Obs!$AI:$AI,Data_Obs!$N$1)</f>
        <v>0</v>
      </c>
      <c r="O2" s="850">
        <f>COUNTIFS(Obs!$G:$G,Data_Obs!$B2,Obs!$AI:$AI,Data_Obs!$O$1)</f>
        <v>0</v>
      </c>
      <c r="P2" s="850">
        <f>COUNTIFS(Obs!$G:$G,Data_Obs!$B2,Obs!$AI:$AI,Data_Obs!$P$1)</f>
        <v>0</v>
      </c>
      <c r="Q2" s="850">
        <f>COUNTIFS(Obs!$G:$G,Data_Obs!$B2,Obs!$AI:$AI,Data_Obs!$Q$1)</f>
        <v>0</v>
      </c>
      <c r="R2" s="850">
        <f>COUNTIFS(Obs!$G:$G,Data_Obs!$B2,Obs!$AI:$AI,Data_Obs!$R$1)</f>
        <v>0</v>
      </c>
      <c r="S2" s="850">
        <f>COUNTIFS(Obs!$G:$G,Data_Obs!$B2,Obs!$AI:$AI,Data_Obs!$S$1)</f>
        <v>0</v>
      </c>
      <c r="T2" s="850">
        <f>COUNTIFS(Obs!$G:$G,Data_Obs!$B2,Obs!$AI:$AI,Data_Obs!$T$1)</f>
        <v>0</v>
      </c>
      <c r="U2" s="850">
        <f>COUNTIFS(Obs!$G:$G,Data_Obs!$B2,Obs!$AI:$AI,Data_Obs!$U$1)</f>
        <v>0</v>
      </c>
      <c r="V2" s="850">
        <f>COUNTIFS(Obs!$G:$G,Data_Obs!$B2,Obs!$AI:$AI,Data_Obs!$V$1)</f>
        <v>0</v>
      </c>
      <c r="W2" s="850">
        <f>COUNTIFS(Obs!$G:$G,Data_Obs!$B2,Obs!$AI:$AI,Data_Obs!$W$1)</f>
        <v>0</v>
      </c>
      <c r="X2" s="850">
        <f>COUNTIFS(Obs!$G:$G,Data_Obs!$B2,Obs!$AI:$AI,Data_Obs!$X$1)</f>
        <v>0</v>
      </c>
      <c r="Y2" s="850">
        <f>COUNTIFS(Obs!$G:$G,Data_Obs!$B2,Obs!$AI:$AI,Data_Obs!$Y$1)</f>
        <v>0</v>
      </c>
      <c r="Z2" s="850">
        <f>COUNTIFS(Obs!$G:$G,Data_Obs!$B2,Obs!$AI:$AI,Data_Obs!$Z$1)</f>
        <v>0</v>
      </c>
      <c r="AA2" s="850">
        <f>COUNTIFS(Obs!$G:$G,Data_Obs!$B2,Obs!$AI:$AI,Data_Obs!$AA$1)</f>
        <v>0</v>
      </c>
      <c r="AB2" s="850">
        <f>COUNTIFS(Obs!$G:$G,Data_Obs!$B2,Obs!$AI:$AI,Data_Obs!$AB$1)</f>
        <v>0</v>
      </c>
      <c r="AC2" s="850">
        <f>COUNTIFS(Obs!$G:$G,Data_Obs!$B2,Obs!$AI:$AI,Data_Obs!$AC$1)</f>
        <v>0</v>
      </c>
      <c r="AD2" s="850">
        <f>COUNTIFS(Obs!$G:$G,Data_Obs!$B2,Obs!$AI:$AI,Data_Obs!$AD$1)</f>
        <v>0</v>
      </c>
      <c r="AE2" s="850">
        <f>COUNTIFS(Obs!$G:$G,Data_Obs!$B2,Obs!$AI:$AI,Data_Obs!$AE$1)</f>
        <v>0</v>
      </c>
      <c r="AF2" s="850">
        <f>COUNTIFS(Obs!$G:$G,Data_Obs!$B2,Obs!$AI:$AI,Data_Obs!$AF$1)</f>
        <v>0</v>
      </c>
      <c r="AG2" s="850">
        <f>COUNTIFS(Obs!$G:$G,Data_Obs!$B2,Obs!$AI:$AI,Data_Obs!$AG$1)</f>
        <v>0</v>
      </c>
      <c r="AH2" s="850">
        <f>COUNTIFS(Obs!$G:$G,Data_Obs!$B2,Obs!$AI:$AI,Data_Obs!$AH$1)</f>
        <v>0</v>
      </c>
      <c r="AI2" s="850">
        <f>COUNTIFS(Obs!$G:$G,Data_Obs!$B2,Obs!$AI:$AI,Data_Obs!$AI$1)</f>
        <v>0</v>
      </c>
      <c r="AJ2" s="850">
        <f>COUNTIFS(Obs!$G:$G,Data_Obs!$B2,Obs!$AI:$AI,Data_Obs!$AJ$1)</f>
        <v>0</v>
      </c>
      <c r="AK2" s="850">
        <f>COUNTIFS(Obs!$G:$G,Data_Obs!$B2,Obs!$AI:$AI,Data_Obs!$AK$1)</f>
        <v>0</v>
      </c>
      <c r="AL2" s="850">
        <f>COUNTIFS(Obs!$G:$G,Data_Obs!$B2,Obs!$AI:$AI,Data_Obs!$AL$1)</f>
        <v>0</v>
      </c>
      <c r="AM2" s="850">
        <f>COUNTIFS(Obs!$G:$G,Data_Obs!$B2,Obs!$AI:$AI,Data_Obs!$AM$1)</f>
        <v>0</v>
      </c>
      <c r="AN2" s="850">
        <f>COUNTIFS(Obs!$G:$G,Data_Obs!$B2,Obs!$AI:$AI,Data_Obs!$AN$1)</f>
        <v>0</v>
      </c>
      <c r="AO2" s="850">
        <f>COUNTIFS(Obs!$G:$G,Data_Obs!$B2,Obs!$AI:$AI,Data_Obs!$AO$1)</f>
        <v>0</v>
      </c>
      <c r="AP2" s="850">
        <f>COUNTIFS(Obs!$G:$G,Data_Obs!$B2,Obs!$AI:$AI,Data_Obs!$AP$1)</f>
        <v>0</v>
      </c>
      <c r="AQ2" s="850">
        <f>COUNTIFS(Obs!$G:$G,Data_Obs!$B2,Obs!$AI:$AI,Data_Obs!$AQ$1)</f>
        <v>0</v>
      </c>
      <c r="AR2" s="850">
        <f>COUNTIFS(Obs!$G:$G,Data_Obs!$B2,Obs!$AI:$AI,Data_Obs!$AR$1)</f>
        <v>0</v>
      </c>
      <c r="AS2" s="850">
        <f>COUNTIFS(Obs!$G:$G,Data_Obs!$B2,Obs!$AI:$AI,Data_Obs!$AS$1)</f>
        <v>0</v>
      </c>
      <c r="AT2" s="850">
        <f>COUNTIFS(Obs!$G:$G,Data_Obs!$B2,Obs!$AI:$AI,Data_Obs!$AT$1)</f>
        <v>0</v>
      </c>
      <c r="AU2" s="850">
        <f>COUNTIFS(Obs!$G:$G,Data_Obs!$B2,Obs!$AI:$AI,Data_Obs!$AU$1)</f>
        <v>0</v>
      </c>
      <c r="AV2" s="850">
        <f>COUNTIFS(Obs!$G:$G,Data_Obs!$B2,Obs!$AI:$AI,Data_Obs!$AV$1)</f>
        <v>0</v>
      </c>
      <c r="AW2" s="850">
        <f>COUNTIFS(Obs!$G:$G,Data_Obs!$B2,Obs!$AI:$AI,Data_Obs!$AW$1)</f>
        <v>0</v>
      </c>
      <c r="AX2" s="850">
        <f>COUNTIFS(Obs!$G:$G,Data_Obs!$B2,Obs!$AI:$AI,Data_Obs!$AX$1)</f>
        <v>0</v>
      </c>
      <c r="AY2" s="850">
        <f>COUNTIFS(Obs!$G:$G,Data_Obs!$B2,Obs!$AI:$AI,Data_Obs!$AY$1)</f>
        <v>0</v>
      </c>
      <c r="AZ2" s="850">
        <f>COUNTIFS(Obs!$G:$G,Data_Obs!$B2,Obs!$AI:$AI,Data_Obs!$AZ$1)</f>
        <v>0</v>
      </c>
      <c r="BA2" s="850">
        <f>COUNTIFS(Obs!$G:$G,Data_Obs!$B2,Obs!$AI:$AI,Data_Obs!$BA$1)</f>
        <v>0</v>
      </c>
      <c r="BB2" s="850">
        <f>COUNTIFS(Obs!$G:$G,Data_Obs!$B2,Obs!$AI:$AI,Data_Obs!$BB$1)</f>
        <v>0</v>
      </c>
      <c r="BC2" s="850">
        <f>COUNTIFS(Obs!$G:$G,Data_Obs!$B2,Obs!$AI:$AI,Data_Obs!$BC$1)</f>
        <v>0</v>
      </c>
      <c r="BD2" s="850">
        <f>COUNTIFS(Obs!$G:$G,Data_Obs!$B2,Obs!$AI:$AI,Data_Obs!$BD$1)</f>
        <v>0</v>
      </c>
      <c r="BE2" s="850">
        <f>COUNTIFS(Obs!$G:$G,Data_Obs!$B2,Obs!$AI:$AI,Data_Obs!$BE$1)</f>
        <v>0</v>
      </c>
      <c r="BF2" s="850">
        <f>COUNTIFS(Obs!$G:$G,Data_Obs!$B2,Obs!$AI:$AI,Data_Obs!$BF$1)</f>
        <v>0</v>
      </c>
      <c r="BG2" s="850">
        <f>COUNTIFS(Obs!$G:$G,Data_Obs!$B2,Obs!$AI:$AI,Data_Obs!$BG$1)</f>
        <v>0</v>
      </c>
      <c r="BH2" s="854">
        <f>COUNTIFS(Obs!$G:$G,Data_Obs!$B2,Obs!$AI:$AI,Data_Obs!$BH$1)</f>
        <v>0</v>
      </c>
    </row>
    <row r="3" spans="1:60" ht="30" customHeight="1">
      <c r="A3" s="841">
        <v>2</v>
      </c>
      <c r="B3" s="802" t="s">
        <v>1161</v>
      </c>
      <c r="C3" s="596" t="s">
        <v>2846</v>
      </c>
      <c r="D3" s="98">
        <f t="shared" si="0"/>
        <v>1</v>
      </c>
      <c r="E3" s="30" t="str">
        <f>IF(COUNTIFS(Obs!$G:$G, Data_Obs!B3,
             Obs!$B:$B, "Opening",
             Obs!$F:$F, "Observation")=0,
   "-",
   COUNTIFS(Obs!$G:$G, Data_Obs!B3,
            Obs!$B:$B, "Opening",
            Obs!$F:$F, "Observation"))</f>
        <v>-</v>
      </c>
      <c r="F3" s="30">
        <f>IF(COUNTIFS(Obs!$G:$G, Data_Obs!B3,
             Obs!$B:$B, "Closed",
             Obs!$F:$F, "Observation")=0,
   "-",
   COUNTIFS(Obs!$G:$G, Data_Obs!B3,
            Obs!$B:$B, "Closed",
            Obs!$F:$F, "Observation"))</f>
        <v>1</v>
      </c>
      <c r="G3" s="32" t="str">
        <f>IF(COUNTIFS(Obs!$G:$G, Data_Obs!B3,
             Obs!$B:$B, Data_Obs!#REF!,
             Obs!$F:$F, "Request for Obs")=0,
   "-",
   COUNTIFS(Obs!$G:$G, Data_Obs!B3,
            Obs!$B:$B, Data_Obs!#REF!,
            Obs!$F:$F, "Request for Obs"))</f>
        <v>-</v>
      </c>
      <c r="H3" s="796" t="str">
        <f>IF(COUNTIFS(Obs!$G:$G, Data_Obs!B3,
             Obs!$B:$B, Data_Obs!#REF!,
             Obs!$F:$F, "Request for Obs")=0,
   "-",
   COUNTIFS(Obs!$G:$G, Data_Obs!B3,
            Obs!$B:$B, Data_Obs!#REF!,
            Obs!$F:$F, "Request for Obs"))</f>
        <v>-</v>
      </c>
      <c r="I3" s="859" t="str">
        <f>_xlfn.LET(
    _xlpm.countA, COUNTIFS(Obs!Q:Q, "*Cat A*", Obs!G:G, Data_Obs!B3),
    _xlpm.countB, COUNTIFS(Obs!Q:Q, "*Cat B*", Obs!G:G, Data_Obs!B3),
    _xlpm.total, _xlpm.countA + _xlpm.countB,
    IF(_xlpm.total = 0, "-", _xlpm.total)
)</f>
        <v>-</v>
      </c>
      <c r="J3" s="30">
        <f>IF(COUNTIFS(Obs!Q:Q,"*Cat C*",Obs!G:G,Data_Obs!B3)=0,"-",COUNTIFS(Obs!Q:Q,"*Cat C*",Obs!G:G,Data_Obs!B3))</f>
        <v>1</v>
      </c>
      <c r="K3" s="847" t="str">
        <f t="shared" si="1"/>
        <v>-</v>
      </c>
      <c r="L3" s="847">
        <f t="shared" si="2"/>
        <v>1</v>
      </c>
      <c r="M3" s="98">
        <f>COUNTIFS(Obs!$G:$G,Data_Obs!$B3,Obs!$AI:$AI,Data_Obs!$M$1)</f>
        <v>0</v>
      </c>
      <c r="N3" s="98">
        <f>COUNTIFS(Obs!$G:$G,Data_Obs!$B3,Obs!$AI:$AI,Data_Obs!$N$1)</f>
        <v>0</v>
      </c>
      <c r="O3" s="98">
        <f>COUNTIFS(Obs!$G:$G,Data_Obs!$B3,Obs!$AI:$AI,Data_Obs!$O$1)</f>
        <v>0</v>
      </c>
      <c r="P3" s="98">
        <f>COUNTIFS(Obs!$G:$G,Data_Obs!$B3,Obs!$AI:$AI,Data_Obs!$P$1)</f>
        <v>0</v>
      </c>
      <c r="Q3" s="98">
        <f>COUNTIFS(Obs!$G:$G,Data_Obs!$B3,Obs!$AI:$AI,Data_Obs!$Q$1)</f>
        <v>0</v>
      </c>
      <c r="R3" s="98">
        <f>COUNTIFS(Obs!$G:$G,Data_Obs!$B3,Obs!$AI:$AI,Data_Obs!$R$1)</f>
        <v>0</v>
      </c>
      <c r="S3" s="98">
        <f>COUNTIFS(Obs!$G:$G,Data_Obs!$B3,Obs!$AI:$AI,Data_Obs!$S$1)</f>
        <v>0</v>
      </c>
      <c r="T3" s="98">
        <f>COUNTIFS(Obs!$G:$G,Data_Obs!$B3,Obs!$AI:$AI,Data_Obs!$T$1)</f>
        <v>0</v>
      </c>
      <c r="U3" s="98">
        <f>COUNTIFS(Obs!$G:$G,Data_Obs!$B3,Obs!$AI:$AI,Data_Obs!$U$1)</f>
        <v>0</v>
      </c>
      <c r="V3" s="98">
        <f>COUNTIFS(Obs!$G:$G,Data_Obs!$B3,Obs!$AI:$AI,Data_Obs!$V$1)</f>
        <v>0</v>
      </c>
      <c r="W3" s="98">
        <f>COUNTIFS(Obs!$G:$G,Data_Obs!$B3,Obs!$AI:$AI,Data_Obs!$W$1)</f>
        <v>0</v>
      </c>
      <c r="X3" s="98">
        <f>COUNTIFS(Obs!$G:$G,Data_Obs!$B3,Obs!$AI:$AI,Data_Obs!$X$1)</f>
        <v>0</v>
      </c>
      <c r="Y3" s="98">
        <f>COUNTIFS(Obs!$G:$G,Data_Obs!$B3,Obs!$AI:$AI,Data_Obs!$Y$1)</f>
        <v>0</v>
      </c>
      <c r="Z3" s="98">
        <f>COUNTIFS(Obs!$G:$G,Data_Obs!$B3,Obs!$AI:$AI,Data_Obs!$Z$1)</f>
        <v>0</v>
      </c>
      <c r="AA3" s="98">
        <f>COUNTIFS(Obs!$G:$G,Data_Obs!$B3,Obs!$AI:$AI,Data_Obs!$AA$1)</f>
        <v>0</v>
      </c>
      <c r="AB3" s="98">
        <f>COUNTIFS(Obs!$G:$G,Data_Obs!$B3,Obs!$AI:$AI,Data_Obs!$AB$1)</f>
        <v>0</v>
      </c>
      <c r="AC3" s="98">
        <f>COUNTIFS(Obs!$G:$G,Data_Obs!$B3,Obs!$AI:$AI,Data_Obs!$AC$1)</f>
        <v>0</v>
      </c>
      <c r="AD3" s="98">
        <f>COUNTIFS(Obs!$G:$G,Data_Obs!$B3,Obs!$AI:$AI,Data_Obs!$AD$1)</f>
        <v>0</v>
      </c>
      <c r="AE3" s="98">
        <f>COUNTIFS(Obs!$G:$G,Data_Obs!$B3,Obs!$AI:$AI,Data_Obs!$AE$1)</f>
        <v>0</v>
      </c>
      <c r="AF3" s="98">
        <f>COUNTIFS(Obs!$G:$G,Data_Obs!$B3,Obs!$AI:$AI,Data_Obs!$AF$1)</f>
        <v>0</v>
      </c>
      <c r="AG3" s="98">
        <f>COUNTIFS(Obs!$G:$G,Data_Obs!$B3,Obs!$AI:$AI,Data_Obs!$AG$1)</f>
        <v>0</v>
      </c>
      <c r="AH3" s="98">
        <f>COUNTIFS(Obs!$G:$G,Data_Obs!$B3,Obs!$AI:$AI,Data_Obs!$AH$1)</f>
        <v>0</v>
      </c>
      <c r="AI3" s="98">
        <f>COUNTIFS(Obs!$G:$G,Data_Obs!$B3,Obs!$AI:$AI,Data_Obs!$AI$1)</f>
        <v>0</v>
      </c>
      <c r="AJ3" s="98">
        <f>COUNTIFS(Obs!$G:$G,Data_Obs!$B3,Obs!$AI:$AI,Data_Obs!$AJ$1)</f>
        <v>0</v>
      </c>
      <c r="AK3" s="98">
        <f>COUNTIFS(Obs!$G:$G,Data_Obs!$B3,Obs!$AI:$AI,Data_Obs!$AK$1)</f>
        <v>0</v>
      </c>
      <c r="AL3" s="98">
        <f>COUNTIFS(Obs!$G:$G,Data_Obs!$B3,Obs!$AI:$AI,Data_Obs!$AL$1)</f>
        <v>0</v>
      </c>
      <c r="AM3" s="98">
        <f>COUNTIFS(Obs!$G:$G,Data_Obs!$B3,Obs!$AI:$AI,Data_Obs!$AM$1)</f>
        <v>0</v>
      </c>
      <c r="AN3" s="98">
        <f>COUNTIFS(Obs!$G:$G,Data_Obs!$B3,Obs!$AI:$AI,Data_Obs!$AN$1)</f>
        <v>0</v>
      </c>
      <c r="AO3" s="98">
        <f>COUNTIFS(Obs!$G:$G,Data_Obs!$B3,Obs!$AI:$AI,Data_Obs!$AO$1)</f>
        <v>1</v>
      </c>
      <c r="AP3" s="98">
        <f>COUNTIFS(Obs!$G:$G,Data_Obs!$B3,Obs!$AI:$AI,Data_Obs!$AP$1)</f>
        <v>0</v>
      </c>
      <c r="AQ3" s="98">
        <f>COUNTIFS(Obs!$G:$G,Data_Obs!$B3,Obs!$AI:$AI,Data_Obs!$AQ$1)</f>
        <v>0</v>
      </c>
      <c r="AR3" s="98">
        <f>COUNTIFS(Obs!$G:$G,Data_Obs!$B3,Obs!$AI:$AI,Data_Obs!$AR$1)</f>
        <v>0</v>
      </c>
      <c r="AS3" s="98">
        <f>COUNTIFS(Obs!$G:$G,Data_Obs!$B3,Obs!$AI:$AI,Data_Obs!$AS$1)</f>
        <v>0</v>
      </c>
      <c r="AT3" s="98">
        <f>COUNTIFS(Obs!$G:$G,Data_Obs!$B3,Obs!$AI:$AI,Data_Obs!$AT$1)</f>
        <v>0</v>
      </c>
      <c r="AU3" s="98">
        <f>COUNTIFS(Obs!$G:$G,Data_Obs!$B3,Obs!$AI:$AI,Data_Obs!$AU$1)</f>
        <v>0</v>
      </c>
      <c r="AV3" s="98">
        <f>COUNTIFS(Obs!$G:$G,Data_Obs!$B3,Obs!$AI:$AI,Data_Obs!$AV$1)</f>
        <v>0</v>
      </c>
      <c r="AW3" s="98">
        <f>COUNTIFS(Obs!$G:$G,Data_Obs!$B3,Obs!$AI:$AI,Data_Obs!$AW$1)</f>
        <v>0</v>
      </c>
      <c r="AX3" s="98">
        <f>COUNTIFS(Obs!$G:$G,Data_Obs!$B3,Obs!$AI:$AI,Data_Obs!$AX$1)</f>
        <v>0</v>
      </c>
      <c r="AY3" s="98">
        <f>COUNTIFS(Obs!$G:$G,Data_Obs!$B3,Obs!$AI:$AI,Data_Obs!$AY$1)</f>
        <v>0</v>
      </c>
      <c r="AZ3" s="98">
        <f>COUNTIFS(Obs!$G:$G,Data_Obs!$B3,Obs!$AI:$AI,Data_Obs!$AZ$1)</f>
        <v>0</v>
      </c>
      <c r="BA3" s="98">
        <f>COUNTIFS(Obs!$G:$G,Data_Obs!$B3,Obs!$AI:$AI,Data_Obs!$BA$1)</f>
        <v>0</v>
      </c>
      <c r="BB3" s="98">
        <f>COUNTIFS(Obs!$G:$G,Data_Obs!$B3,Obs!$AI:$AI,Data_Obs!$BB$1)</f>
        <v>0</v>
      </c>
      <c r="BC3" s="98">
        <f>COUNTIFS(Obs!$G:$G,Data_Obs!$B3,Obs!$AI:$AI,Data_Obs!$BC$1)</f>
        <v>0</v>
      </c>
      <c r="BD3" s="98">
        <f>COUNTIFS(Obs!$G:$G,Data_Obs!$B3,Obs!$AI:$AI,Data_Obs!$BD$1)</f>
        <v>0</v>
      </c>
      <c r="BE3" s="98">
        <f>COUNTIFS(Obs!$G:$G,Data_Obs!$B3,Obs!$AI:$AI,Data_Obs!$BE$1)</f>
        <v>0</v>
      </c>
      <c r="BF3" s="98">
        <f>COUNTIFS(Obs!$G:$G,Data_Obs!$B3,Obs!$AI:$AI,Data_Obs!$BF$1)</f>
        <v>0</v>
      </c>
      <c r="BG3" s="98">
        <f>COUNTIFS(Obs!$G:$G,Data_Obs!$B3,Obs!$AI:$AI,Data_Obs!$BG$1)</f>
        <v>0</v>
      </c>
      <c r="BH3" s="97">
        <f>COUNTIFS(Obs!$G:$G,Data_Obs!$B3,Obs!$AI:$AI,Data_Obs!$BH$1)</f>
        <v>0</v>
      </c>
    </row>
    <row r="4" spans="1:60" s="33" customFormat="1" ht="30" customHeight="1">
      <c r="A4" s="841">
        <v>3</v>
      </c>
      <c r="B4" s="802" t="s">
        <v>2725</v>
      </c>
      <c r="C4" s="596" t="s">
        <v>2825</v>
      </c>
      <c r="D4" s="98" t="str">
        <f t="shared" si="0"/>
        <v>-</v>
      </c>
      <c r="E4" s="30" t="str">
        <f>IF(COUNTIFS(Obs!$G:$G, Data_Obs!B4,
             Obs!$B:$B, "Opening",
             Obs!$F:$F, "Observation")=0,
   "-",
   COUNTIFS(Obs!$G:$G, Data_Obs!B4,
            Obs!$B:$B, "Opening",
            Obs!$F:$F, "Observation"))</f>
        <v>-</v>
      </c>
      <c r="F4" s="30" t="str">
        <f>IF(COUNTIFS(Obs!$G:$G, Data_Obs!B4,
             Obs!$B:$B, "Closed",
             Obs!$F:$F, "Observation")=0,
   "-",
   COUNTIFS(Obs!$G:$G, Data_Obs!B4,
            Obs!$B:$B, "Closed",
            Obs!$F:$F, "Observation"))</f>
        <v>-</v>
      </c>
      <c r="G4" s="32" t="str">
        <f>IF(COUNTIFS(Obs!$G:$G, Data_Obs!B4,
             Obs!$B:$B, Data_Obs!#REF!,
             Obs!$F:$F, "Request for Obs")=0,
   "-",
   COUNTIFS(Obs!$G:$G, Data_Obs!B4,
            Obs!$B:$B, Data_Obs!#REF!,
            Obs!$F:$F, "Request for Obs"))</f>
        <v>-</v>
      </c>
      <c r="H4" s="796" t="str">
        <f>IF(COUNTIFS(Obs!$G:$G, Data_Obs!B4,
             Obs!$B:$B, Data_Obs!#REF!,
             Obs!$F:$F, "Request for Obs")=0,
   "-",
   COUNTIFS(Obs!$G:$G, Data_Obs!B4,
            Obs!$B:$B, Data_Obs!#REF!,
            Obs!$F:$F, "Request for Obs"))</f>
        <v>-</v>
      </c>
      <c r="I4" s="859" t="str">
        <f>_xlfn.LET(
    _xlpm.countA, COUNTIFS(Obs!Q:Q, "*Cat A*", Obs!G:G, Data_Obs!B4),
    _xlpm.countB, COUNTIFS(Obs!Q:Q, "*Cat B*", Obs!G:G, Data_Obs!B4),
    _xlpm.total, _xlpm.countA + _xlpm.countB,
    IF(_xlpm.total = 0, "-", _xlpm.total)
)</f>
        <v>-</v>
      </c>
      <c r="J4" s="30" t="str">
        <f>IF(COUNTIFS(Obs!Q:Q,"*Cat C*",Obs!G:G,Data_Obs!B4)=0,"-",COUNTIFS(Obs!Q:Q,"*Cat C*",Obs!G:G,Data_Obs!B4))</f>
        <v>-</v>
      </c>
      <c r="K4" s="847" t="str">
        <f t="shared" si="1"/>
        <v>-</v>
      </c>
      <c r="L4" s="847" t="str">
        <f t="shared" si="2"/>
        <v>-</v>
      </c>
      <c r="M4" s="98">
        <f>COUNTIFS(Obs!$G:$G,Data_Obs!$B4,Obs!$AI:$AI,Data_Obs!$M$1)</f>
        <v>0</v>
      </c>
      <c r="N4" s="98">
        <f>COUNTIFS(Obs!$G:$G,Data_Obs!$B4,Obs!$AI:$AI,Data_Obs!$N$1)</f>
        <v>0</v>
      </c>
      <c r="O4" s="98">
        <f>COUNTIFS(Obs!$G:$G,Data_Obs!$B4,Obs!$AI:$AI,Data_Obs!$O$1)</f>
        <v>0</v>
      </c>
      <c r="P4" s="98">
        <f>COUNTIFS(Obs!$G:$G,Data_Obs!$B4,Obs!$AI:$AI,Data_Obs!$P$1)</f>
        <v>0</v>
      </c>
      <c r="Q4" s="98">
        <f>COUNTIFS(Obs!$G:$G,Data_Obs!$B4,Obs!$AI:$AI,Data_Obs!$Q$1)</f>
        <v>0</v>
      </c>
      <c r="R4" s="98">
        <f>COUNTIFS(Obs!$G:$G,Data_Obs!$B4,Obs!$AI:$AI,Data_Obs!$R$1)</f>
        <v>0</v>
      </c>
      <c r="S4" s="98">
        <f>COUNTIFS(Obs!$G:$G,Data_Obs!$B4,Obs!$AI:$AI,Data_Obs!$S$1)</f>
        <v>0</v>
      </c>
      <c r="T4" s="98">
        <f>COUNTIFS(Obs!$G:$G,Data_Obs!$B4,Obs!$AI:$AI,Data_Obs!$T$1)</f>
        <v>0</v>
      </c>
      <c r="U4" s="98">
        <f>COUNTIFS(Obs!$G:$G,Data_Obs!$B4,Obs!$AI:$AI,Data_Obs!$U$1)</f>
        <v>0</v>
      </c>
      <c r="V4" s="98">
        <f>COUNTIFS(Obs!$G:$G,Data_Obs!$B4,Obs!$AI:$AI,Data_Obs!$V$1)</f>
        <v>0</v>
      </c>
      <c r="W4" s="98">
        <f>COUNTIFS(Obs!$G:$G,Data_Obs!$B4,Obs!$AI:$AI,Data_Obs!$W$1)</f>
        <v>0</v>
      </c>
      <c r="X4" s="98">
        <f>COUNTIFS(Obs!$G:$G,Data_Obs!$B4,Obs!$AI:$AI,Data_Obs!$X$1)</f>
        <v>0</v>
      </c>
      <c r="Y4" s="98">
        <f>COUNTIFS(Obs!$G:$G,Data_Obs!$B4,Obs!$AI:$AI,Data_Obs!$Y$1)</f>
        <v>0</v>
      </c>
      <c r="Z4" s="98">
        <f>COUNTIFS(Obs!$G:$G,Data_Obs!$B4,Obs!$AI:$AI,Data_Obs!$Z$1)</f>
        <v>0</v>
      </c>
      <c r="AA4" s="98">
        <f>COUNTIFS(Obs!$G:$G,Data_Obs!$B4,Obs!$AI:$AI,Data_Obs!$AA$1)</f>
        <v>0</v>
      </c>
      <c r="AB4" s="98">
        <f>COUNTIFS(Obs!$G:$G,Data_Obs!$B4,Obs!$AI:$AI,Data_Obs!$AB$1)</f>
        <v>0</v>
      </c>
      <c r="AC4" s="98">
        <f>COUNTIFS(Obs!$G:$G,Data_Obs!$B4,Obs!$AI:$AI,Data_Obs!$AC$1)</f>
        <v>0</v>
      </c>
      <c r="AD4" s="98">
        <f>COUNTIFS(Obs!$G:$G,Data_Obs!$B4,Obs!$AI:$AI,Data_Obs!$AD$1)</f>
        <v>0</v>
      </c>
      <c r="AE4" s="98">
        <f>COUNTIFS(Obs!$G:$G,Data_Obs!$B4,Obs!$AI:$AI,Data_Obs!$AE$1)</f>
        <v>0</v>
      </c>
      <c r="AF4" s="98">
        <f>COUNTIFS(Obs!$G:$G,Data_Obs!$B4,Obs!$AI:$AI,Data_Obs!$AF$1)</f>
        <v>0</v>
      </c>
      <c r="AG4" s="98">
        <f>COUNTIFS(Obs!$G:$G,Data_Obs!$B4,Obs!$AI:$AI,Data_Obs!$AG$1)</f>
        <v>0</v>
      </c>
      <c r="AH4" s="98">
        <f>COUNTIFS(Obs!$G:$G,Data_Obs!$B4,Obs!$AI:$AI,Data_Obs!$AH$1)</f>
        <v>0</v>
      </c>
      <c r="AI4" s="98">
        <f>COUNTIFS(Obs!$G:$G,Data_Obs!$B4,Obs!$AI:$AI,Data_Obs!$AI$1)</f>
        <v>0</v>
      </c>
      <c r="AJ4" s="98">
        <f>COUNTIFS(Obs!$G:$G,Data_Obs!$B4,Obs!$AI:$AI,Data_Obs!$AJ$1)</f>
        <v>0</v>
      </c>
      <c r="AK4" s="98">
        <f>COUNTIFS(Obs!$G:$G,Data_Obs!$B4,Obs!$AI:$AI,Data_Obs!$AK$1)</f>
        <v>0</v>
      </c>
      <c r="AL4" s="98">
        <f>COUNTIFS(Obs!$G:$G,Data_Obs!$B4,Obs!$AI:$AI,Data_Obs!$AL$1)</f>
        <v>0</v>
      </c>
      <c r="AM4" s="98">
        <f>COUNTIFS(Obs!$G:$G,Data_Obs!$B4,Obs!$AI:$AI,Data_Obs!$AM$1)</f>
        <v>0</v>
      </c>
      <c r="AN4" s="98">
        <f>COUNTIFS(Obs!$G:$G,Data_Obs!$B4,Obs!$AI:$AI,Data_Obs!$AN$1)</f>
        <v>0</v>
      </c>
      <c r="AO4" s="98">
        <f>COUNTIFS(Obs!$G:$G,Data_Obs!$B4,Obs!$AI:$AI,Data_Obs!$AO$1)</f>
        <v>0</v>
      </c>
      <c r="AP4" s="98">
        <f>COUNTIFS(Obs!$G:$G,Data_Obs!$B4,Obs!$AI:$AI,Data_Obs!$AP$1)</f>
        <v>0</v>
      </c>
      <c r="AQ4" s="98">
        <f>COUNTIFS(Obs!$G:$G,Data_Obs!$B4,Obs!$AI:$AI,Data_Obs!$AQ$1)</f>
        <v>0</v>
      </c>
      <c r="AR4" s="98">
        <f>COUNTIFS(Obs!$G:$G,Data_Obs!$B4,Obs!$AI:$AI,Data_Obs!$AR$1)</f>
        <v>0</v>
      </c>
      <c r="AS4" s="98">
        <f>COUNTIFS(Obs!$G:$G,Data_Obs!$B4,Obs!$AI:$AI,Data_Obs!$AS$1)</f>
        <v>0</v>
      </c>
      <c r="AT4" s="98">
        <f>COUNTIFS(Obs!$G:$G,Data_Obs!$B4,Obs!$AI:$AI,Data_Obs!$AT$1)</f>
        <v>0</v>
      </c>
      <c r="AU4" s="98">
        <f>COUNTIFS(Obs!$G:$G,Data_Obs!$B4,Obs!$AI:$AI,Data_Obs!$AU$1)</f>
        <v>0</v>
      </c>
      <c r="AV4" s="98">
        <f>COUNTIFS(Obs!$G:$G,Data_Obs!$B4,Obs!$AI:$AI,Data_Obs!$AV$1)</f>
        <v>0</v>
      </c>
      <c r="AW4" s="98">
        <f>COUNTIFS(Obs!$G:$G,Data_Obs!$B4,Obs!$AI:$AI,Data_Obs!$AW$1)</f>
        <v>0</v>
      </c>
      <c r="AX4" s="98">
        <f>COUNTIFS(Obs!$G:$G,Data_Obs!$B4,Obs!$AI:$AI,Data_Obs!$AX$1)</f>
        <v>0</v>
      </c>
      <c r="AY4" s="98">
        <f>COUNTIFS(Obs!$G:$G,Data_Obs!$B4,Obs!$AI:$AI,Data_Obs!$AY$1)</f>
        <v>0</v>
      </c>
      <c r="AZ4" s="98">
        <f>COUNTIFS(Obs!$G:$G,Data_Obs!$B4,Obs!$AI:$AI,Data_Obs!$AZ$1)</f>
        <v>0</v>
      </c>
      <c r="BA4" s="98">
        <f>COUNTIFS(Obs!$G:$G,Data_Obs!$B4,Obs!$AI:$AI,Data_Obs!$BA$1)</f>
        <v>0</v>
      </c>
      <c r="BB4" s="98">
        <f>COUNTIFS(Obs!$G:$G,Data_Obs!$B4,Obs!$AI:$AI,Data_Obs!$BB$1)</f>
        <v>0</v>
      </c>
      <c r="BC4" s="98">
        <f>COUNTIFS(Obs!$G:$G,Data_Obs!$B4,Obs!$AI:$AI,Data_Obs!$BC$1)</f>
        <v>0</v>
      </c>
      <c r="BD4" s="98">
        <f>COUNTIFS(Obs!$G:$G,Data_Obs!$B4,Obs!$AI:$AI,Data_Obs!$BD$1)</f>
        <v>0</v>
      </c>
      <c r="BE4" s="98">
        <f>COUNTIFS(Obs!$G:$G,Data_Obs!$B4,Obs!$AI:$AI,Data_Obs!$BE$1)</f>
        <v>0</v>
      </c>
      <c r="BF4" s="98">
        <f>COUNTIFS(Obs!$G:$G,Data_Obs!$B4,Obs!$AI:$AI,Data_Obs!$BF$1)</f>
        <v>0</v>
      </c>
      <c r="BG4" s="98">
        <f>COUNTIFS(Obs!$G:$G,Data_Obs!$B4,Obs!$AI:$AI,Data_Obs!$BG$1)</f>
        <v>0</v>
      </c>
      <c r="BH4" s="97">
        <f>COUNTIFS(Obs!$G:$G,Data_Obs!$B4,Obs!$AI:$AI,Data_Obs!$BH$1)</f>
        <v>0</v>
      </c>
    </row>
    <row r="5" spans="1:60" s="40" customFormat="1" ht="30" customHeight="1">
      <c r="A5" s="841">
        <v>4</v>
      </c>
      <c r="B5" s="802" t="s">
        <v>1454</v>
      </c>
      <c r="C5" s="596" t="s">
        <v>2847</v>
      </c>
      <c r="D5" s="98" t="str">
        <f t="shared" si="0"/>
        <v>-</v>
      </c>
      <c r="E5" s="30" t="str">
        <f>IF(COUNTIFS(Obs!$G:$G, Data_Obs!B5,
             Obs!$B:$B, "Opening",
             Obs!$F:$F, "Observation")=0,
   "-",
   COUNTIFS(Obs!$G:$G, Data_Obs!B5,
            Obs!$B:$B, "Opening",
            Obs!$F:$F, "Observation"))</f>
        <v>-</v>
      </c>
      <c r="F5" s="30" t="str">
        <f>IF(COUNTIFS(Obs!$G:$G, Data_Obs!B5,
             Obs!$B:$B, "Closed",
             Obs!$F:$F, "Observation")=0,
   "-",
   COUNTIFS(Obs!$G:$G, Data_Obs!B5,
            Obs!$B:$B, "Closed",
            Obs!$F:$F, "Observation"))</f>
        <v>-</v>
      </c>
      <c r="G5" s="32" t="str">
        <f>IF(COUNTIFS(Obs!$G:$G, Data_Obs!B5,
             Obs!$B:$B, Data_Obs!#REF!,
             Obs!$F:$F, "Request for Obs")=0,
   "-",
   COUNTIFS(Obs!$G:$G, Data_Obs!B5,
            Obs!$B:$B, Data_Obs!#REF!,
            Obs!$F:$F, "Request for Obs"))</f>
        <v>-</v>
      </c>
      <c r="H5" s="796" t="str">
        <f>IF(COUNTIFS(Obs!$G:$G, Data_Obs!B5,
             Obs!$B:$B, Data_Obs!#REF!,
             Obs!$F:$F, "Request for Obs")=0,
   "-",
   COUNTIFS(Obs!$G:$G, Data_Obs!B5,
            Obs!$B:$B, Data_Obs!#REF!,
            Obs!$F:$F, "Request for Obs"))</f>
        <v>-</v>
      </c>
      <c r="I5" s="859" t="str">
        <f>_xlfn.LET(
    _xlpm.countA, COUNTIFS(Obs!Q:Q, "*Cat A*", Obs!G:G, Data_Obs!B5),
    _xlpm.countB, COUNTIFS(Obs!Q:Q, "*Cat B*", Obs!G:G, Data_Obs!B5),
    _xlpm.total, _xlpm.countA + _xlpm.countB,
    IF(_xlpm.total = 0, "-", _xlpm.total)
)</f>
        <v>-</v>
      </c>
      <c r="J5" s="30" t="str">
        <f>IF(COUNTIFS(Obs!Q:Q,"*Cat C*",Obs!G:G,Data_Obs!B5)=0,"-",COUNTIFS(Obs!Q:Q,"*Cat C*",Obs!G:G,Data_Obs!B5))</f>
        <v>-</v>
      </c>
      <c r="K5" s="847" t="str">
        <f t="shared" si="1"/>
        <v>-</v>
      </c>
      <c r="L5" s="847" t="str">
        <f t="shared" si="2"/>
        <v>-</v>
      </c>
      <c r="M5" s="98">
        <f>COUNTIFS(Obs!$G:$G,Data_Obs!$B5,Obs!$AI:$AI,Data_Obs!$M$1)</f>
        <v>0</v>
      </c>
      <c r="N5" s="98">
        <f>COUNTIFS(Obs!$G:$G,Data_Obs!$B5,Obs!$AI:$AI,Data_Obs!$N$1)</f>
        <v>0</v>
      </c>
      <c r="O5" s="98">
        <f>COUNTIFS(Obs!$G:$G,Data_Obs!$B5,Obs!$AI:$AI,Data_Obs!$O$1)</f>
        <v>0</v>
      </c>
      <c r="P5" s="98">
        <f>COUNTIFS(Obs!$G:$G,Data_Obs!$B5,Obs!$AI:$AI,Data_Obs!$P$1)</f>
        <v>0</v>
      </c>
      <c r="Q5" s="98">
        <f>COUNTIFS(Obs!$G:$G,Data_Obs!$B5,Obs!$AI:$AI,Data_Obs!$Q$1)</f>
        <v>0</v>
      </c>
      <c r="R5" s="98">
        <f>COUNTIFS(Obs!$G:$G,Data_Obs!$B5,Obs!$AI:$AI,Data_Obs!$R$1)</f>
        <v>0</v>
      </c>
      <c r="S5" s="98">
        <f>COUNTIFS(Obs!$G:$G,Data_Obs!$B5,Obs!$AI:$AI,Data_Obs!$S$1)</f>
        <v>0</v>
      </c>
      <c r="T5" s="98">
        <f>COUNTIFS(Obs!$G:$G,Data_Obs!$B5,Obs!$AI:$AI,Data_Obs!$T$1)</f>
        <v>0</v>
      </c>
      <c r="U5" s="98">
        <f>COUNTIFS(Obs!$G:$G,Data_Obs!$B5,Obs!$AI:$AI,Data_Obs!$U$1)</f>
        <v>0</v>
      </c>
      <c r="V5" s="98">
        <f>COUNTIFS(Obs!$G:$G,Data_Obs!$B5,Obs!$AI:$AI,Data_Obs!$V$1)</f>
        <v>0</v>
      </c>
      <c r="W5" s="98">
        <f>COUNTIFS(Obs!$G:$G,Data_Obs!$B5,Obs!$AI:$AI,Data_Obs!$W$1)</f>
        <v>0</v>
      </c>
      <c r="X5" s="98">
        <f>COUNTIFS(Obs!$G:$G,Data_Obs!$B5,Obs!$AI:$AI,Data_Obs!$X$1)</f>
        <v>0</v>
      </c>
      <c r="Y5" s="98">
        <f>COUNTIFS(Obs!$G:$G,Data_Obs!$B5,Obs!$AI:$AI,Data_Obs!$Y$1)</f>
        <v>0</v>
      </c>
      <c r="Z5" s="98">
        <f>COUNTIFS(Obs!$G:$G,Data_Obs!$B5,Obs!$AI:$AI,Data_Obs!$Z$1)</f>
        <v>0</v>
      </c>
      <c r="AA5" s="98">
        <f>COUNTIFS(Obs!$G:$G,Data_Obs!$B5,Obs!$AI:$AI,Data_Obs!$AA$1)</f>
        <v>0</v>
      </c>
      <c r="AB5" s="98">
        <f>COUNTIFS(Obs!$G:$G,Data_Obs!$B5,Obs!$AI:$AI,Data_Obs!$AB$1)</f>
        <v>0</v>
      </c>
      <c r="AC5" s="98">
        <f>COUNTIFS(Obs!$G:$G,Data_Obs!$B5,Obs!$AI:$AI,Data_Obs!$AC$1)</f>
        <v>0</v>
      </c>
      <c r="AD5" s="98">
        <f>COUNTIFS(Obs!$G:$G,Data_Obs!$B5,Obs!$AI:$AI,Data_Obs!$AD$1)</f>
        <v>0</v>
      </c>
      <c r="AE5" s="98">
        <f>COUNTIFS(Obs!$G:$G,Data_Obs!$B5,Obs!$AI:$AI,Data_Obs!$AE$1)</f>
        <v>0</v>
      </c>
      <c r="AF5" s="98">
        <f>COUNTIFS(Obs!$G:$G,Data_Obs!$B5,Obs!$AI:$AI,Data_Obs!$AF$1)</f>
        <v>0</v>
      </c>
      <c r="AG5" s="98">
        <f>COUNTIFS(Obs!$G:$G,Data_Obs!$B5,Obs!$AI:$AI,Data_Obs!$AG$1)</f>
        <v>0</v>
      </c>
      <c r="AH5" s="98">
        <f>COUNTIFS(Obs!$G:$G,Data_Obs!$B5,Obs!$AI:$AI,Data_Obs!$AH$1)</f>
        <v>0</v>
      </c>
      <c r="AI5" s="98">
        <f>COUNTIFS(Obs!$G:$G,Data_Obs!$B5,Obs!$AI:$AI,Data_Obs!$AI$1)</f>
        <v>0</v>
      </c>
      <c r="AJ5" s="98">
        <f>COUNTIFS(Obs!$G:$G,Data_Obs!$B5,Obs!$AI:$AI,Data_Obs!$AJ$1)</f>
        <v>0</v>
      </c>
      <c r="AK5" s="98">
        <f>COUNTIFS(Obs!$G:$G,Data_Obs!$B5,Obs!$AI:$AI,Data_Obs!$AK$1)</f>
        <v>0</v>
      </c>
      <c r="AL5" s="98">
        <f>COUNTIFS(Obs!$G:$G,Data_Obs!$B5,Obs!$AI:$AI,Data_Obs!$AL$1)</f>
        <v>0</v>
      </c>
      <c r="AM5" s="98">
        <f>COUNTIFS(Obs!$G:$G,Data_Obs!$B5,Obs!$AI:$AI,Data_Obs!$AM$1)</f>
        <v>0</v>
      </c>
      <c r="AN5" s="98">
        <f>COUNTIFS(Obs!$G:$G,Data_Obs!$B5,Obs!$AI:$AI,Data_Obs!$AN$1)</f>
        <v>0</v>
      </c>
      <c r="AO5" s="98">
        <f>COUNTIFS(Obs!$G:$G,Data_Obs!$B5,Obs!$AI:$AI,Data_Obs!$AO$1)</f>
        <v>0</v>
      </c>
      <c r="AP5" s="98">
        <f>COUNTIFS(Obs!$G:$G,Data_Obs!$B5,Obs!$AI:$AI,Data_Obs!$AP$1)</f>
        <v>0</v>
      </c>
      <c r="AQ5" s="98">
        <f>COUNTIFS(Obs!$G:$G,Data_Obs!$B5,Obs!$AI:$AI,Data_Obs!$AQ$1)</f>
        <v>0</v>
      </c>
      <c r="AR5" s="98">
        <f>COUNTIFS(Obs!$G:$G,Data_Obs!$B5,Obs!$AI:$AI,Data_Obs!$AR$1)</f>
        <v>0</v>
      </c>
      <c r="AS5" s="98">
        <f>COUNTIFS(Obs!$G:$G,Data_Obs!$B5,Obs!$AI:$AI,Data_Obs!$AS$1)</f>
        <v>0</v>
      </c>
      <c r="AT5" s="98">
        <f>COUNTIFS(Obs!$G:$G,Data_Obs!$B5,Obs!$AI:$AI,Data_Obs!$AT$1)</f>
        <v>0</v>
      </c>
      <c r="AU5" s="98">
        <f>COUNTIFS(Obs!$G:$G,Data_Obs!$B5,Obs!$AI:$AI,Data_Obs!$AU$1)</f>
        <v>0</v>
      </c>
      <c r="AV5" s="98">
        <f>COUNTIFS(Obs!$G:$G,Data_Obs!$B5,Obs!$AI:$AI,Data_Obs!$AV$1)</f>
        <v>0</v>
      </c>
      <c r="AW5" s="98">
        <f>COUNTIFS(Obs!$G:$G,Data_Obs!$B5,Obs!$AI:$AI,Data_Obs!$AW$1)</f>
        <v>0</v>
      </c>
      <c r="AX5" s="98">
        <f>COUNTIFS(Obs!$G:$G,Data_Obs!$B5,Obs!$AI:$AI,Data_Obs!$AX$1)</f>
        <v>0</v>
      </c>
      <c r="AY5" s="98">
        <f>COUNTIFS(Obs!$G:$G,Data_Obs!$B5,Obs!$AI:$AI,Data_Obs!$AY$1)</f>
        <v>0</v>
      </c>
      <c r="AZ5" s="98">
        <f>COUNTIFS(Obs!$G:$G,Data_Obs!$B5,Obs!$AI:$AI,Data_Obs!$AZ$1)</f>
        <v>0</v>
      </c>
      <c r="BA5" s="98">
        <f>COUNTIFS(Obs!$G:$G,Data_Obs!$B5,Obs!$AI:$AI,Data_Obs!$BA$1)</f>
        <v>0</v>
      </c>
      <c r="BB5" s="98">
        <f>COUNTIFS(Obs!$G:$G,Data_Obs!$B5,Obs!$AI:$AI,Data_Obs!$BB$1)</f>
        <v>0</v>
      </c>
      <c r="BC5" s="98">
        <f>COUNTIFS(Obs!$G:$G,Data_Obs!$B5,Obs!$AI:$AI,Data_Obs!$BC$1)</f>
        <v>0</v>
      </c>
      <c r="BD5" s="98">
        <f>COUNTIFS(Obs!$G:$G,Data_Obs!$B5,Obs!$AI:$AI,Data_Obs!$BD$1)</f>
        <v>0</v>
      </c>
      <c r="BE5" s="98">
        <f>COUNTIFS(Obs!$G:$G,Data_Obs!$B5,Obs!$AI:$AI,Data_Obs!$BE$1)</f>
        <v>0</v>
      </c>
      <c r="BF5" s="98">
        <f>COUNTIFS(Obs!$G:$G,Data_Obs!$B5,Obs!$AI:$AI,Data_Obs!$BF$1)</f>
        <v>0</v>
      </c>
      <c r="BG5" s="98">
        <f>COUNTIFS(Obs!$G:$G,Data_Obs!$B5,Obs!$AI:$AI,Data_Obs!$BG$1)</f>
        <v>0</v>
      </c>
      <c r="BH5" s="97">
        <f>COUNTIFS(Obs!$G:$G,Data_Obs!$B5,Obs!$AI:$AI,Data_Obs!$BH$1)</f>
        <v>0</v>
      </c>
    </row>
    <row r="6" spans="1:60" s="40" customFormat="1" ht="30" customHeight="1">
      <c r="A6" s="841">
        <v>5</v>
      </c>
      <c r="B6" s="802" t="s">
        <v>1045</v>
      </c>
      <c r="C6" s="596" t="s">
        <v>2848</v>
      </c>
      <c r="D6" s="98" t="str">
        <f t="shared" si="0"/>
        <v>-</v>
      </c>
      <c r="E6" s="30" t="str">
        <f>IF(COUNTIFS(Obs!$G:$G, Data_Obs!B6,
             Obs!$B:$B, "Opening",
             Obs!$F:$F, "Observation")=0,
   "-",
   COUNTIFS(Obs!$G:$G, Data_Obs!B6,
            Obs!$B:$B, "Opening",
            Obs!$F:$F, "Observation"))</f>
        <v>-</v>
      </c>
      <c r="F6" s="30" t="str">
        <f>IF(COUNTIFS(Obs!$G:$G, Data_Obs!B6,
             Obs!$B:$B, "Closed",
             Obs!$F:$F, "Observation")=0,
   "-",
   COUNTIFS(Obs!$G:$G, Data_Obs!B6,
            Obs!$B:$B, "Closed",
            Obs!$F:$F, "Observation"))</f>
        <v>-</v>
      </c>
      <c r="G6" s="32" t="str">
        <f>IF(COUNTIFS(Obs!$G:$G, Data_Obs!B6,
             Obs!$B:$B, Data_Obs!#REF!,
             Obs!$F:$F, "Request for Obs")=0,
   "-",
   COUNTIFS(Obs!$G:$G, Data_Obs!B6,
            Obs!$B:$B, Data_Obs!#REF!,
            Obs!$F:$F, "Request for Obs"))</f>
        <v>-</v>
      </c>
      <c r="H6" s="796" t="str">
        <f>IF(COUNTIFS(Obs!$G:$G, Data_Obs!B6,
             Obs!$B:$B, Data_Obs!#REF!,
             Obs!$F:$F, "Request for Obs")=0,
   "-",
   COUNTIFS(Obs!$G:$G, Data_Obs!B6,
            Obs!$B:$B, Data_Obs!#REF!,
            Obs!$F:$F, "Request for Obs"))</f>
        <v>-</v>
      </c>
      <c r="I6" s="859" t="str">
        <f>_xlfn.LET(
    _xlpm.countA, COUNTIFS(Obs!Q:Q, "*Cat A*", Obs!G:G, Data_Obs!B6),
    _xlpm.countB, COUNTIFS(Obs!Q:Q, "*Cat B*", Obs!G:G, Data_Obs!B6),
    _xlpm.total, _xlpm.countA + _xlpm.countB,
    IF(_xlpm.total = 0, "-", _xlpm.total)
)</f>
        <v>-</v>
      </c>
      <c r="J6" s="30" t="str">
        <f>IF(COUNTIFS(Obs!Q:Q,"*Cat C*",Obs!G:G,Data_Obs!B6)=0,"-",COUNTIFS(Obs!Q:Q,"*Cat C*",Obs!G:G,Data_Obs!B6))</f>
        <v>-</v>
      </c>
      <c r="K6" s="847" t="str">
        <f t="shared" si="1"/>
        <v>-</v>
      </c>
      <c r="L6" s="847" t="str">
        <f t="shared" si="2"/>
        <v>-</v>
      </c>
      <c r="M6" s="98">
        <f>COUNTIFS(Obs!$G:$G,Data_Obs!$B6,Obs!$AI:$AI,Data_Obs!$M$1)</f>
        <v>0</v>
      </c>
      <c r="N6" s="98">
        <f>COUNTIFS(Obs!$G:$G,Data_Obs!$B6,Obs!$AI:$AI,Data_Obs!$N$1)</f>
        <v>0</v>
      </c>
      <c r="O6" s="98">
        <f>COUNTIFS(Obs!$G:$G,Data_Obs!$B6,Obs!$AI:$AI,Data_Obs!$O$1)</f>
        <v>0</v>
      </c>
      <c r="P6" s="98">
        <f>COUNTIFS(Obs!$G:$G,Data_Obs!$B6,Obs!$AI:$AI,Data_Obs!$P$1)</f>
        <v>0</v>
      </c>
      <c r="Q6" s="98">
        <f>COUNTIFS(Obs!$G:$G,Data_Obs!$B6,Obs!$AI:$AI,Data_Obs!$Q$1)</f>
        <v>0</v>
      </c>
      <c r="R6" s="98">
        <f>COUNTIFS(Obs!$G:$G,Data_Obs!$B6,Obs!$AI:$AI,Data_Obs!$R$1)</f>
        <v>0</v>
      </c>
      <c r="S6" s="98">
        <f>COUNTIFS(Obs!$G:$G,Data_Obs!$B6,Obs!$AI:$AI,Data_Obs!$S$1)</f>
        <v>0</v>
      </c>
      <c r="T6" s="98">
        <f>COUNTIFS(Obs!$G:$G,Data_Obs!$B6,Obs!$AI:$AI,Data_Obs!$T$1)</f>
        <v>0</v>
      </c>
      <c r="U6" s="98">
        <f>COUNTIFS(Obs!$G:$G,Data_Obs!$B6,Obs!$AI:$AI,Data_Obs!$U$1)</f>
        <v>0</v>
      </c>
      <c r="V6" s="98">
        <f>COUNTIFS(Obs!$G:$G,Data_Obs!$B6,Obs!$AI:$AI,Data_Obs!$V$1)</f>
        <v>0</v>
      </c>
      <c r="W6" s="98">
        <f>COUNTIFS(Obs!$G:$G,Data_Obs!$B6,Obs!$AI:$AI,Data_Obs!$W$1)</f>
        <v>0</v>
      </c>
      <c r="X6" s="98">
        <f>COUNTIFS(Obs!$G:$G,Data_Obs!$B6,Obs!$AI:$AI,Data_Obs!$X$1)</f>
        <v>0</v>
      </c>
      <c r="Y6" s="98">
        <f>COUNTIFS(Obs!$G:$G,Data_Obs!$B6,Obs!$AI:$AI,Data_Obs!$Y$1)</f>
        <v>0</v>
      </c>
      <c r="Z6" s="98">
        <f>COUNTIFS(Obs!$G:$G,Data_Obs!$B6,Obs!$AI:$AI,Data_Obs!$Z$1)</f>
        <v>0</v>
      </c>
      <c r="AA6" s="98">
        <f>COUNTIFS(Obs!$G:$G,Data_Obs!$B6,Obs!$AI:$AI,Data_Obs!$AA$1)</f>
        <v>0</v>
      </c>
      <c r="AB6" s="98">
        <f>COUNTIFS(Obs!$G:$G,Data_Obs!$B6,Obs!$AI:$AI,Data_Obs!$AB$1)</f>
        <v>0</v>
      </c>
      <c r="AC6" s="98">
        <f>COUNTIFS(Obs!$G:$G,Data_Obs!$B6,Obs!$AI:$AI,Data_Obs!$AC$1)</f>
        <v>0</v>
      </c>
      <c r="AD6" s="98">
        <f>COUNTIFS(Obs!$G:$G,Data_Obs!$B6,Obs!$AI:$AI,Data_Obs!$AD$1)</f>
        <v>0</v>
      </c>
      <c r="AE6" s="98">
        <f>COUNTIFS(Obs!$G:$G,Data_Obs!$B6,Obs!$AI:$AI,Data_Obs!$AE$1)</f>
        <v>0</v>
      </c>
      <c r="AF6" s="98">
        <f>COUNTIFS(Obs!$G:$G,Data_Obs!$B6,Obs!$AI:$AI,Data_Obs!$AF$1)</f>
        <v>0</v>
      </c>
      <c r="AG6" s="98">
        <f>COUNTIFS(Obs!$G:$G,Data_Obs!$B6,Obs!$AI:$AI,Data_Obs!$AG$1)</f>
        <v>0</v>
      </c>
      <c r="AH6" s="98">
        <f>COUNTIFS(Obs!$G:$G,Data_Obs!$B6,Obs!$AI:$AI,Data_Obs!$AH$1)</f>
        <v>0</v>
      </c>
      <c r="AI6" s="98">
        <f>COUNTIFS(Obs!$G:$G,Data_Obs!$B6,Obs!$AI:$AI,Data_Obs!$AI$1)</f>
        <v>0</v>
      </c>
      <c r="AJ6" s="98">
        <f>COUNTIFS(Obs!$G:$G,Data_Obs!$B6,Obs!$AI:$AI,Data_Obs!$AJ$1)</f>
        <v>0</v>
      </c>
      <c r="AK6" s="98">
        <f>COUNTIFS(Obs!$G:$G,Data_Obs!$B6,Obs!$AI:$AI,Data_Obs!$AK$1)</f>
        <v>0</v>
      </c>
      <c r="AL6" s="98">
        <f>COUNTIFS(Obs!$G:$G,Data_Obs!$B6,Obs!$AI:$AI,Data_Obs!$AL$1)</f>
        <v>0</v>
      </c>
      <c r="AM6" s="98">
        <f>COUNTIFS(Obs!$G:$G,Data_Obs!$B6,Obs!$AI:$AI,Data_Obs!$AM$1)</f>
        <v>0</v>
      </c>
      <c r="AN6" s="98">
        <f>COUNTIFS(Obs!$G:$G,Data_Obs!$B6,Obs!$AI:$AI,Data_Obs!$AN$1)</f>
        <v>0</v>
      </c>
      <c r="AO6" s="98">
        <f>COUNTIFS(Obs!$G:$G,Data_Obs!$B6,Obs!$AI:$AI,Data_Obs!$AO$1)</f>
        <v>0</v>
      </c>
      <c r="AP6" s="98">
        <f>COUNTIFS(Obs!$G:$G,Data_Obs!$B6,Obs!$AI:$AI,Data_Obs!$AP$1)</f>
        <v>0</v>
      </c>
      <c r="AQ6" s="98">
        <f>COUNTIFS(Obs!$G:$G,Data_Obs!$B6,Obs!$AI:$AI,Data_Obs!$AQ$1)</f>
        <v>0</v>
      </c>
      <c r="AR6" s="98">
        <f>COUNTIFS(Obs!$G:$G,Data_Obs!$B6,Obs!$AI:$AI,Data_Obs!$AR$1)</f>
        <v>0</v>
      </c>
      <c r="AS6" s="98">
        <f>COUNTIFS(Obs!$G:$G,Data_Obs!$B6,Obs!$AI:$AI,Data_Obs!$AS$1)</f>
        <v>0</v>
      </c>
      <c r="AT6" s="98">
        <f>COUNTIFS(Obs!$G:$G,Data_Obs!$B6,Obs!$AI:$AI,Data_Obs!$AT$1)</f>
        <v>0</v>
      </c>
      <c r="AU6" s="98">
        <f>COUNTIFS(Obs!$G:$G,Data_Obs!$B6,Obs!$AI:$AI,Data_Obs!$AU$1)</f>
        <v>0</v>
      </c>
      <c r="AV6" s="98">
        <f>COUNTIFS(Obs!$G:$G,Data_Obs!$B6,Obs!$AI:$AI,Data_Obs!$AV$1)</f>
        <v>0</v>
      </c>
      <c r="AW6" s="98">
        <f>COUNTIFS(Obs!$G:$G,Data_Obs!$B6,Obs!$AI:$AI,Data_Obs!$AW$1)</f>
        <v>0</v>
      </c>
      <c r="AX6" s="98">
        <f>COUNTIFS(Obs!$G:$G,Data_Obs!$B6,Obs!$AI:$AI,Data_Obs!$AX$1)</f>
        <v>0</v>
      </c>
      <c r="AY6" s="98">
        <f>COUNTIFS(Obs!$G:$G,Data_Obs!$B6,Obs!$AI:$AI,Data_Obs!$AY$1)</f>
        <v>0</v>
      </c>
      <c r="AZ6" s="98">
        <f>COUNTIFS(Obs!$G:$G,Data_Obs!$B6,Obs!$AI:$AI,Data_Obs!$AZ$1)</f>
        <v>0</v>
      </c>
      <c r="BA6" s="98">
        <f>COUNTIFS(Obs!$G:$G,Data_Obs!$B6,Obs!$AI:$AI,Data_Obs!$BA$1)</f>
        <v>0</v>
      </c>
      <c r="BB6" s="98">
        <f>COUNTIFS(Obs!$G:$G,Data_Obs!$B6,Obs!$AI:$AI,Data_Obs!$BB$1)</f>
        <v>0</v>
      </c>
      <c r="BC6" s="98">
        <f>COUNTIFS(Obs!$G:$G,Data_Obs!$B6,Obs!$AI:$AI,Data_Obs!$BC$1)</f>
        <v>0</v>
      </c>
      <c r="BD6" s="98">
        <f>COUNTIFS(Obs!$G:$G,Data_Obs!$B6,Obs!$AI:$AI,Data_Obs!$BD$1)</f>
        <v>0</v>
      </c>
      <c r="BE6" s="98">
        <f>COUNTIFS(Obs!$G:$G,Data_Obs!$B6,Obs!$AI:$AI,Data_Obs!$BE$1)</f>
        <v>0</v>
      </c>
      <c r="BF6" s="98">
        <f>COUNTIFS(Obs!$G:$G,Data_Obs!$B6,Obs!$AI:$AI,Data_Obs!$BF$1)</f>
        <v>0</v>
      </c>
      <c r="BG6" s="98">
        <f>COUNTIFS(Obs!$G:$G,Data_Obs!$B6,Obs!$AI:$AI,Data_Obs!$BG$1)</f>
        <v>0</v>
      </c>
      <c r="BH6" s="97">
        <f>COUNTIFS(Obs!$G:$G,Data_Obs!$B6,Obs!$AI:$AI,Data_Obs!$BH$1)</f>
        <v>0</v>
      </c>
    </row>
    <row r="7" spans="1:60" s="40" customFormat="1" ht="30" customHeight="1" thickBot="1">
      <c r="A7" s="863">
        <v>6</v>
      </c>
      <c r="B7" s="842" t="s">
        <v>2397</v>
      </c>
      <c r="C7" s="864" t="s">
        <v>2849</v>
      </c>
      <c r="D7" s="865" t="str">
        <f t="shared" si="0"/>
        <v>-</v>
      </c>
      <c r="E7" s="866" t="str">
        <f>IF(COUNTIFS(Obs!$G:$G, Data_Obs!B7,
             Obs!$B:$B, "Opening",
             Obs!$F:$F, "Observation")=0,
   "-",
   COUNTIFS(Obs!$G:$G, Data_Obs!B7,
            Obs!$B:$B, "Opening",
            Obs!$F:$F, "Observation"))</f>
        <v>-</v>
      </c>
      <c r="F7" s="866" t="str">
        <f>IF(COUNTIFS(Obs!$G:$G, Data_Obs!B7,
             Obs!$B:$B, "Closed",
             Obs!$F:$F, "Observation")=0,
   "-",
   COUNTIFS(Obs!$G:$G, Data_Obs!B7,
            Obs!$B:$B, "Closed",
            Obs!$F:$F, "Observation"))</f>
        <v>-</v>
      </c>
      <c r="G7" s="109" t="str">
        <f>IF(COUNTIFS(Obs!$G:$G, Data_Obs!B7,
             Obs!$B:$B, Data_Obs!#REF!,
             Obs!$F:$F, "Request for Obs")=0,
   "-",
   COUNTIFS(Obs!$G:$G, Data_Obs!B7,
            Obs!$B:$B, Data_Obs!#REF!,
            Obs!$F:$F, "Request for Obs"))</f>
        <v>-</v>
      </c>
      <c r="H7" s="867" t="str">
        <f>IF(COUNTIFS(Obs!$G:$G, Data_Obs!B7,
             Obs!$B:$B, Data_Obs!#REF!,
             Obs!$F:$F, "Request for Obs")=0,
   "-",
   COUNTIFS(Obs!$G:$G, Data_Obs!B7,
            Obs!$B:$B, Data_Obs!#REF!,
            Obs!$F:$F, "Request for Obs"))</f>
        <v>-</v>
      </c>
      <c r="I7" s="860" t="str">
        <f>_xlfn.LET(
    _xlpm.countA, COUNTIFS(Obs!Q:Q, "*Cat A*", Obs!G:G, Data_Obs!B7),
    _xlpm.countB, COUNTIFS(Obs!Q:Q, "*Cat B*", Obs!G:G, Data_Obs!B7),
    _xlpm.total, _xlpm.countA + _xlpm.countB,
    IF(_xlpm.total = 0, "-", _xlpm.total)
)</f>
        <v>-</v>
      </c>
      <c r="J7" s="856" t="str">
        <f>IF(COUNTIFS(Obs!Q:Q,"*Cat C*",Obs!G:G,Data_Obs!B7)=0,"-",COUNTIFS(Obs!Q:Q,"*Cat C*",Obs!G:G,Data_Obs!B7))</f>
        <v>-</v>
      </c>
      <c r="K7" s="857" t="str">
        <f t="shared" si="1"/>
        <v>-</v>
      </c>
      <c r="L7" s="857" t="str">
        <f t="shared" si="2"/>
        <v>-</v>
      </c>
      <c r="M7" s="855">
        <f>COUNTIFS(Obs!$G:$G,Data_Obs!$B7,Obs!$AI:$AI,Data_Obs!$M$1)</f>
        <v>0</v>
      </c>
      <c r="N7" s="855">
        <f>COUNTIFS(Obs!$G:$G,Data_Obs!$B7,Obs!$AI:$AI,Data_Obs!$N$1)</f>
        <v>0</v>
      </c>
      <c r="O7" s="855">
        <f>COUNTIFS(Obs!$G:$G,Data_Obs!$B7,Obs!$AI:$AI,Data_Obs!$O$1)</f>
        <v>0</v>
      </c>
      <c r="P7" s="855">
        <f>COUNTIFS(Obs!$G:$G,Data_Obs!$B7,Obs!$AI:$AI,Data_Obs!$P$1)</f>
        <v>0</v>
      </c>
      <c r="Q7" s="855">
        <f>COUNTIFS(Obs!$G:$G,Data_Obs!$B7,Obs!$AI:$AI,Data_Obs!$Q$1)</f>
        <v>0</v>
      </c>
      <c r="R7" s="855">
        <f>COUNTIFS(Obs!$G:$G,Data_Obs!$B7,Obs!$AI:$AI,Data_Obs!$R$1)</f>
        <v>0</v>
      </c>
      <c r="S7" s="855">
        <f>COUNTIFS(Obs!$G:$G,Data_Obs!$B7,Obs!$AI:$AI,Data_Obs!$S$1)</f>
        <v>0</v>
      </c>
      <c r="T7" s="855">
        <f>COUNTIFS(Obs!$G:$G,Data_Obs!$B7,Obs!$AI:$AI,Data_Obs!$T$1)</f>
        <v>0</v>
      </c>
      <c r="U7" s="855">
        <f>COUNTIFS(Obs!$G:$G,Data_Obs!$B7,Obs!$AI:$AI,Data_Obs!$U$1)</f>
        <v>0</v>
      </c>
      <c r="V7" s="855">
        <f>COUNTIFS(Obs!$G:$G,Data_Obs!$B7,Obs!$AI:$AI,Data_Obs!$V$1)</f>
        <v>0</v>
      </c>
      <c r="W7" s="855">
        <f>COUNTIFS(Obs!$G:$G,Data_Obs!$B7,Obs!$AI:$AI,Data_Obs!$W$1)</f>
        <v>0</v>
      </c>
      <c r="X7" s="855">
        <f>COUNTIFS(Obs!$G:$G,Data_Obs!$B7,Obs!$AI:$AI,Data_Obs!$X$1)</f>
        <v>0</v>
      </c>
      <c r="Y7" s="855">
        <f>COUNTIFS(Obs!$G:$G,Data_Obs!$B7,Obs!$AI:$AI,Data_Obs!$Y$1)</f>
        <v>0</v>
      </c>
      <c r="Z7" s="855">
        <f>COUNTIFS(Obs!$G:$G,Data_Obs!$B7,Obs!$AI:$AI,Data_Obs!$Z$1)</f>
        <v>0</v>
      </c>
      <c r="AA7" s="855">
        <f>COUNTIFS(Obs!$G:$G,Data_Obs!$B7,Obs!$AI:$AI,Data_Obs!$AA$1)</f>
        <v>0</v>
      </c>
      <c r="AB7" s="855">
        <f>COUNTIFS(Obs!$G:$G,Data_Obs!$B7,Obs!$AI:$AI,Data_Obs!$AB$1)</f>
        <v>0</v>
      </c>
      <c r="AC7" s="855">
        <f>COUNTIFS(Obs!$G:$G,Data_Obs!$B7,Obs!$AI:$AI,Data_Obs!$AC$1)</f>
        <v>0</v>
      </c>
      <c r="AD7" s="855">
        <f>COUNTIFS(Obs!$G:$G,Data_Obs!$B7,Obs!$AI:$AI,Data_Obs!$AD$1)</f>
        <v>0</v>
      </c>
      <c r="AE7" s="855">
        <f>COUNTIFS(Obs!$G:$G,Data_Obs!$B7,Obs!$AI:$AI,Data_Obs!$AE$1)</f>
        <v>0</v>
      </c>
      <c r="AF7" s="855">
        <f>COUNTIFS(Obs!$G:$G,Data_Obs!$B7,Obs!$AI:$AI,Data_Obs!$AF$1)</f>
        <v>0</v>
      </c>
      <c r="AG7" s="855">
        <f>COUNTIFS(Obs!$G:$G,Data_Obs!$B7,Obs!$AI:$AI,Data_Obs!$AG$1)</f>
        <v>0</v>
      </c>
      <c r="AH7" s="855">
        <f>COUNTIFS(Obs!$G:$G,Data_Obs!$B7,Obs!$AI:$AI,Data_Obs!$AH$1)</f>
        <v>0</v>
      </c>
      <c r="AI7" s="855">
        <f>COUNTIFS(Obs!$G:$G,Data_Obs!$B7,Obs!$AI:$AI,Data_Obs!$AI$1)</f>
        <v>0</v>
      </c>
      <c r="AJ7" s="855">
        <f>COUNTIFS(Obs!$G:$G,Data_Obs!$B7,Obs!$AI:$AI,Data_Obs!$AJ$1)</f>
        <v>0</v>
      </c>
      <c r="AK7" s="855">
        <f>COUNTIFS(Obs!$G:$G,Data_Obs!$B7,Obs!$AI:$AI,Data_Obs!$AK$1)</f>
        <v>0</v>
      </c>
      <c r="AL7" s="855">
        <f>COUNTIFS(Obs!$G:$G,Data_Obs!$B7,Obs!$AI:$AI,Data_Obs!$AL$1)</f>
        <v>0</v>
      </c>
      <c r="AM7" s="855">
        <f>COUNTIFS(Obs!$G:$G,Data_Obs!$B7,Obs!$AI:$AI,Data_Obs!$AM$1)</f>
        <v>0</v>
      </c>
      <c r="AN7" s="855">
        <f>COUNTIFS(Obs!$G:$G,Data_Obs!$B7,Obs!$AI:$AI,Data_Obs!$AN$1)</f>
        <v>0</v>
      </c>
      <c r="AO7" s="855">
        <f>COUNTIFS(Obs!$G:$G,Data_Obs!$B7,Obs!$AI:$AI,Data_Obs!$AO$1)</f>
        <v>0</v>
      </c>
      <c r="AP7" s="855">
        <f>COUNTIFS(Obs!$G:$G,Data_Obs!$B7,Obs!$AI:$AI,Data_Obs!$AP$1)</f>
        <v>0</v>
      </c>
      <c r="AQ7" s="855">
        <f>COUNTIFS(Obs!$G:$G,Data_Obs!$B7,Obs!$AI:$AI,Data_Obs!$AQ$1)</f>
        <v>0</v>
      </c>
      <c r="AR7" s="855">
        <f>COUNTIFS(Obs!$G:$G,Data_Obs!$B7,Obs!$AI:$AI,Data_Obs!$AR$1)</f>
        <v>0</v>
      </c>
      <c r="AS7" s="855">
        <f>COUNTIFS(Obs!$G:$G,Data_Obs!$B7,Obs!$AI:$AI,Data_Obs!$AS$1)</f>
        <v>0</v>
      </c>
      <c r="AT7" s="855">
        <f>COUNTIFS(Obs!$G:$G,Data_Obs!$B7,Obs!$AI:$AI,Data_Obs!$AT$1)</f>
        <v>0</v>
      </c>
      <c r="AU7" s="855">
        <f>COUNTIFS(Obs!$G:$G,Data_Obs!$B7,Obs!$AI:$AI,Data_Obs!$AU$1)</f>
        <v>0</v>
      </c>
      <c r="AV7" s="855">
        <f>COUNTIFS(Obs!$G:$G,Data_Obs!$B7,Obs!$AI:$AI,Data_Obs!$AV$1)</f>
        <v>0</v>
      </c>
      <c r="AW7" s="855">
        <f>COUNTIFS(Obs!$G:$G,Data_Obs!$B7,Obs!$AI:$AI,Data_Obs!$AW$1)</f>
        <v>0</v>
      </c>
      <c r="AX7" s="855">
        <f>COUNTIFS(Obs!$G:$G,Data_Obs!$B7,Obs!$AI:$AI,Data_Obs!$AX$1)</f>
        <v>0</v>
      </c>
      <c r="AY7" s="855">
        <f>COUNTIFS(Obs!$G:$G,Data_Obs!$B7,Obs!$AI:$AI,Data_Obs!$AY$1)</f>
        <v>0</v>
      </c>
      <c r="AZ7" s="855">
        <f>COUNTIFS(Obs!$G:$G,Data_Obs!$B7,Obs!$AI:$AI,Data_Obs!$AZ$1)</f>
        <v>0</v>
      </c>
      <c r="BA7" s="855">
        <f>COUNTIFS(Obs!$G:$G,Data_Obs!$B7,Obs!$AI:$AI,Data_Obs!$BA$1)</f>
        <v>0</v>
      </c>
      <c r="BB7" s="855">
        <f>COUNTIFS(Obs!$G:$G,Data_Obs!$B7,Obs!$AI:$AI,Data_Obs!$BB$1)</f>
        <v>0</v>
      </c>
      <c r="BC7" s="855">
        <f>COUNTIFS(Obs!$G:$G,Data_Obs!$B7,Obs!$AI:$AI,Data_Obs!$BC$1)</f>
        <v>0</v>
      </c>
      <c r="BD7" s="855">
        <f>COUNTIFS(Obs!$G:$G,Data_Obs!$B7,Obs!$AI:$AI,Data_Obs!$BD$1)</f>
        <v>0</v>
      </c>
      <c r="BE7" s="855">
        <f>COUNTIFS(Obs!$G:$G,Data_Obs!$B7,Obs!$AI:$AI,Data_Obs!$BE$1)</f>
        <v>0</v>
      </c>
      <c r="BF7" s="855">
        <f>COUNTIFS(Obs!$G:$G,Data_Obs!$B7,Obs!$AI:$AI,Data_Obs!$BF$1)</f>
        <v>0</v>
      </c>
      <c r="BG7" s="855">
        <f>COUNTIFS(Obs!$G:$G,Data_Obs!$B7,Obs!$AI:$AI,Data_Obs!$BG$1)</f>
        <v>0</v>
      </c>
      <c r="BH7" s="677">
        <f>COUNTIFS(Obs!$G:$G,Data_Obs!$B7,Obs!$AI:$AI,Data_Obs!$BH$1)</f>
        <v>0</v>
      </c>
    </row>
    <row r="8" spans="1:60">
      <c r="K8" s="597"/>
      <c r="L8" s="597"/>
    </row>
  </sheetData>
  <sheetProtection selectLockedCells="1"/>
  <phoneticPr fontId="164" type="noConversion"/>
  <conditionalFormatting sqref="M2:BH7">
    <cfRule type="cellIs" dxfId="224" priority="5" operator="greaterThan">
      <formula>0</formula>
    </cfRule>
  </conditionalFormatting>
  <conditionalFormatting sqref="G2:G7 E2:E7">
    <cfRule type="cellIs" dxfId="223" priority="4" operator="notEqual">
      <formula>"-"</formula>
    </cfRule>
  </conditionalFormatting>
  <conditionalFormatting sqref="D2:D7">
    <cfRule type="expression" dxfId="222" priority="3">
      <formula>IF($D2&lt;&gt;"-",$D2&lt;&gt;SUM($E2:$H2))</formula>
    </cfRule>
  </conditionalFormatting>
  <conditionalFormatting sqref="E2:E7 G2:G7">
    <cfRule type="cellIs" dxfId="221" priority="1" operator="notEqual">
      <formula>"-"</formula>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AD53F-D9F1-4982-88B8-122CF7F4AB39}">
  <sheetPr codeName="Sheet23">
    <tabColor theme="0" tint="-0.34998626667073579"/>
  </sheetPr>
  <dimension ref="A1:G8"/>
  <sheetViews>
    <sheetView zoomScale="85" zoomScaleNormal="85" zoomScaleSheetLayoutView="100" workbookViewId="0">
      <pane xSplit="3" ySplit="1" topLeftCell="D2" activePane="bottomRight" state="frozen"/>
      <selection activeCell="C30" sqref="C30"/>
      <selection pane="topRight" activeCell="C30" sqref="C30"/>
      <selection pane="bottomLeft" activeCell="C30" sqref="C30"/>
      <selection pane="bottomRight" activeCell="B15" sqref="B15"/>
    </sheetView>
  </sheetViews>
  <sheetFormatPr defaultColWidth="8.7109375" defaultRowHeight="15.75"/>
  <cols>
    <col min="1" max="1" width="8.7109375" style="40"/>
    <col min="2" max="2" width="30.5703125" style="40" customWidth="1"/>
    <col min="3" max="3" width="35.5703125" style="799" customWidth="1"/>
    <col min="4" max="4" width="35.5703125" style="40" customWidth="1"/>
    <col min="5" max="7" width="20.5703125" style="40" customWidth="1"/>
    <col min="8" max="16384" width="8.7109375" style="40"/>
  </cols>
  <sheetData>
    <row r="1" spans="1:7" ht="34.5" customHeight="1">
      <c r="A1" s="38" t="s">
        <v>0</v>
      </c>
      <c r="B1" s="37" t="s">
        <v>986</v>
      </c>
      <c r="C1" s="37" t="s">
        <v>2437</v>
      </c>
      <c r="D1" s="37" t="s">
        <v>308</v>
      </c>
      <c r="E1" s="37" t="s">
        <v>4041</v>
      </c>
      <c r="F1" s="37" t="s">
        <v>2381</v>
      </c>
      <c r="G1" s="37" t="s">
        <v>2382</v>
      </c>
    </row>
    <row r="2" spans="1:7" ht="30" customHeight="1">
      <c r="A2" s="30">
        <v>1</v>
      </c>
      <c r="B2" s="802" t="s">
        <v>2435</v>
      </c>
      <c r="C2" s="598" t="s">
        <v>2826</v>
      </c>
      <c r="D2" s="598" t="str">
        <f t="shared" ref="D2:D7" si="0">IF(B2="","-",$D$1&amp;"_"&amp;B2)</f>
        <v>ITP_Hellenic Cable</v>
      </c>
      <c r="E2" s="30" cm="1">
        <f t="array" aca="1" ref="E2" ca="1">IFERROR(INDIRECT("'"&amp;D2&amp;"'!J11"),"-")</f>
        <v>10</v>
      </c>
      <c r="F2" s="30" cm="1">
        <f t="array" aca="1" ref="F2" ca="1">IFERROR(INDIRECT("'"&amp;D2&amp;"'!J12"),"-")</f>
        <v>10</v>
      </c>
      <c r="G2" s="30" cm="1">
        <f t="array" aca="1" ref="G2" ca="1">IFERROR(INDIRECT("'"&amp;D2&amp;"'!k4"),"-")</f>
        <v>10</v>
      </c>
    </row>
    <row r="3" spans="1:7" ht="30" customHeight="1">
      <c r="A3" s="30">
        <v>2</v>
      </c>
      <c r="B3" s="802" t="s">
        <v>1161</v>
      </c>
      <c r="C3" s="598" t="s">
        <v>2846</v>
      </c>
      <c r="D3" s="598" t="str">
        <f t="shared" si="0"/>
        <v>ITP_LS Cable</v>
      </c>
      <c r="E3" s="30" cm="1">
        <f t="array" aca="1" ref="E3" ca="1">IFERROR(INDIRECT("'"&amp;D3&amp;"'!J11"),"-")</f>
        <v>10</v>
      </c>
      <c r="F3" s="30" cm="1">
        <f t="array" aca="1" ref="F3" ca="1">IFERROR(INDIRECT("'"&amp;D3&amp;"'!J12"),"-")</f>
        <v>10</v>
      </c>
      <c r="G3" s="30" cm="1">
        <f t="array" aca="1" ref="G3" ca="1">IFERROR(INDIRECT("'"&amp;D3&amp;"'!k4"),"-")</f>
        <v>10</v>
      </c>
    </row>
    <row r="4" spans="1:7" ht="30" customHeight="1">
      <c r="A4" s="30">
        <v>3</v>
      </c>
      <c r="B4" s="802" t="s">
        <v>2725</v>
      </c>
      <c r="C4" s="598" t="s">
        <v>2825</v>
      </c>
      <c r="D4" s="598" t="str">
        <f t="shared" si="0"/>
        <v>ITP_BMS</v>
      </c>
      <c r="E4" s="30" cm="1">
        <f t="array" aca="1" ref="E4" ca="1">IFERROR(INDIRECT("'"&amp;D4&amp;"'!J11"),"-")</f>
        <v>1</v>
      </c>
      <c r="F4" s="30" cm="1">
        <f t="array" aca="1" ref="F4" ca="1">IFERROR(INDIRECT("'"&amp;D4&amp;"'!J12"),"-")</f>
        <v>1</v>
      </c>
      <c r="G4" s="30" cm="1">
        <f t="array" aca="1" ref="G4" ca="1">IFERROR(INDIRECT("'"&amp;D4&amp;"'!k4"),"-")</f>
        <v>1</v>
      </c>
    </row>
    <row r="5" spans="1:7" ht="30" customHeight="1">
      <c r="A5" s="30">
        <v>4</v>
      </c>
      <c r="B5" s="802" t="s">
        <v>1454</v>
      </c>
      <c r="C5" s="598" t="s">
        <v>2847</v>
      </c>
      <c r="D5" s="598" t="str">
        <f t="shared" si="0"/>
        <v>ITP_Seaway7</v>
      </c>
      <c r="E5" s="30" cm="1">
        <f t="array" aca="1" ref="E5" ca="1">IFERROR(INDIRECT("'"&amp;D5&amp;"'!J11"),"-")</f>
        <v>24</v>
      </c>
      <c r="F5" s="30" cm="1">
        <f t="array" aca="1" ref="F5" ca="1">IFERROR(INDIRECT("'"&amp;D5&amp;"'!J12"),"-")</f>
        <v>24</v>
      </c>
      <c r="G5" s="30" cm="1">
        <f t="array" aca="1" ref="G5" ca="1">IFERROR(INDIRECT("'"&amp;D5&amp;"'!k4"),"-")</f>
        <v>24</v>
      </c>
    </row>
    <row r="6" spans="1:7" ht="32.450000000000003" customHeight="1">
      <c r="A6" s="30">
        <v>5</v>
      </c>
      <c r="B6" s="802" t="s">
        <v>1045</v>
      </c>
      <c r="C6" s="598" t="s">
        <v>2848</v>
      </c>
      <c r="D6" s="598" t="str">
        <f t="shared" si="0"/>
        <v>ITP_CDWE</v>
      </c>
      <c r="E6" s="30" cm="1">
        <f t="array" aca="1" ref="E6" ca="1">IFERROR(INDIRECT("'"&amp;D6&amp;"'!J11"),"-")</f>
        <v>25</v>
      </c>
      <c r="F6" s="30" cm="1">
        <f t="array" aca="1" ref="F6" ca="1">IFERROR(INDIRECT("'"&amp;D6&amp;"'!J12"),"-")</f>
        <v>25</v>
      </c>
      <c r="G6" s="30" cm="1">
        <f t="array" aca="1" ref="G6" ca="1">IFERROR(INDIRECT("'"&amp;D6&amp;"'!k4"),"-")</f>
        <v>25</v>
      </c>
    </row>
    <row r="7" spans="1:7" ht="23.1" customHeight="1">
      <c r="A7" s="30">
        <v>6</v>
      </c>
      <c r="B7" s="802" t="s">
        <v>2397</v>
      </c>
      <c r="C7" s="596" t="s">
        <v>2849</v>
      </c>
      <c r="D7" s="598" t="str">
        <f t="shared" si="0"/>
        <v>ITP_JDN</v>
      </c>
      <c r="E7" s="30" cm="1">
        <f t="array" aca="1" ref="E7" ca="1">IFERROR(INDIRECT("'"&amp;D7&amp;"'!J11"),"-")</f>
        <v>1</v>
      </c>
      <c r="F7" s="30" cm="1">
        <f t="array" aca="1" ref="F7" ca="1">IFERROR(INDIRECT("'"&amp;D7&amp;"'!J12"),"-")</f>
        <v>1</v>
      </c>
      <c r="G7" s="30" cm="1">
        <f t="array" aca="1" ref="G7" ca="1">IFERROR(INDIRECT("'"&amp;D7&amp;"'!k4"),"-")</f>
        <v>1</v>
      </c>
    </row>
    <row r="8" spans="1:7">
      <c r="C8" s="40"/>
    </row>
  </sheetData>
  <sheetProtection selectLockedCells="1"/>
  <sortState xmlns:xlrd2="http://schemas.microsoft.com/office/spreadsheetml/2017/richdata2" ref="A3:G6">
    <sortCondition descending="1" ref="G3:G6"/>
  </sortState>
  <phoneticPr fontId="164" type="noConversion"/>
  <pageMargins left="0.7" right="0.7" top="0.75" bottom="0.75" header="0.3" footer="0.3"/>
  <pageSetup orientation="portrait"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C14F9-B7B7-4596-9A17-4949665CA933}">
  <sheetPr codeName="Sheet17">
    <tabColor theme="0" tint="-0.34998626667073579"/>
  </sheetPr>
  <dimension ref="A1:U7"/>
  <sheetViews>
    <sheetView workbookViewId="0">
      <pane xSplit="3" ySplit="1" topLeftCell="N2" activePane="bottomRight" state="frozen"/>
      <selection pane="topRight" activeCell="D1" sqref="D1"/>
      <selection pane="bottomLeft" activeCell="A2" sqref="A2"/>
      <selection pane="bottomRight" activeCell="W23" sqref="W23"/>
    </sheetView>
  </sheetViews>
  <sheetFormatPr defaultColWidth="11" defaultRowHeight="15.75"/>
  <cols>
    <col min="1" max="1" width="10.140625" style="40" customWidth="1"/>
    <col min="2" max="2" width="17.28515625" style="40" customWidth="1"/>
    <col min="3" max="3" width="21.85546875" style="40" customWidth="1"/>
    <col min="4" max="7" width="15.5703125" style="40" customWidth="1"/>
    <col min="8" max="8" width="15.5703125" customWidth="1"/>
    <col min="9" max="10" width="15.5703125" style="40" customWidth="1"/>
    <col min="11" max="16384" width="11" style="40"/>
  </cols>
  <sheetData>
    <row r="1" spans="1:21" ht="45.95" customHeight="1">
      <c r="A1" s="797" t="s">
        <v>0</v>
      </c>
      <c r="B1" s="797" t="s">
        <v>986</v>
      </c>
      <c r="C1" s="797" t="s">
        <v>2437</v>
      </c>
      <c r="D1" s="764" t="s">
        <v>4025</v>
      </c>
      <c r="E1" s="764" t="s">
        <v>4026</v>
      </c>
      <c r="F1" s="764" t="s">
        <v>4028</v>
      </c>
      <c r="G1" s="764" t="s">
        <v>4027</v>
      </c>
      <c r="H1" s="800" t="s">
        <v>3999</v>
      </c>
      <c r="I1" s="800" t="s">
        <v>985</v>
      </c>
      <c r="J1" s="100" t="s">
        <v>28</v>
      </c>
      <c r="K1" s="42" t="s">
        <v>4029</v>
      </c>
      <c r="L1" s="100" t="s">
        <v>4030</v>
      </c>
      <c r="M1" s="100" t="s">
        <v>4031</v>
      </c>
      <c r="N1" s="100" t="s">
        <v>4032</v>
      </c>
      <c r="O1" s="100" t="s">
        <v>4033</v>
      </c>
      <c r="P1" s="100" t="s">
        <v>4034</v>
      </c>
      <c r="Q1" s="100" t="s">
        <v>4035</v>
      </c>
      <c r="R1" s="100" t="s">
        <v>4036</v>
      </c>
      <c r="S1" s="100" t="s">
        <v>4037</v>
      </c>
      <c r="T1" s="100" t="s">
        <v>4136</v>
      </c>
      <c r="U1" s="100" t="s">
        <v>4202</v>
      </c>
    </row>
    <row r="2" spans="1:21" ht="30" customHeight="1">
      <c r="A2" s="797">
        <v>1</v>
      </c>
      <c r="B2" s="798" t="s">
        <v>2435</v>
      </c>
      <c r="C2" s="113" t="s">
        <v>2826</v>
      </c>
      <c r="D2" s="801">
        <f>IFERROR(Data_PQP[[#This Row],[PQP_Approved]]/Data_PQP[[#This Row],[PQP_Total]],"No Info.")</f>
        <v>1</v>
      </c>
      <c r="E2" s="801">
        <f ca="1">IFERROR(Data_ITP[[#This Row],[ITP_Approved]]/Data_ITP[[#This Row],[ITP_Total]],"No Info")</f>
        <v>1</v>
      </c>
      <c r="F2" s="801">
        <f>IF(Data_Obs!D2="-",1,SUM(Data_Obs!F2,Data_NCR!G2)/Data_Obs!D2)</f>
        <v>1</v>
      </c>
      <c r="G2" s="801">
        <f>IF(Data_NCR!D2="-",1,SUM(Data_NCR!F2,Data_NCR!H2)/Data_NCR!D2)</f>
        <v>1</v>
      </c>
      <c r="H2" s="817">
        <v>1</v>
      </c>
      <c r="I2" s="817" cm="1">
        <f t="array" aca="1" ref="I2" ca="1">_xlfn.LET(
  _xlpm.w, VALUE(_xlfn.TEXTAFTER(D$1:G$1, CHAR(10), -1)),
  _xlpm.p, VALUE(SUBSTITUTE(D2:G2,"%","")),
  SUMPRODUCT(_xlpm.w, _xlpm.p)
)</f>
        <v>1</v>
      </c>
      <c r="J2" s="803">
        <f t="shared" ref="J2:J7" ca="1" si="0">I2-H2</f>
        <v>0</v>
      </c>
      <c r="K2" s="804">
        <f t="shared" ref="K2:K7" ca="1" si="1">I2-H2</f>
        <v>0</v>
      </c>
      <c r="L2" s="801">
        <v>1</v>
      </c>
      <c r="M2" s="801">
        <v>1</v>
      </c>
      <c r="N2" s="801">
        <v>1</v>
      </c>
      <c r="O2" s="801">
        <v>1</v>
      </c>
      <c r="P2" s="801">
        <v>1</v>
      </c>
      <c r="Q2" s="801">
        <v>1</v>
      </c>
      <c r="R2" s="801">
        <v>1</v>
      </c>
      <c r="S2" s="801">
        <v>1</v>
      </c>
      <c r="T2" s="801">
        <v>1</v>
      </c>
      <c r="U2" s="801">
        <v>1</v>
      </c>
    </row>
    <row r="3" spans="1:21" ht="30" customHeight="1">
      <c r="A3" s="797">
        <v>2</v>
      </c>
      <c r="B3" s="798" t="s">
        <v>1161</v>
      </c>
      <c r="C3" s="113" t="s">
        <v>2846</v>
      </c>
      <c r="D3" s="801">
        <f>IFERROR(Data_PQP[[#This Row],[PQP_Approved]]/Data_PQP[[#This Row],[PQP_Total]],"No Info.")</f>
        <v>1</v>
      </c>
      <c r="E3" s="801">
        <f ca="1">IFERROR(Data_ITP[[#This Row],[ITP_Approved]]/Data_ITP[[#This Row],[ITP_Total]],"No Info")</f>
        <v>1</v>
      </c>
      <c r="F3" s="801">
        <f>IF(Data_Obs!D3="-",100%,SUM(Data_Obs!F3,Data_NCR!G3)/Data_Obs!D3)</f>
        <v>1</v>
      </c>
      <c r="G3" s="801">
        <f>IF(Data_NCR!D3="-",100%,SUM(Data_NCR!F3,Data_NCR!H3)/Data_NCR!D3)</f>
        <v>1</v>
      </c>
      <c r="H3" s="817">
        <v>1</v>
      </c>
      <c r="I3" s="817" cm="1">
        <f t="array" aca="1" ref="I3" ca="1">_xlfn.LET(
  _xlpm.w, VALUE(_xlfn.TEXTAFTER(D$1:G$1, CHAR(10), -1)),
  _xlpm.p, VALUE(SUBSTITUTE(D3:G3,"%","")),
  SUMPRODUCT(_xlpm.w, _xlpm.p)
)</f>
        <v>1</v>
      </c>
      <c r="J3" s="803">
        <f t="shared" ca="1" si="0"/>
        <v>0</v>
      </c>
      <c r="K3" s="804">
        <f t="shared" ca="1" si="1"/>
        <v>0</v>
      </c>
      <c r="L3" s="801">
        <v>0.97741935483870968</v>
      </c>
      <c r="M3" s="801">
        <v>0.98906250000000007</v>
      </c>
      <c r="N3" s="801">
        <v>0.97941176470588232</v>
      </c>
      <c r="O3" s="801">
        <v>0.97083333333333333</v>
      </c>
      <c r="P3" s="801">
        <v>0.9902777777777777</v>
      </c>
      <c r="Q3" s="801">
        <v>0.9902777777777777</v>
      </c>
      <c r="R3" s="801">
        <v>1</v>
      </c>
      <c r="S3" s="801">
        <v>1</v>
      </c>
      <c r="T3" s="801">
        <v>1</v>
      </c>
      <c r="U3" s="801">
        <v>1</v>
      </c>
    </row>
    <row r="4" spans="1:21" ht="30" customHeight="1">
      <c r="A4" s="797">
        <v>3</v>
      </c>
      <c r="B4" s="798" t="s">
        <v>2725</v>
      </c>
      <c r="C4" s="113" t="s">
        <v>2825</v>
      </c>
      <c r="D4" s="801">
        <f>IFERROR(Data_PQP[[#This Row],[PQP_Approved]]/Data_PQP[[#This Row],[PQP_Total]],"No Info.")</f>
        <v>1</v>
      </c>
      <c r="E4" s="801">
        <f ca="1">IFERROR(Data_ITP[[#This Row],[ITP_Approved]]/Data_ITP[[#This Row],[ITP_Total]],"No Info")</f>
        <v>1</v>
      </c>
      <c r="F4" s="801">
        <f>IF(Data_Obs!D4="-",100%,SUM(Data_Obs!F4,Data_NCR!G4)/Data_Obs!D4)</f>
        <v>1</v>
      </c>
      <c r="G4" s="801">
        <f>IF(Data_NCR!D4="-",100%,SUM(Data_NCR!F4,Data_NCR!H4)/Data_NCR!D4)</f>
        <v>1</v>
      </c>
      <c r="H4" s="817">
        <v>1</v>
      </c>
      <c r="I4" s="817" cm="1">
        <f t="array" aca="1" ref="I4" ca="1">_xlfn.LET(
  _xlpm.w, VALUE(_xlfn.TEXTAFTER(D$1:G$1, CHAR(10), -1)),
  _xlpm.p, VALUE(SUBSTITUTE(D4:G4,"%","")),
  SUMPRODUCT(_xlpm.w, _xlpm.p)
)</f>
        <v>1</v>
      </c>
      <c r="J4" s="803">
        <f t="shared" ca="1" si="0"/>
        <v>0</v>
      </c>
      <c r="K4" s="804">
        <f t="shared" ca="1" si="1"/>
        <v>0</v>
      </c>
      <c r="L4" s="801">
        <v>1</v>
      </c>
      <c r="M4" s="801">
        <v>1</v>
      </c>
      <c r="N4" s="801">
        <v>1</v>
      </c>
      <c r="O4" s="801">
        <v>1</v>
      </c>
      <c r="P4" s="801">
        <v>1</v>
      </c>
      <c r="Q4" s="801">
        <v>1</v>
      </c>
      <c r="R4" s="801">
        <v>1</v>
      </c>
      <c r="S4" s="801">
        <v>1</v>
      </c>
      <c r="T4" s="801">
        <v>1</v>
      </c>
      <c r="U4" s="801">
        <v>1</v>
      </c>
    </row>
    <row r="5" spans="1:21" ht="30" customHeight="1">
      <c r="A5" s="797">
        <v>4</v>
      </c>
      <c r="B5" s="798" t="s">
        <v>1454</v>
      </c>
      <c r="C5" s="113" t="s">
        <v>2847</v>
      </c>
      <c r="D5" s="801">
        <f>IFERROR(Data_PQP[[#This Row],[PQP_Approved]]/Data_PQP[[#This Row],[PQP_Total]],"No Info.")</f>
        <v>1</v>
      </c>
      <c r="E5" s="801">
        <f ca="1">IFERROR(Data_ITP[[#This Row],[ITP_Approved]]/Data_ITP[[#This Row],[ITP_Total]],"No Info")</f>
        <v>1</v>
      </c>
      <c r="F5" s="801">
        <f>IF(Data_Obs!D5="-",100%,SUM(Data_Obs!F5,Data_NCR!G5)/Data_Obs!D5)</f>
        <v>1</v>
      </c>
      <c r="G5" s="801">
        <f>IF(Data_NCR!D5="-",100%,SUM(Data_NCR!F5,Data_NCR!H5)/Data_NCR!D5)</f>
        <v>0.6785714285714286</v>
      </c>
      <c r="H5" s="817">
        <v>0.8653846153846152</v>
      </c>
      <c r="I5" s="817" cm="1">
        <f t="array" aca="1" ref="I5" ca="1">_xlfn.LET(
  _xlpm.w, VALUE(_xlfn.TEXTAFTER(D$1:G$1, CHAR(10), -1)),
  _xlpm.p, VALUE(SUBSTITUTE(D5:G5,"%","")),
  SUMPRODUCT(_xlpm.w, _xlpm.p)
)</f>
        <v>0.88750000000000018</v>
      </c>
      <c r="J5" s="803">
        <f t="shared" ca="1" si="0"/>
        <v>2.2115384615384981E-2</v>
      </c>
      <c r="K5" s="804">
        <f t="shared" ca="1" si="1"/>
        <v>2.2115384615384981E-2</v>
      </c>
      <c r="L5" s="801">
        <v>0.83666666666666667</v>
      </c>
      <c r="M5" s="801">
        <v>0.81333333333333335</v>
      </c>
      <c r="N5" s="801">
        <v>0.86</v>
      </c>
      <c r="O5" s="801">
        <v>0.82500000000000007</v>
      </c>
      <c r="P5" s="801">
        <v>0.84444444444444444</v>
      </c>
      <c r="Q5" s="801">
        <v>0.85</v>
      </c>
      <c r="R5" s="801">
        <v>0.83</v>
      </c>
      <c r="S5" s="801">
        <v>0.83</v>
      </c>
      <c r="T5" s="801">
        <v>0.8653846153846152</v>
      </c>
      <c r="U5" s="801">
        <v>0.8653846153846152</v>
      </c>
    </row>
    <row r="6" spans="1:21" ht="30" customHeight="1">
      <c r="A6" s="797">
        <v>5</v>
      </c>
      <c r="B6" s="798" t="s">
        <v>1045</v>
      </c>
      <c r="C6" s="113" t="s">
        <v>2848</v>
      </c>
      <c r="D6" s="801">
        <f>IFERROR(Data_PQP[[#This Row],[PQP_Approved]]/Data_PQP[[#This Row],[PQP_Total]],"No Info.")</f>
        <v>1</v>
      </c>
      <c r="E6" s="801">
        <f ca="1">IFERROR(Data_ITP[[#This Row],[ITP_Approved]]/Data_ITP[[#This Row],[ITP_Total]],"No Info")</f>
        <v>1</v>
      </c>
      <c r="F6" s="801">
        <f>IF(Data_Obs!D6="-",100%,SUM(Data_Obs!F6,Data_NCR!G6)/Data_Obs!D6)</f>
        <v>1</v>
      </c>
      <c r="G6" s="801">
        <f>IF(Data_NCR!D6="-",100%,SUM(Data_NCR!F6,Data_NCR!H6)/Data_NCR!D6)</f>
        <v>1</v>
      </c>
      <c r="H6" s="817">
        <v>1</v>
      </c>
      <c r="I6" s="817" cm="1">
        <f t="array" aca="1" ref="I6" ca="1">_xlfn.LET(
  _xlpm.w, VALUE(_xlfn.TEXTAFTER(D$1:G$1, CHAR(10), -1)),
  _xlpm.p, VALUE(SUBSTITUTE(D6:G6,"%","")),
  SUMPRODUCT(_xlpm.w, _xlpm.p)
)</f>
        <v>1</v>
      </c>
      <c r="J6" s="803">
        <f t="shared" ca="1" si="0"/>
        <v>0</v>
      </c>
      <c r="K6" s="804">
        <f t="shared" ca="1" si="1"/>
        <v>0</v>
      </c>
      <c r="L6" s="801">
        <v>0.8</v>
      </c>
      <c r="M6" s="801">
        <v>0.86521739130434783</v>
      </c>
      <c r="N6" s="801">
        <v>0.86521739130434783</v>
      </c>
      <c r="O6" s="801">
        <v>0.88800000000000001</v>
      </c>
      <c r="P6" s="801">
        <v>0.88800000000000001</v>
      </c>
      <c r="Q6" s="801">
        <v>0.9</v>
      </c>
      <c r="R6" s="801">
        <v>0.96</v>
      </c>
      <c r="S6" s="801">
        <v>1</v>
      </c>
      <c r="T6" s="801">
        <v>1</v>
      </c>
      <c r="U6" s="801">
        <v>1</v>
      </c>
    </row>
    <row r="7" spans="1:21" ht="30" customHeight="1">
      <c r="A7" s="797">
        <v>6</v>
      </c>
      <c r="B7" s="798" t="s">
        <v>2397</v>
      </c>
      <c r="C7" s="113" t="s">
        <v>2849</v>
      </c>
      <c r="D7" s="801">
        <f>IFERROR(Data_PQP[[#This Row],[PQP_Approved]]/Data_PQP[[#This Row],[PQP_Total]],"No Info.")</f>
        <v>1</v>
      </c>
      <c r="E7" s="801">
        <f ca="1">IFERROR(Data_ITP[[#This Row],[ITP_Approved]]/Data_ITP[[#This Row],[ITP_Total]],"No Info")</f>
        <v>1</v>
      </c>
      <c r="F7" s="801">
        <f>IF(Data_Obs!D7="-",100%,SUM(Data_Obs!F7,Data_NCR!G7)/Data_Obs!D7)</f>
        <v>1</v>
      </c>
      <c r="G7" s="801">
        <f>IF(Data_NCR!D7="-",100%,SUM(Data_NCR!F7,Data_NCR!H7)/Data_NCR!D7)</f>
        <v>1</v>
      </c>
      <c r="H7" s="817">
        <v>1</v>
      </c>
      <c r="I7" s="817" cm="1">
        <f t="array" aca="1" ref="I7" ca="1">_xlfn.LET(
  _xlpm.w, VALUE(_xlfn.TEXTAFTER(D$1:G$1, CHAR(10), -1)),
  _xlpm.p, VALUE(SUBSTITUTE(D7:G7,"%","")),
  SUMPRODUCT(_xlpm.w, _xlpm.p)
)</f>
        <v>1</v>
      </c>
      <c r="J7" s="803">
        <f t="shared" ca="1" si="0"/>
        <v>0</v>
      </c>
      <c r="K7" s="804">
        <f t="shared" ca="1" si="1"/>
        <v>0</v>
      </c>
      <c r="L7" s="801">
        <v>1</v>
      </c>
      <c r="M7" s="801">
        <v>1</v>
      </c>
      <c r="N7" s="801">
        <v>1</v>
      </c>
      <c r="O7" s="801">
        <v>1</v>
      </c>
      <c r="P7" s="801">
        <v>1</v>
      </c>
      <c r="Q7" s="801">
        <v>1</v>
      </c>
      <c r="R7" s="801">
        <v>1</v>
      </c>
      <c r="S7" s="801">
        <v>1</v>
      </c>
      <c r="T7" s="801">
        <v>1</v>
      </c>
      <c r="U7" s="801">
        <v>1</v>
      </c>
    </row>
  </sheetData>
  <phoneticPr fontId="43" type="noConversion"/>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1479" id="{850C5485-BD45-4DD4-B0B6-67B3C6C1E958}">
            <x14:iconSet iconSet="3Arrows" showValue="0" custom="1">
              <x14:cfvo type="percent">
                <xm:f>0</xm:f>
              </x14:cfvo>
              <x14:cfvo type="num">
                <xm:f>0</xm:f>
              </x14:cfvo>
              <x14:cfvo type="num" gte="0">
                <xm:f>0</xm:f>
              </x14:cfvo>
              <x14:cfIcon iconSet="3Arrows" iconId="0"/>
              <x14:cfIcon iconSet="3Triangles" iconId="1"/>
              <x14:cfIcon iconSet="3Arrows" iconId="2"/>
            </x14:iconSet>
          </x14:cfRule>
          <xm:sqref>J2:J7</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5187B-07DD-4D57-A363-02697A213361}">
  <sheetPr codeName="Sheet32">
    <tabColor theme="0" tint="-0.34998626667073579"/>
  </sheetPr>
  <dimension ref="A1:J15"/>
  <sheetViews>
    <sheetView zoomScaleNormal="100" zoomScaleSheetLayoutView="100" workbookViewId="0">
      <selection activeCell="F7" sqref="F7"/>
    </sheetView>
  </sheetViews>
  <sheetFormatPr defaultRowHeight="25.5" customHeight="1"/>
  <cols>
    <col min="1" max="1" width="9.28515625" style="33"/>
    <col min="2" max="2" width="20.28515625" style="33" customWidth="1"/>
    <col min="3" max="3" width="26.7109375" style="33" customWidth="1"/>
    <col min="4" max="4" width="18.7109375" style="33" customWidth="1"/>
    <col min="5" max="5" width="17.5703125" style="33" customWidth="1"/>
    <col min="6" max="7" width="8.7109375" style="33"/>
    <col min="8" max="8" width="52.28515625" customWidth="1"/>
    <col min="9" max="10" width="20.28515625" customWidth="1"/>
    <col min="11" max="176" width="57.5703125" bestFit="1" customWidth="1"/>
    <col min="177" max="177" width="26.5703125" bestFit="1" customWidth="1"/>
    <col min="178" max="178" width="27.28515625" bestFit="1" customWidth="1"/>
    <col min="179" max="179" width="27.42578125" bestFit="1" customWidth="1"/>
    <col min="180" max="180" width="27.28515625" bestFit="1" customWidth="1"/>
    <col min="181" max="181" width="27.7109375" bestFit="1" customWidth="1"/>
    <col min="182" max="182" width="26.5703125" bestFit="1" customWidth="1"/>
    <col min="183" max="183" width="26.28515625" bestFit="1" customWidth="1"/>
    <col min="184" max="184" width="27.42578125" bestFit="1" customWidth="1"/>
    <col min="185" max="185" width="27.28515625" bestFit="1" customWidth="1"/>
    <col min="186" max="186" width="26.7109375" bestFit="1" customWidth="1"/>
    <col min="187" max="187" width="27.42578125" bestFit="1" customWidth="1"/>
    <col min="188" max="188" width="27.28515625" bestFit="1" customWidth="1"/>
    <col min="189" max="189" width="26.5703125" bestFit="1" customWidth="1"/>
  </cols>
  <sheetData>
    <row r="1" spans="1:10" ht="25.5" customHeight="1">
      <c r="A1" s="33" t="s">
        <v>0</v>
      </c>
      <c r="B1" s="33" t="s">
        <v>986</v>
      </c>
      <c r="C1" s="33" t="s">
        <v>2437</v>
      </c>
      <c r="D1" s="33" t="s">
        <v>4113</v>
      </c>
    </row>
    <row r="2" spans="1:10" ht="15.75">
      <c r="A2" s="33">
        <v>1</v>
      </c>
      <c r="B2" s="64" t="s">
        <v>2435</v>
      </c>
      <c r="C2" s="64" t="s">
        <v>2826</v>
      </c>
      <c r="H2" s="105"/>
      <c r="I2" s="105"/>
      <c r="J2" s="105"/>
    </row>
    <row r="3" spans="1:10" ht="25.5" customHeight="1">
      <c r="A3" s="33">
        <v>2</v>
      </c>
      <c r="B3" s="64" t="s">
        <v>1161</v>
      </c>
      <c r="C3" s="64" t="s">
        <v>2846</v>
      </c>
      <c r="H3" s="64"/>
      <c r="I3" s="64"/>
      <c r="J3" s="64"/>
    </row>
    <row r="4" spans="1:10" ht="25.5" customHeight="1">
      <c r="A4" s="33">
        <v>3</v>
      </c>
      <c r="B4" s="64" t="s">
        <v>2725</v>
      </c>
      <c r="C4" s="64" t="s">
        <v>2825</v>
      </c>
      <c r="H4" s="64"/>
      <c r="I4" s="64"/>
      <c r="J4" s="64"/>
    </row>
    <row r="5" spans="1:10" ht="25.5" customHeight="1">
      <c r="A5" s="33">
        <v>4</v>
      </c>
      <c r="B5" s="64" t="s">
        <v>1454</v>
      </c>
      <c r="C5" s="64" t="s">
        <v>2847</v>
      </c>
      <c r="H5" s="64"/>
      <c r="I5" s="64"/>
      <c r="J5" s="64"/>
    </row>
    <row r="6" spans="1:10" ht="25.5" customHeight="1">
      <c r="A6" s="33">
        <v>5</v>
      </c>
      <c r="B6" s="64" t="s">
        <v>1045</v>
      </c>
      <c r="C6" s="64" t="s">
        <v>2848</v>
      </c>
      <c r="H6" s="64"/>
      <c r="I6" s="64"/>
      <c r="J6" s="64"/>
    </row>
    <row r="7" spans="1:10" ht="30" customHeight="1">
      <c r="A7" s="33">
        <v>6</v>
      </c>
      <c r="B7" s="64" t="s">
        <v>2397</v>
      </c>
      <c r="C7" s="64" t="s">
        <v>2849</v>
      </c>
      <c r="H7" s="64"/>
      <c r="I7" s="64"/>
      <c r="J7" s="64"/>
    </row>
    <row r="8" spans="1:10" ht="46.5" customHeight="1">
      <c r="H8" s="64"/>
      <c r="I8" s="64"/>
      <c r="J8" s="64"/>
    </row>
    <row r="9" spans="1:10" ht="25.5" customHeight="1">
      <c r="H9" s="64"/>
      <c r="I9" s="64"/>
      <c r="J9" s="64"/>
    </row>
    <row r="10" spans="1:10" ht="25.5" customHeight="1">
      <c r="H10" s="64"/>
      <c r="I10" s="64"/>
      <c r="J10" s="64"/>
    </row>
    <row r="11" spans="1:10" ht="25.5" customHeight="1">
      <c r="H11" s="64"/>
      <c r="I11" s="64"/>
      <c r="J11" s="64"/>
    </row>
    <row r="12" spans="1:10" ht="25.5" customHeight="1">
      <c r="H12" s="64"/>
      <c r="I12" s="64"/>
      <c r="J12" s="64"/>
    </row>
    <row r="13" spans="1:10" ht="25.5" customHeight="1">
      <c r="H13" s="64"/>
      <c r="I13" s="64"/>
      <c r="J13" s="64"/>
    </row>
    <row r="14" spans="1:10" ht="25.5" customHeight="1">
      <c r="H14" s="64"/>
      <c r="I14" s="64"/>
      <c r="J14" s="64"/>
    </row>
    <row r="15" spans="1:10" ht="25.5" customHeight="1">
      <c r="H15" s="64"/>
      <c r="I15" s="64"/>
      <c r="J15" s="64"/>
    </row>
  </sheetData>
  <phoneticPr fontId="16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F5963-5EE1-4818-AD25-9BE30A40124C}">
  <sheetPr codeName="Sheet1"/>
  <dimension ref="A1:F51"/>
  <sheetViews>
    <sheetView topLeftCell="A35" zoomScale="85" zoomScaleNormal="85" workbookViewId="0">
      <selection activeCell="E41" sqref="E41"/>
    </sheetView>
  </sheetViews>
  <sheetFormatPr defaultColWidth="9.5703125" defaultRowHeight="15.75"/>
  <cols>
    <col min="1" max="1" width="9.5703125" style="280"/>
    <col min="2" max="2" width="19.85546875" style="282" bestFit="1" customWidth="1"/>
    <col min="3" max="3" width="43.42578125" style="282" bestFit="1" customWidth="1"/>
    <col min="4" max="4" width="38" style="281" bestFit="1" customWidth="1"/>
    <col min="5" max="5" width="46.140625" style="282" customWidth="1"/>
    <col min="6" max="6" width="30.5703125" style="282" bestFit="1" customWidth="1"/>
    <col min="7" max="16384" width="9.5703125" style="282"/>
  </cols>
  <sheetData>
    <row r="1" spans="1:6">
      <c r="A1" s="280" t="s">
        <v>988</v>
      </c>
      <c r="B1" s="280" t="s">
        <v>1662</v>
      </c>
      <c r="C1" s="280" t="s">
        <v>1663</v>
      </c>
      <c r="F1" s="283"/>
    </row>
    <row r="2" spans="1:6">
      <c r="A2" s="280">
        <f>ROW()-1</f>
        <v>1</v>
      </c>
      <c r="B2" s="282" t="s">
        <v>1664</v>
      </c>
      <c r="C2" s="282" t="s">
        <v>1665</v>
      </c>
      <c r="F2" s="283" t="s">
        <v>1666</v>
      </c>
    </row>
    <row r="3" spans="1:6">
      <c r="A3" s="280">
        <f t="shared" ref="A3:A51" si="0">ROW()-1</f>
        <v>2</v>
      </c>
      <c r="B3" s="282" t="s">
        <v>1667</v>
      </c>
      <c r="C3" s="282" t="s">
        <v>1668</v>
      </c>
      <c r="F3" s="284" t="s">
        <v>1669</v>
      </c>
    </row>
    <row r="4" spans="1:6">
      <c r="A4" s="280">
        <f t="shared" si="0"/>
        <v>3</v>
      </c>
      <c r="B4" s="282" t="s">
        <v>1670</v>
      </c>
      <c r="C4" s="282" t="s">
        <v>1671</v>
      </c>
      <c r="F4" s="284" t="s">
        <v>1672</v>
      </c>
    </row>
    <row r="5" spans="1:6">
      <c r="A5" s="280">
        <f t="shared" si="0"/>
        <v>4</v>
      </c>
      <c r="B5" s="282" t="s">
        <v>1673</v>
      </c>
      <c r="C5" s="282" t="s">
        <v>1674</v>
      </c>
      <c r="F5" s="284" t="s">
        <v>1675</v>
      </c>
    </row>
    <row r="6" spans="1:6">
      <c r="A6" s="280">
        <f t="shared" si="0"/>
        <v>5</v>
      </c>
      <c r="B6" s="281" t="s">
        <v>1676</v>
      </c>
      <c r="C6" s="282" t="s">
        <v>1677</v>
      </c>
      <c r="F6" s="283"/>
    </row>
    <row r="7" spans="1:6">
      <c r="A7" s="280">
        <f t="shared" si="0"/>
        <v>6</v>
      </c>
      <c r="B7" s="282" t="s">
        <v>1678</v>
      </c>
      <c r="C7" s="282" t="s">
        <v>1679</v>
      </c>
      <c r="F7" s="283"/>
    </row>
    <row r="8" spans="1:6">
      <c r="A8" s="280">
        <f t="shared" si="0"/>
        <v>7</v>
      </c>
      <c r="B8" s="282" t="s">
        <v>1680</v>
      </c>
      <c r="C8" s="285" t="s">
        <v>1681</v>
      </c>
      <c r="F8" s="283"/>
    </row>
    <row r="9" spans="1:6" ht="16.5">
      <c r="A9" s="280">
        <f t="shared" si="0"/>
        <v>8</v>
      </c>
      <c r="B9" s="282" t="s">
        <v>1682</v>
      </c>
      <c r="C9" s="282" t="s">
        <v>1683</v>
      </c>
      <c r="F9" s="284" t="s">
        <v>1684</v>
      </c>
    </row>
    <row r="10" spans="1:6">
      <c r="A10" s="280">
        <f t="shared" si="0"/>
        <v>9</v>
      </c>
      <c r="B10" s="282" t="s">
        <v>1685</v>
      </c>
      <c r="C10" s="282" t="s">
        <v>1686</v>
      </c>
    </row>
    <row r="11" spans="1:6">
      <c r="A11" s="280">
        <f t="shared" si="0"/>
        <v>10</v>
      </c>
      <c r="B11" s="282" t="s">
        <v>1687</v>
      </c>
      <c r="C11" s="282" t="s">
        <v>1688</v>
      </c>
    </row>
    <row r="12" spans="1:6">
      <c r="A12" s="280">
        <f t="shared" si="0"/>
        <v>11</v>
      </c>
      <c r="B12" s="282" t="s">
        <v>1689</v>
      </c>
      <c r="C12" s="282" t="s">
        <v>1690</v>
      </c>
    </row>
    <row r="13" spans="1:6">
      <c r="A13" s="280">
        <f t="shared" si="0"/>
        <v>12</v>
      </c>
      <c r="B13" s="282" t="s">
        <v>1691</v>
      </c>
      <c r="C13" s="282" t="s">
        <v>1692</v>
      </c>
    </row>
    <row r="14" spans="1:6">
      <c r="A14" s="280">
        <f t="shared" si="0"/>
        <v>13</v>
      </c>
      <c r="B14" s="282" t="s">
        <v>1693</v>
      </c>
      <c r="C14" s="282" t="s">
        <v>1694</v>
      </c>
    </row>
    <row r="15" spans="1:6">
      <c r="A15" s="280">
        <f t="shared" si="0"/>
        <v>14</v>
      </c>
      <c r="B15" s="282" t="s">
        <v>1695</v>
      </c>
      <c r="C15" s="282" t="s">
        <v>1696</v>
      </c>
    </row>
    <row r="16" spans="1:6">
      <c r="A16" s="280">
        <f t="shared" si="0"/>
        <v>15</v>
      </c>
      <c r="B16" s="282" t="s">
        <v>1697</v>
      </c>
      <c r="C16" s="282" t="s">
        <v>1698</v>
      </c>
    </row>
    <row r="17" spans="1:4">
      <c r="A17" s="280">
        <f t="shared" si="0"/>
        <v>16</v>
      </c>
      <c r="B17" s="282" t="s">
        <v>1699</v>
      </c>
      <c r="C17" s="282" t="s">
        <v>1700</v>
      </c>
    </row>
    <row r="18" spans="1:4">
      <c r="A18" s="280">
        <f t="shared" si="0"/>
        <v>17</v>
      </c>
      <c r="B18" s="282" t="s">
        <v>1701</v>
      </c>
      <c r="C18" s="282" t="s">
        <v>1702</v>
      </c>
    </row>
    <row r="19" spans="1:4">
      <c r="A19" s="280">
        <f t="shared" si="0"/>
        <v>18</v>
      </c>
      <c r="B19" s="281" t="s">
        <v>1703</v>
      </c>
      <c r="C19" s="282" t="s">
        <v>1704</v>
      </c>
    </row>
    <row r="20" spans="1:4">
      <c r="A20" s="280">
        <f t="shared" si="0"/>
        <v>19</v>
      </c>
      <c r="B20" s="282" t="s">
        <v>1705</v>
      </c>
      <c r="C20" s="282" t="s">
        <v>1706</v>
      </c>
    </row>
    <row r="21" spans="1:4">
      <c r="A21" s="280">
        <f t="shared" si="0"/>
        <v>20</v>
      </c>
      <c r="B21" s="282" t="s">
        <v>1707</v>
      </c>
      <c r="C21" s="282" t="s">
        <v>1708</v>
      </c>
    </row>
    <row r="22" spans="1:4">
      <c r="A22" s="280">
        <f t="shared" si="0"/>
        <v>21</v>
      </c>
      <c r="B22" s="282" t="s">
        <v>1709</v>
      </c>
      <c r="C22" s="282" t="s">
        <v>1710</v>
      </c>
    </row>
    <row r="23" spans="1:4">
      <c r="A23" s="280">
        <f t="shared" si="0"/>
        <v>22</v>
      </c>
      <c r="B23" s="282" t="s">
        <v>1711</v>
      </c>
      <c r="C23" s="282" t="s">
        <v>1712</v>
      </c>
      <c r="D23" s="281" t="s">
        <v>1713</v>
      </c>
    </row>
    <row r="24" spans="1:4">
      <c r="A24" s="280">
        <f t="shared" si="0"/>
        <v>23</v>
      </c>
      <c r="B24" s="282" t="s">
        <v>1714</v>
      </c>
      <c r="C24" s="282" t="s">
        <v>1715</v>
      </c>
    </row>
    <row r="25" spans="1:4" ht="16.5">
      <c r="A25" s="280">
        <f t="shared" si="0"/>
        <v>24</v>
      </c>
      <c r="B25" s="282" t="s">
        <v>1716</v>
      </c>
      <c r="C25" s="282" t="s">
        <v>1717</v>
      </c>
      <c r="D25" s="286" t="s">
        <v>1718</v>
      </c>
    </row>
    <row r="26" spans="1:4">
      <c r="A26" s="280">
        <f t="shared" si="0"/>
        <v>25</v>
      </c>
      <c r="B26" s="282" t="s">
        <v>1719</v>
      </c>
      <c r="C26" s="282" t="s">
        <v>1720</v>
      </c>
    </row>
    <row r="27" spans="1:4">
      <c r="A27" s="280">
        <f t="shared" si="0"/>
        <v>26</v>
      </c>
      <c r="B27" s="282" t="s">
        <v>1721</v>
      </c>
      <c r="C27" s="282" t="s">
        <v>1722</v>
      </c>
    </row>
    <row r="28" spans="1:4" ht="16.5">
      <c r="A28" s="280">
        <f t="shared" si="0"/>
        <v>27</v>
      </c>
      <c r="B28" s="282" t="s">
        <v>1723</v>
      </c>
      <c r="C28" s="287" t="s">
        <v>1724</v>
      </c>
    </row>
    <row r="29" spans="1:4" ht="16.5">
      <c r="A29" s="280">
        <f t="shared" si="0"/>
        <v>28</v>
      </c>
      <c r="B29" s="282" t="s">
        <v>1725</v>
      </c>
      <c r="C29" s="287" t="s">
        <v>1726</v>
      </c>
    </row>
    <row r="30" spans="1:4" ht="16.5">
      <c r="A30" s="280">
        <f t="shared" si="0"/>
        <v>29</v>
      </c>
      <c r="B30" s="282" t="s">
        <v>1727</v>
      </c>
      <c r="C30" s="287" t="s">
        <v>1728</v>
      </c>
    </row>
    <row r="31" spans="1:4">
      <c r="A31" s="280">
        <f t="shared" si="0"/>
        <v>30</v>
      </c>
      <c r="B31" s="282" t="s">
        <v>1729</v>
      </c>
      <c r="C31" s="282" t="s">
        <v>1730</v>
      </c>
    </row>
    <row r="32" spans="1:4">
      <c r="A32" s="280">
        <f t="shared" si="0"/>
        <v>31</v>
      </c>
      <c r="B32" s="282" t="s">
        <v>1731</v>
      </c>
      <c r="C32" s="282" t="s">
        <v>1732</v>
      </c>
    </row>
    <row r="33" spans="1:5">
      <c r="A33" s="280">
        <f t="shared" si="0"/>
        <v>32</v>
      </c>
      <c r="B33" s="282" t="s">
        <v>1733</v>
      </c>
      <c r="C33" s="282" t="s">
        <v>1734</v>
      </c>
    </row>
    <row r="34" spans="1:5">
      <c r="A34" s="280">
        <f t="shared" si="0"/>
        <v>33</v>
      </c>
      <c r="B34" s="282" t="s">
        <v>1735</v>
      </c>
      <c r="C34" s="282" t="s">
        <v>1736</v>
      </c>
    </row>
    <row r="35" spans="1:5" ht="16.5">
      <c r="A35" s="280">
        <f t="shared" si="0"/>
        <v>34</v>
      </c>
      <c r="B35" s="282" t="s">
        <v>1737</v>
      </c>
      <c r="C35" s="282" t="s">
        <v>1738</v>
      </c>
      <c r="D35" s="286" t="s">
        <v>1739</v>
      </c>
      <c r="E35" s="288"/>
    </row>
    <row r="36" spans="1:5" ht="16.5">
      <c r="A36" s="280">
        <f t="shared" si="0"/>
        <v>35</v>
      </c>
      <c r="B36" s="282" t="s">
        <v>1740</v>
      </c>
      <c r="C36" s="282" t="s">
        <v>1741</v>
      </c>
      <c r="D36" s="286" t="s">
        <v>1742</v>
      </c>
    </row>
    <row r="37" spans="1:5" ht="16.5">
      <c r="A37" s="280">
        <f t="shared" si="0"/>
        <v>36</v>
      </c>
      <c r="B37" s="282" t="s">
        <v>1743</v>
      </c>
      <c r="C37" s="289"/>
      <c r="D37" s="286" t="s">
        <v>1744</v>
      </c>
    </row>
    <row r="38" spans="1:5" ht="16.5">
      <c r="A38" s="280">
        <f t="shared" si="0"/>
        <v>37</v>
      </c>
      <c r="B38" s="282" t="s">
        <v>1745</v>
      </c>
      <c r="C38" s="282" t="s">
        <v>1746</v>
      </c>
      <c r="D38" s="286" t="s">
        <v>1747</v>
      </c>
    </row>
    <row r="39" spans="1:5" ht="49.5">
      <c r="A39" s="280">
        <f t="shared" si="0"/>
        <v>38</v>
      </c>
      <c r="B39" s="290" t="s">
        <v>1748</v>
      </c>
      <c r="C39" s="282" t="s">
        <v>1749</v>
      </c>
      <c r="D39" s="286" t="s">
        <v>1750</v>
      </c>
      <c r="E39" s="291" t="s">
        <v>1751</v>
      </c>
    </row>
    <row r="40" spans="1:5" ht="66">
      <c r="A40" s="280">
        <f t="shared" si="0"/>
        <v>39</v>
      </c>
      <c r="B40" s="290" t="s">
        <v>1748</v>
      </c>
      <c r="C40" s="282" t="s">
        <v>1752</v>
      </c>
      <c r="D40" s="286" t="s">
        <v>1753</v>
      </c>
      <c r="E40" s="291" t="s">
        <v>1754</v>
      </c>
    </row>
    <row r="41" spans="1:5" ht="159.75" customHeight="1">
      <c r="A41" s="280">
        <f t="shared" si="0"/>
        <v>40</v>
      </c>
      <c r="B41" s="282" t="s">
        <v>1755</v>
      </c>
      <c r="C41" s="292" t="s">
        <v>1748</v>
      </c>
      <c r="D41" s="286" t="s">
        <v>1756</v>
      </c>
      <c r="E41" s="281" t="s">
        <v>1757</v>
      </c>
    </row>
    <row r="42" spans="1:5">
      <c r="A42" s="280">
        <f t="shared" si="0"/>
        <v>41</v>
      </c>
      <c r="B42" s="282" t="s">
        <v>1758</v>
      </c>
    </row>
    <row r="43" spans="1:5">
      <c r="A43" s="280">
        <f t="shared" si="0"/>
        <v>42</v>
      </c>
      <c r="B43" s="282" t="s">
        <v>1759</v>
      </c>
      <c r="C43" s="282" t="s">
        <v>1760</v>
      </c>
    </row>
    <row r="44" spans="1:5" ht="16.5">
      <c r="A44" s="280">
        <f t="shared" si="0"/>
        <v>43</v>
      </c>
      <c r="B44" s="282" t="s">
        <v>1761</v>
      </c>
      <c r="C44" s="282" t="s">
        <v>1762</v>
      </c>
      <c r="D44" s="293" t="s">
        <v>1763</v>
      </c>
    </row>
    <row r="45" spans="1:5" ht="16.5">
      <c r="A45" s="280">
        <f t="shared" si="0"/>
        <v>44</v>
      </c>
      <c r="B45" s="282" t="s">
        <v>1764</v>
      </c>
      <c r="C45" s="282" t="s">
        <v>1765</v>
      </c>
      <c r="D45" s="293" t="s">
        <v>1766</v>
      </c>
    </row>
    <row r="46" spans="1:5">
      <c r="A46" s="280">
        <f t="shared" si="0"/>
        <v>45</v>
      </c>
      <c r="B46" s="282" t="s">
        <v>1767</v>
      </c>
      <c r="C46" s="282" t="s">
        <v>1768</v>
      </c>
    </row>
    <row r="47" spans="1:5">
      <c r="A47" s="280">
        <f t="shared" si="0"/>
        <v>46</v>
      </c>
      <c r="B47" s="282" t="s">
        <v>1769</v>
      </c>
      <c r="C47" s="282" t="s">
        <v>1770</v>
      </c>
    </row>
    <row r="48" spans="1:5" ht="16.5">
      <c r="A48" s="280">
        <f t="shared" si="0"/>
        <v>47</v>
      </c>
      <c r="B48" s="282" t="s">
        <v>1771</v>
      </c>
      <c r="C48" s="282" t="s">
        <v>1772</v>
      </c>
      <c r="D48" s="293" t="s">
        <v>1773</v>
      </c>
    </row>
    <row r="49" spans="1:4" ht="45.6" customHeight="1">
      <c r="A49" s="280">
        <f t="shared" si="0"/>
        <v>48</v>
      </c>
      <c r="B49" s="282" t="s">
        <v>1774</v>
      </c>
      <c r="D49" s="294"/>
    </row>
    <row r="50" spans="1:4">
      <c r="A50" s="280">
        <f t="shared" si="0"/>
        <v>49</v>
      </c>
      <c r="B50" s="282" t="s">
        <v>1775</v>
      </c>
      <c r="C50" s="282" t="s">
        <v>1776</v>
      </c>
      <c r="D50" s="281" t="s">
        <v>1777</v>
      </c>
    </row>
    <row r="51" spans="1:4" ht="63">
      <c r="A51" s="280">
        <f t="shared" si="0"/>
        <v>50</v>
      </c>
      <c r="B51" s="282" t="s">
        <v>1778</v>
      </c>
      <c r="C51" s="282" t="s">
        <v>1779</v>
      </c>
      <c r="D51" s="281" t="s">
        <v>1780</v>
      </c>
    </row>
  </sheetData>
  <autoFilter ref="A1:F24" xr:uid="{240C78F0-CEE5-4EA9-994D-BD5D940777C2}"/>
  <phoneticPr fontId="164" type="noConversion"/>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1740B-C1DF-4213-BE31-334126659754}">
  <sheetPr codeName="Sheet49">
    <tabColor theme="7" tint="0.59999389629810485"/>
  </sheetPr>
  <dimension ref="A1"/>
  <sheetViews>
    <sheetView view="pageBreakPreview" zoomScaleNormal="100" zoomScaleSheetLayoutView="100" workbookViewId="0">
      <selection activeCell="N14" sqref="N14"/>
    </sheetView>
  </sheetViews>
  <sheetFormatPr defaultColWidth="8.7109375" defaultRowHeight="15.75"/>
  <sheetData/>
  <phoneticPr fontId="164"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BAA6A-437A-44B5-BE51-5E466E997CBF}">
  <sheetPr codeName="Sheet45"/>
  <dimension ref="A1:M5"/>
  <sheetViews>
    <sheetView workbookViewId="0">
      <selection activeCell="J26" sqref="J26"/>
    </sheetView>
  </sheetViews>
  <sheetFormatPr defaultColWidth="11.42578125" defaultRowHeight="15.75"/>
  <cols>
    <col min="1" max="1" width="13.42578125" customWidth="1"/>
    <col min="2" max="2" width="14.140625" customWidth="1"/>
    <col min="3" max="4" width="13.42578125" customWidth="1"/>
    <col min="5" max="5" width="18.42578125" customWidth="1"/>
    <col min="6" max="6" width="13.42578125" customWidth="1"/>
    <col min="7" max="7" width="19.140625" customWidth="1"/>
    <col min="8" max="13" width="13.42578125" customWidth="1"/>
  </cols>
  <sheetData>
    <row r="1" spans="1:13" ht="35.450000000000003" customHeight="1">
      <c r="A1" s="555" t="s">
        <v>0</v>
      </c>
      <c r="B1" s="555" t="s">
        <v>26</v>
      </c>
      <c r="C1" s="555" t="s">
        <v>4020</v>
      </c>
      <c r="D1" s="555" t="s">
        <v>3963</v>
      </c>
      <c r="E1" s="555" t="s">
        <v>3967</v>
      </c>
      <c r="F1" s="555" t="s">
        <v>3964</v>
      </c>
      <c r="G1" s="555" t="s">
        <v>3965</v>
      </c>
      <c r="H1" s="555" t="s">
        <v>3966</v>
      </c>
      <c r="I1" s="555" t="s">
        <v>3968</v>
      </c>
      <c r="J1" s="555" t="s">
        <v>986</v>
      </c>
      <c r="K1" s="555" t="s">
        <v>3969</v>
      </c>
      <c r="L1" s="555" t="s">
        <v>3970</v>
      </c>
      <c r="M1" s="555" t="s">
        <v>2438</v>
      </c>
    </row>
    <row r="2" spans="1:13">
      <c r="A2" s="455"/>
      <c r="B2" s="33"/>
      <c r="C2" s="33"/>
      <c r="D2" s="33"/>
      <c r="E2" s="33"/>
      <c r="F2" s="33"/>
      <c r="G2" s="33"/>
    </row>
    <row r="3" spans="1:13">
      <c r="A3" s="33"/>
      <c r="B3" s="33"/>
      <c r="C3" s="33"/>
      <c r="D3" s="33"/>
      <c r="E3" s="33"/>
      <c r="F3" s="33"/>
      <c r="G3" s="33"/>
    </row>
    <row r="4" spans="1:13">
      <c r="A4" s="33"/>
      <c r="B4" s="33"/>
      <c r="C4" s="33"/>
      <c r="D4" s="33"/>
      <c r="E4" s="33"/>
      <c r="F4" s="33"/>
      <c r="G4" s="33"/>
    </row>
    <row r="5" spans="1:13">
      <c r="A5" s="33"/>
      <c r="B5" s="33"/>
      <c r="C5" s="33"/>
      <c r="D5" s="33"/>
      <c r="E5" s="33"/>
      <c r="F5" s="33"/>
      <c r="G5" s="33"/>
    </row>
  </sheetData>
  <phoneticPr fontId="164" type="noConversion"/>
  <conditionalFormatting sqref="A2">
    <cfRule type="expression" dxfId="180" priority="2">
      <formula>OR($AF2="No", $AG2="No")</formula>
    </cfRule>
    <cfRule type="expression" dxfId="179" priority="3">
      <formula>AND($AF2="Yes",$AG2="Yes")</formula>
    </cfRule>
  </conditionalFormatting>
  <conditionalFormatting sqref="A2:M2">
    <cfRule type="expression" dxfId="178" priority="1">
      <formula>$A2&lt;&gt;""</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6CA72-FC81-4E63-B5C7-40B62A0E33E8}">
  <sheetPr codeName="Sheet48">
    <tabColor theme="7" tint="0.59999389629810485"/>
  </sheetPr>
  <dimension ref="A1"/>
  <sheetViews>
    <sheetView view="pageBreakPreview" zoomScaleNormal="100" zoomScaleSheetLayoutView="100" workbookViewId="0">
      <selection activeCell="L28" sqref="L28"/>
    </sheetView>
  </sheetViews>
  <sheetFormatPr defaultColWidth="8.7109375" defaultRowHeight="15.75"/>
  <cols>
    <col min="1" max="16384" width="8.7109375" style="1"/>
  </cols>
  <sheetData/>
  <phoneticPr fontId="164" type="noConversion"/>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E208E-1782-4EB2-960F-8B8A3249A26F}">
  <sheetPr codeName="Sheet4">
    <tabColor theme="0" tint="-0.34998626667073579"/>
  </sheetPr>
  <dimension ref="A1:M100"/>
  <sheetViews>
    <sheetView zoomScaleNormal="100" workbookViewId="0">
      <selection activeCell="E28" sqref="E28"/>
    </sheetView>
  </sheetViews>
  <sheetFormatPr defaultRowHeight="15.75"/>
  <cols>
    <col min="2" max="2" width="30.28515625" style="586" bestFit="1" customWidth="1"/>
    <col min="3" max="3" width="48.5703125" style="586" customWidth="1"/>
    <col min="4" max="4" width="14.42578125" customWidth="1"/>
    <col min="5" max="5" width="15.42578125" style="2" bestFit="1" customWidth="1"/>
    <col min="6" max="7" width="25.7109375" customWidth="1"/>
    <col min="8" max="8" width="15.7109375" customWidth="1"/>
    <col min="9" max="9" width="24.28515625" bestFit="1" customWidth="1"/>
    <col min="10" max="10" width="19.28515625" customWidth="1"/>
    <col min="13" max="13" width="10.85546875" bestFit="1" customWidth="1"/>
  </cols>
  <sheetData>
    <row r="1" spans="1:13" s="1" customFormat="1" ht="42" customHeight="1">
      <c r="A1" s="37" t="s">
        <v>0</v>
      </c>
      <c r="B1" s="37" t="s">
        <v>314</v>
      </c>
      <c r="C1" s="38" t="s">
        <v>315</v>
      </c>
      <c r="D1" s="38" t="s">
        <v>316</v>
      </c>
      <c r="E1" s="37" t="s">
        <v>4086</v>
      </c>
      <c r="F1" s="37" t="s">
        <v>4087</v>
      </c>
      <c r="G1" s="38" t="s">
        <v>1</v>
      </c>
    </row>
    <row r="2" spans="1:13">
      <c r="A2" s="277">
        <f>IF(B2&lt;&gt;"", COUNTA($B2:B$2), "")</f>
        <v>1</v>
      </c>
      <c r="B2" s="595" t="s">
        <v>317</v>
      </c>
      <c r="C2" s="592" t="s">
        <v>318</v>
      </c>
      <c r="D2" s="588" t="s">
        <v>148</v>
      </c>
      <c r="E2" s="30" t="str">
        <f>IF(F2="void", "void", IF(OR(F2="No submit", F2=""), "No submit", "v"))</f>
        <v>void</v>
      </c>
      <c r="F2" s="588" t="s">
        <v>173</v>
      </c>
      <c r="G2" s="550"/>
      <c r="H2" s="104"/>
    </row>
    <row r="3" spans="1:13">
      <c r="A3" s="277">
        <f>IF(B3&lt;&gt;"", COUNTA($B$2:B3), "")</f>
        <v>2</v>
      </c>
      <c r="B3" s="587" t="s">
        <v>320</v>
      </c>
      <c r="C3" s="593" t="s">
        <v>321</v>
      </c>
      <c r="D3" s="589">
        <v>3</v>
      </c>
      <c r="E3" s="30" t="str">
        <f>IF(F3="void", "void", IF(OR(F3="No submit", F3=""), "No submit", "v"))</f>
        <v>v</v>
      </c>
      <c r="F3" s="587" t="s">
        <v>73</v>
      </c>
      <c r="G3" s="30"/>
      <c r="H3" s="104"/>
      <c r="I3" s="46"/>
      <c r="J3" s="34" t="s">
        <v>322</v>
      </c>
    </row>
    <row r="4" spans="1:13">
      <c r="A4" s="277">
        <f>IF(B4&lt;&gt;"", COUNTA($B$2:B4), "")</f>
        <v>3</v>
      </c>
      <c r="B4" s="587" t="s">
        <v>323</v>
      </c>
      <c r="C4" s="593" t="s">
        <v>324</v>
      </c>
      <c r="D4" s="589">
        <v>2</v>
      </c>
      <c r="E4" s="30" t="str">
        <f t="shared" ref="E4:E14" si="0">IF(F4="void", "void", IF(OR(F4="No submit", F4=""), "No submit", "v"))</f>
        <v>v</v>
      </c>
      <c r="F4" s="587" t="s">
        <v>73</v>
      </c>
      <c r="G4" s="30"/>
      <c r="H4" s="104"/>
      <c r="I4" s="44" t="s">
        <v>73</v>
      </c>
      <c r="J4" s="590">
        <f t="shared" ref="J4:J9" si="1">COUNTIF($F$1:$F$952,I4)</f>
        <v>10</v>
      </c>
      <c r="K4" s="1159">
        <f>SUM(J4:J5)</f>
        <v>10</v>
      </c>
    </row>
    <row r="5" spans="1:13">
      <c r="A5" s="277">
        <f>IF(B5&lt;&gt;"", COUNTA($B$2:B5), "")</f>
        <v>4</v>
      </c>
      <c r="B5" s="587" t="s">
        <v>325</v>
      </c>
      <c r="C5" s="593" t="s">
        <v>326</v>
      </c>
      <c r="D5" s="589">
        <v>2</v>
      </c>
      <c r="E5" s="30" t="str">
        <f t="shared" si="0"/>
        <v>v</v>
      </c>
      <c r="F5" s="587" t="s">
        <v>73</v>
      </c>
      <c r="G5" s="30"/>
      <c r="H5" s="104"/>
      <c r="I5" s="44" t="s">
        <v>49</v>
      </c>
      <c r="J5" s="590">
        <f t="shared" si="1"/>
        <v>0</v>
      </c>
      <c r="K5" s="1159"/>
    </row>
    <row r="6" spans="1:13">
      <c r="A6" s="277">
        <f>IF(B6&lt;&gt;"", COUNTA($B$2:B6), "")</f>
        <v>5</v>
      </c>
      <c r="B6" s="595" t="s">
        <v>327</v>
      </c>
      <c r="C6" s="592" t="s">
        <v>328</v>
      </c>
      <c r="D6" s="588" t="s">
        <v>148</v>
      </c>
      <c r="E6" s="30" t="str">
        <f t="shared" si="0"/>
        <v>void</v>
      </c>
      <c r="F6" s="588" t="s">
        <v>319</v>
      </c>
      <c r="G6" s="550"/>
      <c r="H6" s="104"/>
      <c r="I6" s="44" t="s">
        <v>241</v>
      </c>
      <c r="J6" s="590">
        <f t="shared" si="1"/>
        <v>0</v>
      </c>
    </row>
    <row r="7" spans="1:13">
      <c r="A7" s="277">
        <f>IF(B7&lt;&gt;"", COUNTA($B$2:B7), "")</f>
        <v>6</v>
      </c>
      <c r="B7" s="595" t="s">
        <v>329</v>
      </c>
      <c r="C7" s="592" t="s">
        <v>330</v>
      </c>
      <c r="D7" s="588" t="s">
        <v>148</v>
      </c>
      <c r="E7" s="30" t="str">
        <f t="shared" si="0"/>
        <v>void</v>
      </c>
      <c r="F7" s="588" t="s">
        <v>319</v>
      </c>
      <c r="G7" s="550"/>
      <c r="H7" s="104"/>
      <c r="I7" s="44" t="s">
        <v>331</v>
      </c>
      <c r="J7" s="590">
        <f t="shared" si="1"/>
        <v>0</v>
      </c>
    </row>
    <row r="8" spans="1:13">
      <c r="A8" s="277">
        <f>IF(B8&lt;&gt;"", COUNTA($B$2:B8), "")</f>
        <v>7</v>
      </c>
      <c r="B8" s="587" t="s">
        <v>332</v>
      </c>
      <c r="C8" s="593" t="s">
        <v>333</v>
      </c>
      <c r="D8" s="589">
        <v>2</v>
      </c>
      <c r="E8" s="30" t="str">
        <f t="shared" si="0"/>
        <v>v</v>
      </c>
      <c r="F8" s="587" t="s">
        <v>73</v>
      </c>
      <c r="G8" s="30"/>
      <c r="H8" s="104"/>
      <c r="I8" s="44" t="s">
        <v>213</v>
      </c>
      <c r="J8" s="590">
        <f t="shared" si="1"/>
        <v>0</v>
      </c>
    </row>
    <row r="9" spans="1:13">
      <c r="A9" s="277">
        <f>IF(B9&lt;&gt;"", COUNTA($B$2:B9), "")</f>
        <v>8</v>
      </c>
      <c r="B9" s="587" t="s">
        <v>334</v>
      </c>
      <c r="C9" s="593" t="s">
        <v>335</v>
      </c>
      <c r="D9" s="589">
        <v>2</v>
      </c>
      <c r="E9" s="30" t="str">
        <f t="shared" si="0"/>
        <v>v</v>
      </c>
      <c r="F9" s="587" t="s">
        <v>73</v>
      </c>
      <c r="G9" s="30"/>
      <c r="H9" s="104"/>
      <c r="I9" s="44" t="s">
        <v>336</v>
      </c>
      <c r="J9" s="590">
        <f t="shared" si="1"/>
        <v>0</v>
      </c>
    </row>
    <row r="10" spans="1:13">
      <c r="A10" s="277">
        <f>IF(B10&lt;&gt;"", COUNTA($B$2:B10), "")</f>
        <v>9</v>
      </c>
      <c r="B10" s="587" t="s">
        <v>337</v>
      </c>
      <c r="C10" s="593" t="s">
        <v>338</v>
      </c>
      <c r="D10" s="589">
        <v>2</v>
      </c>
      <c r="E10" s="30" t="str">
        <f t="shared" si="0"/>
        <v>v</v>
      </c>
      <c r="F10" s="587" t="s">
        <v>73</v>
      </c>
      <c r="G10" s="30"/>
      <c r="H10" s="104"/>
      <c r="I10" s="44" t="s">
        <v>319</v>
      </c>
      <c r="J10" s="591">
        <f>COUNTIF($F$1:$F$1002,I10)</f>
        <v>3</v>
      </c>
    </row>
    <row r="11" spans="1:13">
      <c r="A11" s="277">
        <f>IF(B11&lt;&gt;"", COUNTA($B$2:B11), "")</f>
        <v>10</v>
      </c>
      <c r="B11" s="587" t="s">
        <v>339</v>
      </c>
      <c r="C11" s="594" t="s">
        <v>340</v>
      </c>
      <c r="D11" s="589">
        <v>3</v>
      </c>
      <c r="E11" s="30" t="str">
        <f t="shared" si="0"/>
        <v>v</v>
      </c>
      <c r="F11" s="587" t="s">
        <v>73</v>
      </c>
      <c r="G11" s="30"/>
      <c r="H11" s="104"/>
      <c r="I11" s="2" t="s">
        <v>304</v>
      </c>
      <c r="J11" s="2">
        <f>SUM(J4:J9)</f>
        <v>10</v>
      </c>
    </row>
    <row r="12" spans="1:13">
      <c r="A12" s="277">
        <f>IF(B12&lt;&gt;"", COUNTA($B$2:B12), "")</f>
        <v>11</v>
      </c>
      <c r="B12" s="587" t="s">
        <v>341</v>
      </c>
      <c r="C12" s="594" t="s">
        <v>342</v>
      </c>
      <c r="D12" s="589">
        <v>2</v>
      </c>
      <c r="E12" s="30" t="str">
        <f t="shared" si="0"/>
        <v>v</v>
      </c>
      <c r="F12" s="587" t="s">
        <v>73</v>
      </c>
      <c r="G12" s="30"/>
      <c r="H12" s="104"/>
      <c r="I12" s="2" t="s">
        <v>310</v>
      </c>
      <c r="J12" s="2">
        <f>COUNTIF(E:E,"v")</f>
        <v>10</v>
      </c>
    </row>
    <row r="13" spans="1:13">
      <c r="A13" s="277">
        <f>IF(B13&lt;&gt;"", COUNTA($B$2:B13), "")</f>
        <v>12</v>
      </c>
      <c r="B13" s="587" t="s">
        <v>344</v>
      </c>
      <c r="C13" s="594" t="s">
        <v>345</v>
      </c>
      <c r="D13" s="589">
        <v>2</v>
      </c>
      <c r="E13" s="30" t="str">
        <f t="shared" si="0"/>
        <v>v</v>
      </c>
      <c r="F13" s="587" t="s">
        <v>73</v>
      </c>
      <c r="G13" s="30"/>
      <c r="H13" s="104"/>
      <c r="I13" s="2" t="s">
        <v>343</v>
      </c>
      <c r="J13" s="59">
        <f>SUM(J12/J11)</f>
        <v>1</v>
      </c>
    </row>
    <row r="14" spans="1:13">
      <c r="A14" s="277">
        <f>IF(B14&lt;&gt;"", COUNTA($B$2:B14), "")</f>
        <v>13</v>
      </c>
      <c r="B14" s="587" t="s">
        <v>346</v>
      </c>
      <c r="C14" s="594" t="s">
        <v>347</v>
      </c>
      <c r="D14" s="589">
        <v>3</v>
      </c>
      <c r="E14" s="30" t="str">
        <f t="shared" si="0"/>
        <v>v</v>
      </c>
      <c r="F14" s="587" t="s">
        <v>73</v>
      </c>
      <c r="G14" s="30"/>
      <c r="H14" s="104"/>
      <c r="I14" s="2" t="s">
        <v>313</v>
      </c>
      <c r="J14" s="59" cm="1">
        <f t="array" ref="J14">SUM(J4:J5/J11)</f>
        <v>1</v>
      </c>
      <c r="L14" s="33" t="s">
        <v>348</v>
      </c>
      <c r="M14" s="130">
        <v>45569</v>
      </c>
    </row>
    <row r="15" spans="1:13">
      <c r="A15" s="457" t="str">
        <f>IF(B15&lt;&gt;"", COUNTA($B$2:B15), "")</f>
        <v/>
      </c>
    </row>
    <row r="16" spans="1:13">
      <c r="A16" s="457" t="str">
        <f>IF(B16&lt;&gt;"", COUNTA($B$2:B16), "")</f>
        <v/>
      </c>
      <c r="B16" s="565"/>
      <c r="C16" s="566"/>
      <c r="D16" s="567"/>
      <c r="E16" s="567"/>
      <c r="F16" s="567"/>
    </row>
    <row r="17" spans="1:1">
      <c r="A17" s="457" t="str">
        <f>IF(B17&lt;&gt;"", COUNTA($B$2:B17), "")</f>
        <v/>
      </c>
    </row>
    <row r="18" spans="1:1">
      <c r="A18" s="457" t="str">
        <f>IF(B18&lt;&gt;"", COUNTA($B$2:B18), "")</f>
        <v/>
      </c>
    </row>
    <row r="19" spans="1:1">
      <c r="A19" s="457" t="str">
        <f>IF(B19&lt;&gt;"", COUNTA($B$2:B19), "")</f>
        <v/>
      </c>
    </row>
    <row r="20" spans="1:1">
      <c r="A20" s="457" t="str">
        <f>IF(B20&lt;&gt;"", COUNTA($B$2:B20), "")</f>
        <v/>
      </c>
    </row>
    <row r="21" spans="1:1">
      <c r="A21" s="457" t="str">
        <f>IF(B21&lt;&gt;"", COUNTA($B$2:B21), "")</f>
        <v/>
      </c>
    </row>
    <row r="22" spans="1:1">
      <c r="A22" s="457" t="str">
        <f>IF(B22&lt;&gt;"", COUNTA($B$2:B22), "")</f>
        <v/>
      </c>
    </row>
    <row r="23" spans="1:1">
      <c r="A23" s="457" t="str">
        <f>IF(B23&lt;&gt;"", COUNTA($B$2:B23), "")</f>
        <v/>
      </c>
    </row>
    <row r="24" spans="1:1">
      <c r="A24" s="457" t="str">
        <f>IF(B24&lt;&gt;"", COUNTA($B$2:B24), "")</f>
        <v/>
      </c>
    </row>
    <row r="25" spans="1:1">
      <c r="A25" s="457" t="str">
        <f>IF(B25&lt;&gt;"", COUNTA($B$2:B25), "")</f>
        <v/>
      </c>
    </row>
    <row r="26" spans="1:1">
      <c r="A26" s="457" t="str">
        <f>IF(B26&lt;&gt;"", COUNTA($B$2:B26), "")</f>
        <v/>
      </c>
    </row>
    <row r="27" spans="1:1">
      <c r="A27" s="457" t="str">
        <f>IF(B27&lt;&gt;"", COUNTA($B$2:B27), "")</f>
        <v/>
      </c>
    </row>
    <row r="28" spans="1:1">
      <c r="A28" s="457" t="str">
        <f>IF(B28&lt;&gt;"", COUNTA($B$2:B28), "")</f>
        <v/>
      </c>
    </row>
    <row r="29" spans="1:1">
      <c r="A29" s="457" t="str">
        <f>IF(B29&lt;&gt;"", COUNTA($B$2:B29), "")</f>
        <v/>
      </c>
    </row>
    <row r="30" spans="1:1">
      <c r="A30" s="457" t="str">
        <f>IF(B30&lt;&gt;"", COUNTA($B$2:B30), "")</f>
        <v/>
      </c>
    </row>
    <row r="31" spans="1:1">
      <c r="A31" s="457" t="str">
        <f>IF(B31&lt;&gt;"", COUNTA($B$2:B31), "")</f>
        <v/>
      </c>
    </row>
    <row r="32" spans="1:1">
      <c r="A32" s="457" t="str">
        <f>IF(B32&lt;&gt;"", COUNTA($B$2:B32), "")</f>
        <v/>
      </c>
    </row>
    <row r="33" spans="1:1">
      <c r="A33" s="457" t="str">
        <f>IF(B33&lt;&gt;"", COUNTA($B$2:B33), "")</f>
        <v/>
      </c>
    </row>
    <row r="34" spans="1:1">
      <c r="A34" s="457" t="str">
        <f>IF(B34&lt;&gt;"", COUNTA($B$2:B34), "")</f>
        <v/>
      </c>
    </row>
    <row r="35" spans="1:1">
      <c r="A35" s="457" t="str">
        <f>IF(B35&lt;&gt;"", COUNTA($B$2:B35), "")</f>
        <v/>
      </c>
    </row>
    <row r="36" spans="1:1">
      <c r="A36" s="457" t="str">
        <f>IF(B36&lt;&gt;"", COUNTA($B$2:B36), "")</f>
        <v/>
      </c>
    </row>
    <row r="37" spans="1:1">
      <c r="A37" s="457" t="str">
        <f>IF(B37&lt;&gt;"", COUNTA($B$2:B37), "")</f>
        <v/>
      </c>
    </row>
    <row r="38" spans="1:1">
      <c r="A38" s="457" t="str">
        <f>IF(B38&lt;&gt;"", COUNTA($B$2:B38), "")</f>
        <v/>
      </c>
    </row>
    <row r="39" spans="1:1">
      <c r="A39" s="457" t="str">
        <f>IF(B39&lt;&gt;"", COUNTA($B$2:B39), "")</f>
        <v/>
      </c>
    </row>
    <row r="40" spans="1:1">
      <c r="A40" s="457" t="str">
        <f>IF(B40&lt;&gt;"", COUNTA($B$2:B40), "")</f>
        <v/>
      </c>
    </row>
    <row r="41" spans="1:1">
      <c r="A41" s="457" t="str">
        <f>IF(B41&lt;&gt;"", COUNTA($B$2:B41), "")</f>
        <v/>
      </c>
    </row>
    <row r="42" spans="1:1">
      <c r="A42" s="457" t="str">
        <f>IF(B42&lt;&gt;"", COUNTA($B$2:B42), "")</f>
        <v/>
      </c>
    </row>
    <row r="43" spans="1:1">
      <c r="A43" s="457" t="str">
        <f>IF(B43&lt;&gt;"", COUNTA($B$2:B43), "")</f>
        <v/>
      </c>
    </row>
    <row r="44" spans="1:1">
      <c r="A44" s="457" t="str">
        <f>IF(B44&lt;&gt;"", COUNTA($B$2:B44), "")</f>
        <v/>
      </c>
    </row>
    <row r="45" spans="1:1">
      <c r="A45" s="457" t="str">
        <f>IF(B45&lt;&gt;"", COUNTA($B$2:B45), "")</f>
        <v/>
      </c>
    </row>
    <row r="46" spans="1:1">
      <c r="A46" s="457" t="str">
        <f>IF(B46&lt;&gt;"", COUNTA($B$2:B46), "")</f>
        <v/>
      </c>
    </row>
    <row r="47" spans="1:1">
      <c r="A47" s="457" t="str">
        <f>IF(B47&lt;&gt;"", COUNTA($B$2:B47), "")</f>
        <v/>
      </c>
    </row>
    <row r="48" spans="1:1">
      <c r="A48" s="457" t="str">
        <f>IF(B48&lt;&gt;"", COUNTA($B$2:B48), "")</f>
        <v/>
      </c>
    </row>
    <row r="49" spans="1:1">
      <c r="A49" s="457" t="str">
        <f>IF(B49&lt;&gt;"", COUNTA($B$2:B49), "")</f>
        <v/>
      </c>
    </row>
    <row r="50" spans="1:1">
      <c r="A50" s="457" t="str">
        <f>IF(B50&lt;&gt;"", COUNTA($B$2:B50), "")</f>
        <v/>
      </c>
    </row>
    <row r="51" spans="1:1">
      <c r="A51" s="457" t="str">
        <f>IF(B51&lt;&gt;"", COUNTA($B$2:B51), "")</f>
        <v/>
      </c>
    </row>
    <row r="52" spans="1:1">
      <c r="A52" s="457" t="str">
        <f>IF(B52&lt;&gt;"", COUNTA($B$2:B52), "")</f>
        <v/>
      </c>
    </row>
    <row r="53" spans="1:1">
      <c r="A53" s="457" t="str">
        <f>IF(B53&lt;&gt;"", COUNTA($B$2:B53), "")</f>
        <v/>
      </c>
    </row>
    <row r="54" spans="1:1">
      <c r="A54" s="457" t="str">
        <f>IF(B54&lt;&gt;"", COUNTA($B$2:B54), "")</f>
        <v/>
      </c>
    </row>
    <row r="55" spans="1:1">
      <c r="A55" s="457" t="str">
        <f>IF(B55&lt;&gt;"", COUNTA($B$2:B55), "")</f>
        <v/>
      </c>
    </row>
    <row r="56" spans="1:1">
      <c r="A56" s="457" t="str">
        <f>IF(B56&lt;&gt;"", COUNTA($B$2:B56), "")</f>
        <v/>
      </c>
    </row>
    <row r="57" spans="1:1">
      <c r="A57" s="457" t="str">
        <f>IF(B57&lt;&gt;"", COUNTA($B$2:B57), "")</f>
        <v/>
      </c>
    </row>
    <row r="58" spans="1:1">
      <c r="A58" s="457" t="str">
        <f>IF(B58&lt;&gt;"", COUNTA($B$2:B58), "")</f>
        <v/>
      </c>
    </row>
    <row r="59" spans="1:1">
      <c r="A59" s="457" t="str">
        <f>IF(B59&lt;&gt;"", COUNTA($B$2:B59), "")</f>
        <v/>
      </c>
    </row>
    <row r="60" spans="1:1">
      <c r="A60" s="457" t="str">
        <f>IF(B60&lt;&gt;"", COUNTA($B$2:B60), "")</f>
        <v/>
      </c>
    </row>
    <row r="61" spans="1:1">
      <c r="A61" s="457" t="str">
        <f>IF(B61&lt;&gt;"", COUNTA($B$2:B61), "")</f>
        <v/>
      </c>
    </row>
    <row r="62" spans="1:1">
      <c r="A62" s="457" t="str">
        <f>IF(B62&lt;&gt;"", COUNTA($B$2:B62), "")</f>
        <v/>
      </c>
    </row>
    <row r="63" spans="1:1">
      <c r="A63" s="457" t="str">
        <f>IF(B63&lt;&gt;"", COUNTA($B$2:B63), "")</f>
        <v/>
      </c>
    </row>
    <row r="64" spans="1:1">
      <c r="A64" s="457" t="str">
        <f>IF(B64&lt;&gt;"", COUNTA($B$2:B64), "")</f>
        <v/>
      </c>
    </row>
    <row r="65" spans="1:1">
      <c r="A65" s="457" t="str">
        <f>IF(B65&lt;&gt;"", COUNTA($B$2:B65), "")</f>
        <v/>
      </c>
    </row>
    <row r="66" spans="1:1">
      <c r="A66" s="457" t="str">
        <f>IF(B66&lt;&gt;"", COUNTA($B$2:B66), "")</f>
        <v/>
      </c>
    </row>
    <row r="67" spans="1:1">
      <c r="A67" s="457" t="str">
        <f>IF(B67&lt;&gt;"", COUNTA($B$2:B67), "")</f>
        <v/>
      </c>
    </row>
    <row r="68" spans="1:1">
      <c r="A68" s="457" t="str">
        <f>IF(B68&lt;&gt;"", COUNTA($B$2:B68), "")</f>
        <v/>
      </c>
    </row>
    <row r="69" spans="1:1">
      <c r="A69" s="457" t="str">
        <f>IF(B69&lt;&gt;"", COUNTA($B$2:B69), "")</f>
        <v/>
      </c>
    </row>
    <row r="70" spans="1:1">
      <c r="A70" s="457" t="str">
        <f>IF(B70&lt;&gt;"", COUNTA($B$2:B70), "")</f>
        <v/>
      </c>
    </row>
    <row r="71" spans="1:1">
      <c r="A71" s="457" t="str">
        <f>IF(B71&lt;&gt;"", COUNTA($B$2:B71), "")</f>
        <v/>
      </c>
    </row>
    <row r="72" spans="1:1">
      <c r="A72" s="457" t="str">
        <f>IF(B72&lt;&gt;"", COUNTA($B$2:B72), "")</f>
        <v/>
      </c>
    </row>
    <row r="73" spans="1:1">
      <c r="A73" s="457" t="str">
        <f>IF(B73&lt;&gt;"", COUNTA($B$2:B73), "")</f>
        <v/>
      </c>
    </row>
    <row r="74" spans="1:1">
      <c r="A74" s="457" t="str">
        <f>IF(B74&lt;&gt;"", COUNTA($B$2:B74), "")</f>
        <v/>
      </c>
    </row>
    <row r="75" spans="1:1">
      <c r="A75" s="457" t="str">
        <f>IF(B75&lt;&gt;"", COUNTA($B$2:B75), "")</f>
        <v/>
      </c>
    </row>
    <row r="76" spans="1:1">
      <c r="A76" s="457" t="str">
        <f>IF(B76&lt;&gt;"", COUNTA($B$2:B76), "")</f>
        <v/>
      </c>
    </row>
    <row r="77" spans="1:1">
      <c r="A77" s="457" t="str">
        <f>IF(B77&lt;&gt;"", COUNTA($B$2:B77), "")</f>
        <v/>
      </c>
    </row>
    <row r="78" spans="1:1">
      <c r="A78" s="457" t="str">
        <f>IF(B78&lt;&gt;"", COUNTA($B$2:B78), "")</f>
        <v/>
      </c>
    </row>
    <row r="79" spans="1:1">
      <c r="A79" s="457" t="str">
        <f>IF(B79&lt;&gt;"", COUNTA($B$2:B79), "")</f>
        <v/>
      </c>
    </row>
    <row r="80" spans="1:1">
      <c r="A80" s="457" t="str">
        <f>IF(B80&lt;&gt;"", COUNTA($B$2:B80), "")</f>
        <v/>
      </c>
    </row>
    <row r="81" spans="1:1">
      <c r="A81" s="457" t="str">
        <f>IF(B81&lt;&gt;"", COUNTA($B$2:B81), "")</f>
        <v/>
      </c>
    </row>
    <row r="82" spans="1:1">
      <c r="A82" s="457" t="str">
        <f>IF(B82&lt;&gt;"", COUNTA($B$2:B82), "")</f>
        <v/>
      </c>
    </row>
    <row r="83" spans="1:1">
      <c r="A83" s="457" t="str">
        <f>IF(B83&lt;&gt;"", COUNTA($B$2:B83), "")</f>
        <v/>
      </c>
    </row>
    <row r="84" spans="1:1">
      <c r="A84" s="457" t="str">
        <f>IF(B84&lt;&gt;"", COUNTA($B$2:B84), "")</f>
        <v/>
      </c>
    </row>
    <row r="85" spans="1:1">
      <c r="A85" s="457" t="str">
        <f>IF(B85&lt;&gt;"", COUNTA($B$2:B85), "")</f>
        <v/>
      </c>
    </row>
    <row r="86" spans="1:1">
      <c r="A86" s="457" t="str">
        <f>IF(B86&lt;&gt;"", COUNTA($B$2:B86), "")</f>
        <v/>
      </c>
    </row>
    <row r="87" spans="1:1">
      <c r="A87" s="457" t="str">
        <f>IF(B87&lt;&gt;"", COUNTA($B$2:B87), "")</f>
        <v/>
      </c>
    </row>
    <row r="88" spans="1:1">
      <c r="A88" s="457" t="str">
        <f>IF(B88&lt;&gt;"", COUNTA($B$2:B88), "")</f>
        <v/>
      </c>
    </row>
    <row r="89" spans="1:1">
      <c r="A89" s="457" t="str">
        <f>IF(B89&lt;&gt;"", COUNTA($B$2:B89), "")</f>
        <v/>
      </c>
    </row>
    <row r="90" spans="1:1">
      <c r="A90" s="457" t="str">
        <f>IF(B90&lt;&gt;"", COUNTA($B$2:B90), "")</f>
        <v/>
      </c>
    </row>
    <row r="91" spans="1:1">
      <c r="A91" s="457" t="str">
        <f>IF(B91&lt;&gt;"", COUNTA($B$2:B91), "")</f>
        <v/>
      </c>
    </row>
    <row r="92" spans="1:1">
      <c r="A92" s="457" t="str">
        <f>IF(B92&lt;&gt;"", COUNTA($B$2:B92), "")</f>
        <v/>
      </c>
    </row>
    <row r="93" spans="1:1">
      <c r="A93" s="457" t="str">
        <f>IF(B93&lt;&gt;"", COUNTA($B$2:B93), "")</f>
        <v/>
      </c>
    </row>
    <row r="94" spans="1:1">
      <c r="A94" s="457" t="str">
        <f>IF(B94&lt;&gt;"", COUNTA($B$2:B94), "")</f>
        <v/>
      </c>
    </row>
    <row r="95" spans="1:1">
      <c r="A95" s="457" t="str">
        <f>IF(B95&lt;&gt;"", COUNTA($B$2:B95), "")</f>
        <v/>
      </c>
    </row>
    <row r="96" spans="1:1">
      <c r="A96" s="457" t="str">
        <f>IF(B96&lt;&gt;"", COUNTA($B$2:B96), "")</f>
        <v/>
      </c>
    </row>
    <row r="97" spans="1:1">
      <c r="A97" s="457" t="str">
        <f>IF(B97&lt;&gt;"", COUNTA($B$2:B97), "")</f>
        <v/>
      </c>
    </row>
    <row r="98" spans="1:1">
      <c r="A98" s="457" t="str">
        <f>IF(B98&lt;&gt;"", COUNTA($B$2:B98), "")</f>
        <v/>
      </c>
    </row>
    <row r="99" spans="1:1">
      <c r="A99" s="457" t="str">
        <f>IF(B99&lt;&gt;"", COUNTA($B$2:B99), "")</f>
        <v/>
      </c>
    </row>
    <row r="100" spans="1:1">
      <c r="A100" s="457" t="str">
        <f>IF(B100&lt;&gt;"", COUNTA($B$2:B100), "")</f>
        <v/>
      </c>
    </row>
  </sheetData>
  <sheetProtection selectLockedCells="1"/>
  <autoFilter ref="A1:E1" xr:uid="{E67D807B-5759-40A8-ABAE-3F5C28D56576}"/>
  <mergeCells count="1">
    <mergeCell ref="K4:K5"/>
  </mergeCells>
  <phoneticPr fontId="164" type="noConversion"/>
  <conditionalFormatting sqref="A2:G99">
    <cfRule type="expression" dxfId="177" priority="5">
      <formula>($F2)="Approved"</formula>
    </cfRule>
    <cfRule type="expression" dxfId="176" priority="7">
      <formula>($F2)="Pending"</formula>
    </cfRule>
    <cfRule type="expression" dxfId="175" priority="8">
      <formula>$F2="Rejected"</formula>
    </cfRule>
    <cfRule type="expression" dxfId="174" priority="18">
      <formula>($F2)="Void"</formula>
    </cfRule>
  </conditionalFormatting>
  <conditionalFormatting sqref="A2:G14 A15:A100">
    <cfRule type="expression" dxfId="173" priority="6">
      <formula>($F2)="Approved with comments"</formula>
    </cfRule>
    <cfRule type="expression" dxfId="172" priority="9">
      <formula>$F2="Revise &amp; Resubmit"</formula>
    </cfRule>
  </conditionalFormatting>
  <pageMargins left="0.7" right="0.7" top="0.75" bottom="0.75" header="0.3" footer="0.3"/>
  <pageSetup orientation="portrait" verticalDpi="36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E4E928C-ACAF-4A70-905E-72A336D26B9D}">
          <x14:formula1>
            <xm:f>Filter!$H$14:$H$20</xm:f>
          </x14:formula1>
          <xm:sqref>F2:F20</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7BB04-9D1E-4AE3-A541-8EDE6CBE2C8D}">
  <sheetPr codeName="Sheet10">
    <tabColor theme="0" tint="-0.34998626667073579"/>
  </sheetPr>
  <dimension ref="A1:K30"/>
  <sheetViews>
    <sheetView zoomScaleNormal="100" workbookViewId="0">
      <pane xSplit="2" ySplit="1" topLeftCell="C5" activePane="bottomRight" state="frozen"/>
      <selection activeCell="I17" sqref="I17"/>
      <selection pane="topRight" activeCell="I17" sqref="I17"/>
      <selection pane="bottomLeft" activeCell="I17" sqref="I17"/>
      <selection pane="bottomRight" activeCell="B34" sqref="B34"/>
    </sheetView>
  </sheetViews>
  <sheetFormatPr defaultRowHeight="15" customHeight="1"/>
  <cols>
    <col min="2" max="2" width="30.7109375" customWidth="1"/>
    <col min="3" max="3" width="49.5703125" style="61" bestFit="1" customWidth="1"/>
    <col min="4" max="4" width="14.42578125" customWidth="1"/>
    <col min="5" max="5" width="15.42578125" style="2" bestFit="1" customWidth="1"/>
    <col min="6" max="6" width="22.7109375" bestFit="1" customWidth="1"/>
    <col min="7" max="7" width="42.5703125" customWidth="1"/>
    <col min="8" max="8" width="19.140625" customWidth="1"/>
    <col min="9" max="9" width="24.28515625" bestFit="1" customWidth="1"/>
    <col min="10" max="10" width="19.28515625" customWidth="1"/>
  </cols>
  <sheetData>
    <row r="1" spans="1:11" s="1" customFormat="1" ht="42" customHeight="1">
      <c r="A1" s="710" t="s">
        <v>0</v>
      </c>
      <c r="B1" s="710" t="s">
        <v>314</v>
      </c>
      <c r="C1" s="710" t="s">
        <v>315</v>
      </c>
      <c r="D1" s="710" t="s">
        <v>316</v>
      </c>
      <c r="E1" s="710" t="s">
        <v>59</v>
      </c>
      <c r="F1" s="710" t="s">
        <v>27</v>
      </c>
      <c r="G1" s="710" t="s">
        <v>1</v>
      </c>
    </row>
    <row r="2" spans="1:11" ht="15.75">
      <c r="A2" s="30">
        <f>IF(B2&lt;&gt;"", COUNTIF($B$2:B2, "&lt;&gt;"), "")</f>
        <v>1</v>
      </c>
      <c r="B2" s="556" t="s">
        <v>366</v>
      </c>
      <c r="C2" s="557" t="s">
        <v>367</v>
      </c>
      <c r="D2" s="550" t="s">
        <v>148</v>
      </c>
      <c r="E2" s="550" t="str">
        <f t="shared" ref="E2:E30" si="0">IF(F2="No submit", "No submit", IF(F2="void", "void", "v"))</f>
        <v>void</v>
      </c>
      <c r="F2" s="550" t="s">
        <v>319</v>
      </c>
      <c r="G2" s="1161" t="s">
        <v>368</v>
      </c>
      <c r="H2" s="113"/>
    </row>
    <row r="3" spans="1:11" ht="15.75">
      <c r="A3" s="30">
        <f>IF(B3&lt;&gt;"", COUNTIF($B$2:B3, "&lt;&gt;"), "")</f>
        <v>2</v>
      </c>
      <c r="B3" s="556" t="s">
        <v>369</v>
      </c>
      <c r="C3" s="557" t="s">
        <v>370</v>
      </c>
      <c r="D3" s="550" t="s">
        <v>148</v>
      </c>
      <c r="E3" s="550" t="str">
        <f t="shared" si="0"/>
        <v>void</v>
      </c>
      <c r="F3" s="550" t="s">
        <v>319</v>
      </c>
      <c r="G3" s="1161"/>
      <c r="H3" s="113"/>
      <c r="I3" s="46"/>
      <c r="J3" s="564" t="s">
        <v>322</v>
      </c>
    </row>
    <row r="4" spans="1:11" ht="15.75">
      <c r="A4" s="30">
        <f>IF(B4&lt;&gt;"", COUNTIF($B$2:B4, "&lt;&gt;"), "")</f>
        <v>3</v>
      </c>
      <c r="B4" s="556" t="s">
        <v>371</v>
      </c>
      <c r="C4" s="557" t="s">
        <v>372</v>
      </c>
      <c r="D4" s="550" t="s">
        <v>148</v>
      </c>
      <c r="E4" s="550" t="str">
        <f t="shared" si="0"/>
        <v>void</v>
      </c>
      <c r="F4" s="550" t="s">
        <v>319</v>
      </c>
      <c r="G4" s="1161"/>
      <c r="H4" s="113"/>
      <c r="I4" s="44" t="s">
        <v>73</v>
      </c>
      <c r="J4" s="45">
        <f t="shared" ref="J4:J10" si="1">COUNTIF($F$1:$F$1002,I4)</f>
        <v>24</v>
      </c>
      <c r="K4" s="1160">
        <f>SUM(J4:J5)</f>
        <v>24</v>
      </c>
    </row>
    <row r="5" spans="1:11" ht="15.75">
      <c r="A5" s="30">
        <f>IF(B5&lt;&gt;"", COUNTIF($B$2:B5, "&lt;&gt;"), "")</f>
        <v>4</v>
      </c>
      <c r="B5" s="556" t="s">
        <v>373</v>
      </c>
      <c r="C5" s="557" t="s">
        <v>374</v>
      </c>
      <c r="D5" s="550" t="s">
        <v>148</v>
      </c>
      <c r="E5" s="550" t="str">
        <f t="shared" si="0"/>
        <v>void</v>
      </c>
      <c r="F5" s="550" t="s">
        <v>319</v>
      </c>
      <c r="G5" s="1161"/>
      <c r="H5" s="113"/>
      <c r="I5" s="44" t="s">
        <v>49</v>
      </c>
      <c r="J5" s="45">
        <f t="shared" si="1"/>
        <v>0</v>
      </c>
      <c r="K5" s="1160"/>
    </row>
    <row r="6" spans="1:11" ht="15.75">
      <c r="A6" s="30">
        <f>IF(B6&lt;&gt;"", COUNTIF($B$2:B6, "&lt;&gt;"), "")</f>
        <v>5</v>
      </c>
      <c r="B6" s="556" t="s">
        <v>375</v>
      </c>
      <c r="C6" s="557" t="s">
        <v>376</v>
      </c>
      <c r="D6" s="550" t="s">
        <v>148</v>
      </c>
      <c r="E6" s="550" t="str">
        <f t="shared" si="0"/>
        <v>void</v>
      </c>
      <c r="F6" s="550" t="s">
        <v>319</v>
      </c>
      <c r="G6" s="1161"/>
      <c r="H6" s="113"/>
      <c r="I6" s="44" t="s">
        <v>241</v>
      </c>
      <c r="J6" s="45">
        <f t="shared" si="1"/>
        <v>0</v>
      </c>
    </row>
    <row r="7" spans="1:11" ht="15.75">
      <c r="A7" s="30">
        <f>IF(B7&lt;&gt;"", COUNTIF($B$2:B7, "&lt;&gt;"), "")</f>
        <v>6</v>
      </c>
      <c r="B7" s="558" t="s">
        <v>377</v>
      </c>
      <c r="C7" s="559" t="s">
        <v>378</v>
      </c>
      <c r="D7" s="53">
        <v>2</v>
      </c>
      <c r="E7" s="53" t="str">
        <f t="shared" si="0"/>
        <v>v</v>
      </c>
      <c r="F7" s="53" t="s">
        <v>73</v>
      </c>
      <c r="G7" s="577" t="s">
        <v>379</v>
      </c>
      <c r="I7" s="44" t="s">
        <v>331</v>
      </c>
      <c r="J7" s="45">
        <f t="shared" si="1"/>
        <v>0</v>
      </c>
    </row>
    <row r="8" spans="1:11" ht="15.75">
      <c r="A8" s="30">
        <f>IF(B8&lt;&gt;"", COUNTIF($B$2:B8, "&lt;&gt;"), "")</f>
        <v>7</v>
      </c>
      <c r="B8" s="558" t="s">
        <v>380</v>
      </c>
      <c r="C8" s="559" t="s">
        <v>381</v>
      </c>
      <c r="D8" s="53">
        <v>1</v>
      </c>
      <c r="E8" s="53" t="str">
        <f t="shared" si="0"/>
        <v>v</v>
      </c>
      <c r="F8" s="53" t="s">
        <v>73</v>
      </c>
      <c r="G8" s="577" t="s">
        <v>382</v>
      </c>
      <c r="I8" s="44" t="s">
        <v>213</v>
      </c>
      <c r="J8" s="45">
        <f t="shared" si="1"/>
        <v>0</v>
      </c>
    </row>
    <row r="9" spans="1:11" ht="15.75">
      <c r="A9" s="30">
        <f>IF(B9&lt;&gt;"", COUNTIF($B$2:B9, "&lt;&gt;"), "")</f>
        <v>8</v>
      </c>
      <c r="B9" s="558" t="s">
        <v>383</v>
      </c>
      <c r="C9" s="559" t="s">
        <v>384</v>
      </c>
      <c r="D9" s="53">
        <v>1</v>
      </c>
      <c r="E9" s="53" t="str">
        <f t="shared" si="0"/>
        <v>v</v>
      </c>
      <c r="F9" s="53" t="s">
        <v>73</v>
      </c>
      <c r="G9" s="577" t="s">
        <v>382</v>
      </c>
      <c r="I9" s="44" t="s">
        <v>336</v>
      </c>
      <c r="J9" s="45">
        <f t="shared" si="1"/>
        <v>0</v>
      </c>
    </row>
    <row r="10" spans="1:11" ht="15.75">
      <c r="A10" s="30">
        <f>IF(B10&lt;&gt;"", COUNTIF($B$2:B10, "&lt;&gt;"), "")</f>
        <v>9</v>
      </c>
      <c r="B10" s="558" t="s">
        <v>385</v>
      </c>
      <c r="C10" s="559" t="s">
        <v>386</v>
      </c>
      <c r="D10" s="53">
        <v>3</v>
      </c>
      <c r="E10" s="53" t="str">
        <f t="shared" si="0"/>
        <v>v</v>
      </c>
      <c r="F10" s="53" t="s">
        <v>73</v>
      </c>
      <c r="G10" s="577" t="s">
        <v>382</v>
      </c>
      <c r="I10" s="44" t="s">
        <v>319</v>
      </c>
      <c r="J10" s="45">
        <f t="shared" si="1"/>
        <v>5</v>
      </c>
    </row>
    <row r="11" spans="1:11" ht="15.75">
      <c r="A11" s="30">
        <f>IF(B11&lt;&gt;"", COUNTIF($B$2:B11, "&lt;&gt;"), "")</f>
        <v>10</v>
      </c>
      <c r="B11" s="558" t="s">
        <v>387</v>
      </c>
      <c r="C11" s="559" t="s">
        <v>388</v>
      </c>
      <c r="D11" s="41">
        <v>5</v>
      </c>
      <c r="E11" s="53" t="str">
        <f t="shared" si="0"/>
        <v>v</v>
      </c>
      <c r="F11" s="98" t="s">
        <v>73</v>
      </c>
      <c r="G11" s="577" t="s">
        <v>389</v>
      </c>
      <c r="I11" s="33" t="s">
        <v>304</v>
      </c>
      <c r="J11" s="33">
        <f>SUM(J4:J10)-J10</f>
        <v>24</v>
      </c>
    </row>
    <row r="12" spans="1:11" ht="63">
      <c r="A12" s="30">
        <f>IF(B12&lt;&gt;"", COUNTIF($B$2:B12, "&lt;&gt;"), "")</f>
        <v>11</v>
      </c>
      <c r="B12" s="558" t="s">
        <v>366</v>
      </c>
      <c r="C12" s="559" t="s">
        <v>390</v>
      </c>
      <c r="D12" s="41">
        <v>4</v>
      </c>
      <c r="E12" s="53" t="str">
        <f t="shared" si="0"/>
        <v>v</v>
      </c>
      <c r="F12" s="98" t="s">
        <v>73</v>
      </c>
      <c r="G12" s="562" t="s">
        <v>391</v>
      </c>
      <c r="H12" s="185"/>
      <c r="I12" s="33" t="s">
        <v>310</v>
      </c>
      <c r="J12" s="33">
        <f>COUNTIF(E:E,"v")</f>
        <v>24</v>
      </c>
    </row>
    <row r="13" spans="1:11" ht="15.75">
      <c r="A13" s="30">
        <f>IF(B13&lt;&gt;"", COUNTIF($B$2:B13, "&lt;&gt;"), "")</f>
        <v>12</v>
      </c>
      <c r="B13" s="558" t="s">
        <v>392</v>
      </c>
      <c r="C13" s="559" t="s">
        <v>393</v>
      </c>
      <c r="D13" s="41">
        <v>1</v>
      </c>
      <c r="E13" s="53" t="str">
        <f t="shared" si="0"/>
        <v>v</v>
      </c>
      <c r="F13" s="30" t="s">
        <v>73</v>
      </c>
      <c r="G13" s="577" t="s">
        <v>394</v>
      </c>
      <c r="I13" s="33" t="s">
        <v>343</v>
      </c>
      <c r="J13" s="464">
        <f>SUM(J12/J11)</f>
        <v>1</v>
      </c>
    </row>
    <row r="14" spans="1:11" ht="15.75">
      <c r="A14" s="30">
        <f>IF(B14&lt;&gt;"", COUNTIF($B$2:B14, "&lt;&gt;"), "")</f>
        <v>13</v>
      </c>
      <c r="B14" s="558" t="s">
        <v>395</v>
      </c>
      <c r="C14" s="559" t="s">
        <v>396</v>
      </c>
      <c r="D14" s="41">
        <v>1</v>
      </c>
      <c r="E14" s="53" t="str">
        <f t="shared" si="0"/>
        <v>v</v>
      </c>
      <c r="F14" s="30" t="s">
        <v>73</v>
      </c>
      <c r="G14" s="577" t="s">
        <v>397</v>
      </c>
      <c r="I14" s="33" t="s">
        <v>313</v>
      </c>
      <c r="J14" s="464" cm="1">
        <f t="array" ref="J14">SUM(J4:J5/J11)</f>
        <v>1</v>
      </c>
    </row>
    <row r="15" spans="1:11" ht="15.75">
      <c r="A15" s="30">
        <f>IF(B15&lt;&gt;"", COUNTIF($B$2:B15, "&lt;&gt;"), "")</f>
        <v>14</v>
      </c>
      <c r="B15" s="558" t="s">
        <v>398</v>
      </c>
      <c r="C15" s="559" t="s">
        <v>399</v>
      </c>
      <c r="D15" s="41">
        <v>1</v>
      </c>
      <c r="E15" s="53" t="str">
        <f t="shared" si="0"/>
        <v>v</v>
      </c>
      <c r="F15" s="30" t="s">
        <v>73</v>
      </c>
      <c r="G15" s="577" t="s">
        <v>400</v>
      </c>
      <c r="I15" s="2"/>
      <c r="J15" s="59"/>
    </row>
    <row r="16" spans="1:11" ht="15.75">
      <c r="A16" s="30">
        <f>IF(B16&lt;&gt;"", COUNTIF($B$2:B16, "&lt;&gt;"), "")</f>
        <v>15</v>
      </c>
      <c r="B16" s="558" t="s">
        <v>401</v>
      </c>
      <c r="C16" s="559" t="s">
        <v>402</v>
      </c>
      <c r="D16" s="41">
        <v>4</v>
      </c>
      <c r="E16" s="53" t="str">
        <f t="shared" si="0"/>
        <v>v</v>
      </c>
      <c r="F16" s="30" t="s">
        <v>73</v>
      </c>
      <c r="G16" s="577" t="s">
        <v>403</v>
      </c>
    </row>
    <row r="17" spans="1:10" ht="28.5">
      <c r="A17" s="30">
        <f>IF(B17&lt;&gt;"", COUNTIF($B$2:B17, "&lt;&gt;"), "")</f>
        <v>16</v>
      </c>
      <c r="B17" s="558" t="s">
        <v>404</v>
      </c>
      <c r="C17" s="559" t="s">
        <v>405</v>
      </c>
      <c r="D17" s="41">
        <v>1</v>
      </c>
      <c r="E17" s="53" t="str">
        <f t="shared" si="0"/>
        <v>v</v>
      </c>
      <c r="F17" s="30" t="s">
        <v>73</v>
      </c>
      <c r="G17" s="577"/>
      <c r="I17" s="2"/>
      <c r="J17" s="59"/>
    </row>
    <row r="18" spans="1:10" ht="15.75">
      <c r="A18" s="30">
        <f>IF(B18&lt;&gt;"", COUNTIF($B$2:B18, "&lt;&gt;"), "")</f>
        <v>17</v>
      </c>
      <c r="B18" s="558" t="s">
        <v>406</v>
      </c>
      <c r="C18" s="559" t="s">
        <v>407</v>
      </c>
      <c r="D18" s="41">
        <v>1</v>
      </c>
      <c r="E18" s="53" t="str">
        <f t="shared" si="0"/>
        <v>v</v>
      </c>
      <c r="F18" s="30" t="s">
        <v>73</v>
      </c>
      <c r="G18" s="577"/>
      <c r="I18" s="2"/>
      <c r="J18" s="59"/>
    </row>
    <row r="19" spans="1:10" ht="15.75">
      <c r="A19" s="30">
        <f>IF(B19&lt;&gt;"", COUNTIF($B$2:B19, "&lt;&gt;"), "")</f>
        <v>18</v>
      </c>
      <c r="B19" s="558" t="s">
        <v>408</v>
      </c>
      <c r="C19" s="559" t="s">
        <v>409</v>
      </c>
      <c r="D19" s="41">
        <v>1</v>
      </c>
      <c r="E19" s="53" t="str">
        <f t="shared" si="0"/>
        <v>v</v>
      </c>
      <c r="F19" s="30" t="s">
        <v>73</v>
      </c>
      <c r="G19" s="577" t="s">
        <v>394</v>
      </c>
    </row>
    <row r="20" spans="1:10" ht="15.75">
      <c r="A20" s="30">
        <f>IF(B20&lt;&gt;"", COUNTIF($B$2:B20, "&lt;&gt;"), "")</f>
        <v>19</v>
      </c>
      <c r="B20" s="560" t="s">
        <v>2443</v>
      </c>
      <c r="C20" s="561" t="s">
        <v>2444</v>
      </c>
      <c r="D20" s="98" t="s">
        <v>2445</v>
      </c>
      <c r="E20" s="53" t="str">
        <f t="shared" si="0"/>
        <v>v</v>
      </c>
      <c r="F20" s="30" t="s">
        <v>73</v>
      </c>
      <c r="G20" s="577"/>
    </row>
    <row r="21" spans="1:10" ht="15.75">
      <c r="A21" s="30">
        <f>IF(B21&lt;&gt;"", COUNTIF($B$2:B21, "&lt;&gt;"), "")</f>
        <v>20</v>
      </c>
      <c r="B21" s="560" t="s">
        <v>2446</v>
      </c>
      <c r="C21" s="561" t="s">
        <v>2447</v>
      </c>
      <c r="D21" s="98" t="s">
        <v>2448</v>
      </c>
      <c r="E21" s="53" t="str">
        <f t="shared" si="0"/>
        <v>v</v>
      </c>
      <c r="F21" s="30" t="s">
        <v>73</v>
      </c>
      <c r="G21" s="577" t="s">
        <v>2455</v>
      </c>
    </row>
    <row r="22" spans="1:10" ht="15.75">
      <c r="A22" s="30">
        <f>IF(B22&lt;&gt;"", COUNTIF($B$2:B22, "&lt;&gt;"), "")</f>
        <v>21</v>
      </c>
      <c r="B22" s="558" t="s">
        <v>2449</v>
      </c>
      <c r="C22" s="559" t="s">
        <v>2454</v>
      </c>
      <c r="D22" s="98" t="s">
        <v>2448</v>
      </c>
      <c r="E22" s="53" t="str">
        <f t="shared" si="0"/>
        <v>v</v>
      </c>
      <c r="F22" s="30" t="s">
        <v>73</v>
      </c>
      <c r="G22" s="577" t="s">
        <v>2456</v>
      </c>
      <c r="I22" s="2" t="s">
        <v>348</v>
      </c>
      <c r="J22" s="130">
        <v>45569</v>
      </c>
    </row>
    <row r="23" spans="1:10" ht="15.75">
      <c r="A23" s="30">
        <f>IF(B23&lt;&gt;"", COUNTIF($B$2:B23, "&lt;&gt;"), "")</f>
        <v>22</v>
      </c>
      <c r="B23" s="558" t="s">
        <v>2450</v>
      </c>
      <c r="C23" s="562" t="s">
        <v>2453</v>
      </c>
      <c r="D23" s="98" t="s">
        <v>2448</v>
      </c>
      <c r="E23" s="53" t="str">
        <f t="shared" si="0"/>
        <v>v</v>
      </c>
      <c r="F23" s="30" t="s">
        <v>73</v>
      </c>
      <c r="G23" s="577" t="s">
        <v>2456</v>
      </c>
    </row>
    <row r="24" spans="1:10" ht="15.75">
      <c r="A24" s="30">
        <f>IF(B24&lt;&gt;"", COUNTIF($B$2:B24, "&lt;&gt;"), "")</f>
        <v>23</v>
      </c>
      <c r="B24" s="558" t="s">
        <v>2524</v>
      </c>
      <c r="C24" s="563" t="s">
        <v>2527</v>
      </c>
      <c r="D24" s="98" t="s">
        <v>2448</v>
      </c>
      <c r="E24" s="53" t="str">
        <f t="shared" si="0"/>
        <v>v</v>
      </c>
      <c r="F24" s="30" t="s">
        <v>73</v>
      </c>
      <c r="G24" s="577" t="s">
        <v>2456</v>
      </c>
    </row>
    <row r="25" spans="1:10" ht="15.75">
      <c r="A25" s="30">
        <f>IF(B25&lt;&gt;"", COUNTIF($B$2:B25, "&lt;&gt;"), "")</f>
        <v>24</v>
      </c>
      <c r="B25" s="558" t="s">
        <v>2525</v>
      </c>
      <c r="C25" s="563" t="s">
        <v>2528</v>
      </c>
      <c r="D25" s="98" t="s">
        <v>2448</v>
      </c>
      <c r="E25" s="53" t="str">
        <f t="shared" si="0"/>
        <v>v</v>
      </c>
      <c r="F25" s="30" t="s">
        <v>73</v>
      </c>
      <c r="G25" s="577" t="s">
        <v>2456</v>
      </c>
    </row>
    <row r="26" spans="1:10" ht="15.75">
      <c r="A26" s="30">
        <f>IF(B26&lt;&gt;"", COUNTIF($B$2:B26, "&lt;&gt;"), "")</f>
        <v>25</v>
      </c>
      <c r="B26" s="558" t="s">
        <v>2526</v>
      </c>
      <c r="C26" s="563" t="s">
        <v>2529</v>
      </c>
      <c r="D26" s="98" t="s">
        <v>2448</v>
      </c>
      <c r="E26" s="53" t="str">
        <f t="shared" si="0"/>
        <v>v</v>
      </c>
      <c r="F26" s="30" t="s">
        <v>73</v>
      </c>
      <c r="G26" s="577" t="s">
        <v>2456</v>
      </c>
    </row>
    <row r="27" spans="1:10" ht="15.75">
      <c r="A27" s="30">
        <f>IF(B27&lt;&gt;"", COUNTIF($B$2:B27, "&lt;&gt;"), "")</f>
        <v>26</v>
      </c>
      <c r="B27" s="558" t="s">
        <v>2451</v>
      </c>
      <c r="C27" s="562" t="s">
        <v>2452</v>
      </c>
      <c r="D27" s="98" t="s">
        <v>2448</v>
      </c>
      <c r="E27" s="53" t="str">
        <f t="shared" si="0"/>
        <v>v</v>
      </c>
      <c r="F27" s="30" t="s">
        <v>73</v>
      </c>
      <c r="G27" s="577" t="s">
        <v>2456</v>
      </c>
    </row>
    <row r="28" spans="1:10" ht="15.75">
      <c r="A28" s="30">
        <f>IF(B28&lt;&gt;"", COUNTIF($B$2:B28, "&lt;&gt;"), "")</f>
        <v>27</v>
      </c>
      <c r="B28" s="558" t="s">
        <v>2521</v>
      </c>
      <c r="C28" s="563" t="s">
        <v>2530</v>
      </c>
      <c r="D28" s="98" t="s">
        <v>2448</v>
      </c>
      <c r="E28" s="53" t="str">
        <f t="shared" si="0"/>
        <v>v</v>
      </c>
      <c r="F28" s="30" t="s">
        <v>73</v>
      </c>
      <c r="G28" s="577" t="s">
        <v>2456</v>
      </c>
    </row>
    <row r="29" spans="1:10" ht="15.75">
      <c r="A29" s="30">
        <f>IF(B29&lt;&gt;"", COUNTIF($B$2:B29, "&lt;&gt;"), "")</f>
        <v>28</v>
      </c>
      <c r="B29" s="558" t="s">
        <v>2522</v>
      </c>
      <c r="C29" s="563" t="s">
        <v>2531</v>
      </c>
      <c r="D29" s="98" t="s">
        <v>2448</v>
      </c>
      <c r="E29" s="53" t="str">
        <f t="shared" si="0"/>
        <v>v</v>
      </c>
      <c r="F29" s="30" t="s">
        <v>73</v>
      </c>
      <c r="G29" s="577" t="s">
        <v>2456</v>
      </c>
    </row>
    <row r="30" spans="1:10" ht="15.75">
      <c r="A30" s="30">
        <f>IF(B30&lt;&gt;"", COUNTIF($B$2:B30, "&lt;&gt;"), "")</f>
        <v>29</v>
      </c>
      <c r="B30" s="558" t="s">
        <v>2523</v>
      </c>
      <c r="C30" s="563" t="s">
        <v>2532</v>
      </c>
      <c r="D30" s="98" t="s">
        <v>2448</v>
      </c>
      <c r="E30" s="53" t="str">
        <f t="shared" si="0"/>
        <v>v</v>
      </c>
      <c r="F30" s="30" t="s">
        <v>73</v>
      </c>
      <c r="G30" s="577" t="s">
        <v>2456</v>
      </c>
    </row>
  </sheetData>
  <autoFilter ref="A1:E1" xr:uid="{E67D807B-5759-40A8-ABAE-3F5C28D56576}"/>
  <mergeCells count="2">
    <mergeCell ref="K4:K5"/>
    <mergeCell ref="G2:G6"/>
  </mergeCells>
  <phoneticPr fontId="43" type="noConversion"/>
  <conditionalFormatting sqref="A2:G39">
    <cfRule type="expression" dxfId="171" priority="1">
      <formula>($F2)="Approved"</formula>
    </cfRule>
    <cfRule type="expression" dxfId="170" priority="2">
      <formula>($F2)="Approved with comments"</formula>
    </cfRule>
    <cfRule type="expression" dxfId="169" priority="3">
      <formula>($F2)="Pending"</formula>
    </cfRule>
    <cfRule type="expression" dxfId="168" priority="4">
      <formula>($F2)="Revise &amp; Rescubmit"</formula>
    </cfRule>
    <cfRule type="expression" dxfId="167" priority="5">
      <formula>($F2)="Rejected"</formula>
    </cfRule>
    <cfRule type="expression" dxfId="166" priority="7">
      <formula>($F2)="Void"</formula>
    </cfRule>
  </conditionalFormatting>
  <pageMargins left="0.7" right="0.7" top="0.75" bottom="0.75" header="0.3" footer="0.3"/>
  <pageSetup orientation="portrait"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8A6C801-49AC-477B-9907-E2AF7D07534B}">
          <x14:formula1>
            <xm:f>Filter!$H$14:$H$20</xm:f>
          </x14:formula1>
          <xm:sqref>F2:F30</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D807B-5759-40A8-ABAE-3F5C28D56576}">
  <sheetPr codeName="Sheet24">
    <tabColor theme="0" tint="-0.34998626667073579"/>
  </sheetPr>
  <dimension ref="A1:K17"/>
  <sheetViews>
    <sheetView view="pageBreakPreview" zoomScale="60" zoomScaleNormal="100" workbookViewId="0">
      <pane xSplit="2" ySplit="1" topLeftCell="C2" activePane="bottomRight" state="frozen"/>
      <selection activeCell="I17" sqref="I17"/>
      <selection pane="topRight" activeCell="I17" sqref="I17"/>
      <selection pane="bottomLeft" activeCell="I17" sqref="I17"/>
      <selection pane="bottomRight" activeCell="E29" sqref="E29"/>
    </sheetView>
  </sheetViews>
  <sheetFormatPr defaultRowHeight="15" customHeight="1" outlineLevelCol="1"/>
  <cols>
    <col min="1" max="1" width="6.5703125" style="33" bestFit="1" customWidth="1"/>
    <col min="2" max="2" width="28.7109375" style="40" bestFit="1" customWidth="1"/>
    <col min="3" max="3" width="80.7109375" style="40" bestFit="1" customWidth="1"/>
    <col min="4" max="4" width="8.7109375" style="39" customWidth="1" outlineLevel="1"/>
    <col min="5" max="5" width="11.7109375" style="39" customWidth="1" outlineLevel="1"/>
    <col min="6" max="6" width="24.5703125" style="39" customWidth="1" outlineLevel="1"/>
    <col min="7" max="8" width="11.5703125" style="39" bestFit="1" customWidth="1" outlineLevel="1"/>
    <col min="9" max="9" width="24.28515625" style="2" bestFit="1" customWidth="1" outlineLevel="1"/>
    <col min="10" max="10" width="27.28515625" style="2" bestFit="1" customWidth="1" outlineLevel="1"/>
    <col min="11" max="11" width="10.7109375" style="2" customWidth="1" outlineLevel="1"/>
    <col min="12" max="12" width="69" bestFit="1" customWidth="1"/>
  </cols>
  <sheetData>
    <row r="1" spans="1:11" s="1" customFormat="1" ht="31.5">
      <c r="A1" s="37" t="s">
        <v>0</v>
      </c>
      <c r="B1" s="37" t="s">
        <v>314</v>
      </c>
      <c r="C1" s="38" t="s">
        <v>315</v>
      </c>
      <c r="D1" s="38" t="s">
        <v>316</v>
      </c>
      <c r="E1" s="38" t="s">
        <v>59</v>
      </c>
      <c r="F1" s="38" t="s">
        <v>27</v>
      </c>
      <c r="G1" s="42"/>
      <c r="H1" s="42"/>
    </row>
    <row r="2" spans="1:11" ht="15.75">
      <c r="A2" s="277">
        <f>IF(B2&lt;&gt;"", COUNTA($B2:B$2), "")</f>
        <v>1</v>
      </c>
      <c r="B2" s="35" t="s">
        <v>2851</v>
      </c>
      <c r="C2" s="35" t="s">
        <v>2852</v>
      </c>
      <c r="D2" s="52">
        <v>1</v>
      </c>
      <c r="E2" s="31" t="str">
        <f>IF(F2="No submit","No submit","v")</f>
        <v>v</v>
      </c>
      <c r="F2" s="31" t="s">
        <v>73</v>
      </c>
      <c r="G2" s="60"/>
      <c r="H2" s="60"/>
    </row>
    <row r="3" spans="1:11" ht="15.75">
      <c r="A3" s="277" t="str">
        <f>IF(B3&lt;&gt;"", COUNTA($B$2:B3), "")</f>
        <v/>
      </c>
      <c r="B3" s="35"/>
      <c r="C3" s="35"/>
      <c r="D3" s="52"/>
      <c r="E3" s="31"/>
      <c r="F3" s="31"/>
      <c r="G3" s="60"/>
      <c r="H3" s="60"/>
      <c r="I3" s="46"/>
      <c r="J3" s="34" t="s">
        <v>322</v>
      </c>
    </row>
    <row r="4" spans="1:11" ht="15.75">
      <c r="A4" s="277" t="str">
        <f>IF(B4&lt;&gt;"", COUNTA($B$2:B4), "")</f>
        <v/>
      </c>
      <c r="B4" s="35"/>
      <c r="C4" s="35"/>
      <c r="D4" s="52"/>
      <c r="E4" s="31"/>
      <c r="F4" s="31"/>
      <c r="G4" s="60"/>
      <c r="H4" s="60"/>
      <c r="I4" s="44" t="s">
        <v>73</v>
      </c>
      <c r="J4" s="45">
        <f t="shared" ref="J4:J10" si="0">COUNTIF($F$2:$F$724,I4)</f>
        <v>1</v>
      </c>
      <c r="K4" s="1160">
        <f>SUM(J4:J5)</f>
        <v>1</v>
      </c>
    </row>
    <row r="5" spans="1:11" ht="15.75">
      <c r="A5" s="277" t="str">
        <f>IF(B5&lt;&gt;"", COUNTA($B$2:B5), "")</f>
        <v/>
      </c>
      <c r="B5" s="35"/>
      <c r="C5" s="35"/>
      <c r="D5" s="52"/>
      <c r="E5" s="31"/>
      <c r="F5" s="31"/>
      <c r="G5" s="60"/>
      <c r="H5" s="60"/>
      <c r="I5" s="44" t="s">
        <v>49</v>
      </c>
      <c r="J5" s="45">
        <f t="shared" si="0"/>
        <v>0</v>
      </c>
      <c r="K5" s="1160"/>
    </row>
    <row r="6" spans="1:11" ht="15.75">
      <c r="G6" s="60"/>
      <c r="H6" s="60"/>
      <c r="I6" s="44" t="s">
        <v>241</v>
      </c>
      <c r="J6" s="45">
        <f t="shared" si="0"/>
        <v>0</v>
      </c>
    </row>
    <row r="7" spans="1:11" ht="15.75">
      <c r="G7" s="60"/>
      <c r="H7" s="60"/>
      <c r="I7" s="44" t="s">
        <v>331</v>
      </c>
      <c r="J7" s="45">
        <f t="shared" si="0"/>
        <v>0</v>
      </c>
    </row>
    <row r="8" spans="1:11" ht="15.75">
      <c r="G8" s="60"/>
      <c r="H8" s="60"/>
      <c r="I8" s="44" t="s">
        <v>213</v>
      </c>
      <c r="J8" s="45">
        <f t="shared" si="0"/>
        <v>0</v>
      </c>
    </row>
    <row r="9" spans="1:11" ht="15.75">
      <c r="G9" s="60"/>
      <c r="H9" s="60"/>
      <c r="I9" s="44" t="s">
        <v>336</v>
      </c>
      <c r="J9" s="45">
        <f t="shared" si="0"/>
        <v>0</v>
      </c>
    </row>
    <row r="10" spans="1:11" ht="15.75">
      <c r="G10" s="60"/>
      <c r="H10" s="60"/>
      <c r="I10" s="50" t="s">
        <v>173</v>
      </c>
      <c r="J10" s="45">
        <f t="shared" si="0"/>
        <v>0</v>
      </c>
    </row>
    <row r="11" spans="1:11" ht="15.75">
      <c r="G11" s="60"/>
      <c r="H11" s="60"/>
      <c r="I11" s="2" t="s">
        <v>304</v>
      </c>
      <c r="J11" s="2">
        <f>SUM(J4:J9)</f>
        <v>1</v>
      </c>
    </row>
    <row r="12" spans="1:11" ht="15.75">
      <c r="G12" s="60"/>
      <c r="H12" s="60"/>
      <c r="I12" s="2" t="s">
        <v>310</v>
      </c>
      <c r="J12" s="2">
        <f>COUNTIF(E:E,"v")</f>
        <v>1</v>
      </c>
    </row>
    <row r="13" spans="1:11" ht="15.75">
      <c r="G13" s="60"/>
      <c r="H13" s="60"/>
      <c r="I13" s="2" t="s">
        <v>343</v>
      </c>
      <c r="J13" s="59">
        <f>SUM(J12/J11)</f>
        <v>1</v>
      </c>
      <c r="K13"/>
    </row>
    <row r="14" spans="1:11" ht="15.75">
      <c r="G14" s="60"/>
      <c r="H14" s="60"/>
      <c r="I14" s="2" t="s">
        <v>313</v>
      </c>
      <c r="J14" s="59" cm="1">
        <f t="array" ref="J14">SUM(J4:J5/J11)</f>
        <v>1</v>
      </c>
      <c r="K14" s="54"/>
    </row>
    <row r="17" spans="9:10" ht="15.75">
      <c r="I17" s="33" t="s">
        <v>348</v>
      </c>
      <c r="J17" s="130">
        <v>45569</v>
      </c>
    </row>
  </sheetData>
  <autoFilter ref="A1:K18" xr:uid="{E67D807B-5759-40A8-ABAE-3F5C28D56576}"/>
  <mergeCells count="1">
    <mergeCell ref="K4:K5"/>
  </mergeCells>
  <phoneticPr fontId="43" type="noConversion"/>
  <conditionalFormatting sqref="B2:F2 A3:F5">
    <cfRule type="expression" dxfId="165" priority="7">
      <formula>($F2)="Approved"</formula>
    </cfRule>
    <cfRule type="expression" dxfId="164" priority="8">
      <formula>($F2)="Approved with comments"</formula>
    </cfRule>
    <cfRule type="expression" dxfId="163" priority="9">
      <formula>($F2)="Pending"</formula>
    </cfRule>
    <cfRule type="expression" dxfId="162" priority="10">
      <formula>$F2="Rejected"</formula>
    </cfRule>
    <cfRule type="expression" dxfId="161" priority="11">
      <formula>$F2="Revise &amp; Resubmit"</formula>
    </cfRule>
  </conditionalFormatting>
  <conditionalFormatting sqref="A2:F5">
    <cfRule type="expression" dxfId="160" priority="1">
      <formula>($F2)="Approved"</formula>
    </cfRule>
  </conditionalFormatting>
  <conditionalFormatting sqref="A2:A5">
    <cfRule type="expression" dxfId="159" priority="2">
      <formula>($F2)="Approved with comments"</formula>
    </cfRule>
    <cfRule type="expression" dxfId="158" priority="3">
      <formula>($F2)="Pending"</formula>
    </cfRule>
    <cfRule type="expression" dxfId="157" priority="4">
      <formula>$F2="Rejected"</formula>
    </cfRule>
    <cfRule type="expression" dxfId="156" priority="5">
      <formula>$F2="Revise &amp; Resubmit"</formula>
    </cfRule>
    <cfRule type="expression" dxfId="155" priority="6">
      <formula>($F2)="Void"</formula>
    </cfRule>
  </conditionalFormatting>
  <pageMargins left="0.7" right="0.7" top="0.75" bottom="0.75" header="0.3" footer="0.3"/>
  <pageSetup orientation="portrait" verticalDpi="36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2CCFD11-856A-49DC-A314-B65E4847C92F}">
          <x14:formula1>
            <xm:f>Filter!$H$14:$H$20</xm:f>
          </x14:formula1>
          <xm:sqref>F2:F5</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01A79-B3BF-4CB3-9AE7-54F9A9711DF1}">
  <sheetPr codeName="Sheet11">
    <tabColor theme="0" tint="-0.34998626667073579"/>
  </sheetPr>
  <dimension ref="A1:K41"/>
  <sheetViews>
    <sheetView view="pageBreakPreview" zoomScale="60" zoomScaleNormal="100" workbookViewId="0">
      <pane xSplit="2" ySplit="1" topLeftCell="C23" activePane="bottomRight" state="frozen"/>
      <selection activeCell="I17" sqref="I17"/>
      <selection pane="topRight" activeCell="I17" sqref="I17"/>
      <selection pane="bottomLeft" activeCell="I17" sqref="I17"/>
      <selection pane="bottomRight" activeCell="F69" sqref="F69"/>
    </sheetView>
  </sheetViews>
  <sheetFormatPr defaultColWidth="8.7109375" defaultRowHeight="15.75"/>
  <cols>
    <col min="1" max="1" width="6.5703125" style="33" bestFit="1" customWidth="1"/>
    <col min="2" max="2" width="28.7109375" style="40" bestFit="1" customWidth="1"/>
    <col min="3" max="3" width="80.7109375" style="40" bestFit="1" customWidth="1"/>
    <col min="4" max="4" width="8.7109375" style="39" bestFit="1" customWidth="1"/>
    <col min="5" max="5" width="11.7109375" style="39" bestFit="1" customWidth="1"/>
    <col min="6" max="6" width="24.5703125" style="39" bestFit="1" customWidth="1"/>
    <col min="7" max="7" width="36.42578125" style="527" bestFit="1" customWidth="1"/>
    <col min="8" max="8" width="9.7109375" style="527" customWidth="1"/>
    <col min="9" max="9" width="24.28515625" style="528" customWidth="1"/>
    <col min="10" max="10" width="16" style="528" customWidth="1"/>
    <col min="11" max="11" width="10.7109375" style="528" customWidth="1"/>
    <col min="12" max="12" width="106" style="459" bestFit="1" customWidth="1"/>
    <col min="13" max="13" width="20.5703125" style="459" bestFit="1" customWidth="1"/>
    <col min="14" max="16384" width="8.7109375" style="459"/>
  </cols>
  <sheetData>
    <row r="1" spans="1:11" s="530" customFormat="1" ht="31.5">
      <c r="A1" s="37" t="s">
        <v>0</v>
      </c>
      <c r="B1" s="37" t="s">
        <v>314</v>
      </c>
      <c r="C1" s="38" t="s">
        <v>315</v>
      </c>
      <c r="D1" s="38" t="s">
        <v>316</v>
      </c>
      <c r="E1" s="38" t="s">
        <v>59</v>
      </c>
      <c r="F1" s="38" t="s">
        <v>27</v>
      </c>
      <c r="G1" s="38" t="s">
        <v>2850</v>
      </c>
      <c r="H1" s="529"/>
    </row>
    <row r="2" spans="1:11">
      <c r="A2" s="32">
        <f>IF(B2&lt;&gt;"", COUNTA($B2:B$2), "")</f>
        <v>1</v>
      </c>
      <c r="B2" s="568" t="s">
        <v>411</v>
      </c>
      <c r="C2" s="568" t="s">
        <v>412</v>
      </c>
      <c r="D2" s="52">
        <v>4</v>
      </c>
      <c r="E2" s="31" t="str">
        <f t="shared" ref="E2:E24" si="0">IF(OR(F2="No submit", F2="void"), F2, "v")</f>
        <v>v</v>
      </c>
      <c r="F2" s="31" t="s">
        <v>73</v>
      </c>
      <c r="G2" s="524"/>
    </row>
    <row r="3" spans="1:11">
      <c r="A3" s="32">
        <f>IF(B3&lt;&gt;"", COUNTA($B$2:B3), "")</f>
        <v>2</v>
      </c>
      <c r="B3" s="568" t="s">
        <v>413</v>
      </c>
      <c r="C3" s="568" t="s">
        <v>414</v>
      </c>
      <c r="D3" s="52">
        <v>5</v>
      </c>
      <c r="E3" s="31" t="str">
        <f t="shared" si="0"/>
        <v>v</v>
      </c>
      <c r="F3" s="53" t="s">
        <v>73</v>
      </c>
      <c r="G3" s="572"/>
      <c r="I3" s="531"/>
      <c r="J3" s="532" t="s">
        <v>322</v>
      </c>
    </row>
    <row r="4" spans="1:11">
      <c r="A4" s="32">
        <f>IF(B4&lt;&gt;"", COUNTA($B$2:B4), "")</f>
        <v>3</v>
      </c>
      <c r="B4" s="569" t="s">
        <v>415</v>
      </c>
      <c r="C4" s="569" t="s">
        <v>416</v>
      </c>
      <c r="D4" s="52" t="s">
        <v>319</v>
      </c>
      <c r="E4" s="31" t="str">
        <f t="shared" si="0"/>
        <v>void</v>
      </c>
      <c r="F4" s="550" t="s">
        <v>319</v>
      </c>
      <c r="G4" s="524"/>
      <c r="I4" s="533" t="s">
        <v>73</v>
      </c>
      <c r="J4" s="534">
        <f t="shared" ref="J4:J10" si="1">COUNTIF($F$2:$F$909,I4)</f>
        <v>25</v>
      </c>
      <c r="K4" s="1162">
        <f>SUM(J4:J5)</f>
        <v>25</v>
      </c>
    </row>
    <row r="5" spans="1:11">
      <c r="A5" s="32">
        <f>IF(B5&lt;&gt;"", COUNTA($B$2:B5), "")</f>
        <v>4</v>
      </c>
      <c r="B5" s="568" t="s">
        <v>417</v>
      </c>
      <c r="C5" s="568" t="s">
        <v>418</v>
      </c>
      <c r="D5" s="52">
        <v>4</v>
      </c>
      <c r="E5" s="31" t="str">
        <f t="shared" si="0"/>
        <v>v</v>
      </c>
      <c r="F5" s="31" t="s">
        <v>73</v>
      </c>
      <c r="G5" s="524"/>
      <c r="I5" s="533" t="s">
        <v>49</v>
      </c>
      <c r="J5" s="534">
        <f t="shared" si="1"/>
        <v>0</v>
      </c>
      <c r="K5" s="1162"/>
    </row>
    <row r="6" spans="1:11">
      <c r="A6" s="32">
        <f>IF(B6&lt;&gt;"", COUNTA($B$2:B6), "")</f>
        <v>5</v>
      </c>
      <c r="B6" s="568" t="s">
        <v>419</v>
      </c>
      <c r="C6" s="568" t="s">
        <v>420</v>
      </c>
      <c r="D6" s="52">
        <v>5</v>
      </c>
      <c r="E6" s="31" t="str">
        <f t="shared" si="0"/>
        <v>v</v>
      </c>
      <c r="F6" s="31" t="s">
        <v>73</v>
      </c>
      <c r="G6" s="524"/>
      <c r="I6" s="533" t="s">
        <v>241</v>
      </c>
      <c r="J6" s="534">
        <f t="shared" si="1"/>
        <v>0</v>
      </c>
    </row>
    <row r="7" spans="1:11">
      <c r="A7" s="32">
        <f>IF(B7&lt;&gt;"", COUNTA($B$2:B7), "")</f>
        <v>6</v>
      </c>
      <c r="B7" s="569" t="s">
        <v>421</v>
      </c>
      <c r="C7" s="569" t="s">
        <v>422</v>
      </c>
      <c r="D7" s="145" t="s">
        <v>173</v>
      </c>
      <c r="E7" s="31" t="str">
        <f t="shared" si="0"/>
        <v>void</v>
      </c>
      <c r="F7" s="550" t="s">
        <v>319</v>
      </c>
      <c r="G7" s="524"/>
      <c r="I7" s="533" t="s">
        <v>331</v>
      </c>
      <c r="J7" s="534">
        <f t="shared" si="1"/>
        <v>0</v>
      </c>
    </row>
    <row r="8" spans="1:11">
      <c r="A8" s="32">
        <f>IF(B8&lt;&gt;"", COUNTA($B$2:B8), "")</f>
        <v>7</v>
      </c>
      <c r="B8" s="569" t="s">
        <v>423</v>
      </c>
      <c r="C8" s="569" t="s">
        <v>424</v>
      </c>
      <c r="D8" s="145" t="s">
        <v>173</v>
      </c>
      <c r="E8" s="31" t="str">
        <f t="shared" si="0"/>
        <v>void</v>
      </c>
      <c r="F8" s="550" t="s">
        <v>319</v>
      </c>
      <c r="G8" s="524"/>
      <c r="I8" s="533" t="s">
        <v>213</v>
      </c>
      <c r="J8" s="534">
        <f t="shared" si="1"/>
        <v>0</v>
      </c>
    </row>
    <row r="9" spans="1:11">
      <c r="A9" s="32">
        <f>IF(B9&lt;&gt;"", COUNTA($B$2:B9), "")</f>
        <v>8</v>
      </c>
      <c r="B9" s="551" t="s">
        <v>425</v>
      </c>
      <c r="C9" s="551" t="s">
        <v>426</v>
      </c>
      <c r="D9" s="53">
        <v>5</v>
      </c>
      <c r="E9" s="31" t="str">
        <f t="shared" si="0"/>
        <v>v</v>
      </c>
      <c r="F9" s="30" t="s">
        <v>73</v>
      </c>
      <c r="G9" s="524"/>
      <c r="I9" s="533" t="s">
        <v>336</v>
      </c>
      <c r="J9" s="534">
        <f t="shared" si="1"/>
        <v>0</v>
      </c>
    </row>
    <row r="10" spans="1:11" s="526" customFormat="1">
      <c r="A10" s="32">
        <f>IF(B10&lt;&gt;"", COUNTA($B$2:B10), "")</f>
        <v>9</v>
      </c>
      <c r="B10" s="551" t="s">
        <v>427</v>
      </c>
      <c r="C10" s="551" t="s">
        <v>2703</v>
      </c>
      <c r="D10" s="53">
        <v>1</v>
      </c>
      <c r="E10" s="30" t="str">
        <f t="shared" si="0"/>
        <v>v</v>
      </c>
      <c r="F10" s="53" t="s">
        <v>73</v>
      </c>
      <c r="G10" s="573" t="s">
        <v>2704</v>
      </c>
      <c r="H10" s="525"/>
      <c r="I10" s="584" t="s">
        <v>173</v>
      </c>
      <c r="J10" s="534">
        <f t="shared" si="1"/>
        <v>15</v>
      </c>
      <c r="K10" s="525"/>
    </row>
    <row r="11" spans="1:11" s="526" customFormat="1" ht="14.25">
      <c r="A11" s="578">
        <f>IF(B11&lt;&gt;"", COUNTA($B$2:B11), "")</f>
        <v>10</v>
      </c>
      <c r="B11" s="579" t="s">
        <v>428</v>
      </c>
      <c r="C11" s="579" t="s">
        <v>429</v>
      </c>
      <c r="D11" s="580" t="s">
        <v>173</v>
      </c>
      <c r="E11" s="581" t="str">
        <f t="shared" si="0"/>
        <v>void</v>
      </c>
      <c r="F11" s="582" t="s">
        <v>319</v>
      </c>
      <c r="G11" s="583"/>
      <c r="H11" s="525"/>
      <c r="I11" s="525" t="s">
        <v>304</v>
      </c>
      <c r="J11" s="525">
        <f>SUM(J4:J9)</f>
        <v>25</v>
      </c>
      <c r="K11" s="525"/>
    </row>
    <row r="12" spans="1:11">
      <c r="A12" s="32">
        <f>IF(B12&lt;&gt;"", COUNTA($B$2:B12), "")</f>
        <v>11</v>
      </c>
      <c r="B12" s="568" t="s">
        <v>430</v>
      </c>
      <c r="C12" s="568" t="s">
        <v>431</v>
      </c>
      <c r="D12" s="52">
        <v>4</v>
      </c>
      <c r="E12" s="31" t="str">
        <f t="shared" si="0"/>
        <v>v</v>
      </c>
      <c r="F12" s="31" t="s">
        <v>73</v>
      </c>
      <c r="G12" s="524"/>
      <c r="I12" s="528" t="s">
        <v>310</v>
      </c>
      <c r="J12" s="528">
        <f>COUNTIF(E:E,"v")</f>
        <v>25</v>
      </c>
    </row>
    <row r="13" spans="1:11">
      <c r="A13" s="32">
        <f>IF(B13&lt;&gt;"", COUNTA($B$2:B13), "")</f>
        <v>12</v>
      </c>
      <c r="B13" s="568" t="s">
        <v>432</v>
      </c>
      <c r="C13" s="568" t="s">
        <v>433</v>
      </c>
      <c r="D13" s="52">
        <v>3</v>
      </c>
      <c r="E13" s="31" t="str">
        <f t="shared" si="0"/>
        <v>v</v>
      </c>
      <c r="F13" s="31" t="s">
        <v>73</v>
      </c>
      <c r="G13" s="524"/>
      <c r="I13" s="528" t="s">
        <v>343</v>
      </c>
      <c r="J13" s="535">
        <f>SUM(J12/J11)</f>
        <v>1</v>
      </c>
    </row>
    <row r="14" spans="1:11">
      <c r="A14" s="32">
        <f>IF(B14&lt;&gt;"", COUNTA($B$2:B14), "")</f>
        <v>13</v>
      </c>
      <c r="B14" s="569" t="s">
        <v>434</v>
      </c>
      <c r="C14" s="569" t="s">
        <v>435</v>
      </c>
      <c r="D14" s="145" t="s">
        <v>173</v>
      </c>
      <c r="E14" s="31" t="str">
        <f t="shared" si="0"/>
        <v>void</v>
      </c>
      <c r="F14" s="550" t="s">
        <v>319</v>
      </c>
      <c r="G14" s="524"/>
      <c r="I14" s="528" t="s">
        <v>313</v>
      </c>
      <c r="J14" s="535" cm="1">
        <f t="array" ref="J14">SUM(J4:J5/J11)</f>
        <v>1</v>
      </c>
      <c r="K14" s="459"/>
    </row>
    <row r="15" spans="1:11">
      <c r="A15" s="32">
        <f>IF(B15&lt;&gt;"", COUNTA($B$2:B15), "")</f>
        <v>14</v>
      </c>
      <c r="B15" s="569" t="s">
        <v>436</v>
      </c>
      <c r="C15" s="569" t="s">
        <v>437</v>
      </c>
      <c r="D15" s="145" t="s">
        <v>173</v>
      </c>
      <c r="E15" s="31" t="str">
        <f t="shared" si="0"/>
        <v>void</v>
      </c>
      <c r="F15" s="550" t="s">
        <v>319</v>
      </c>
      <c r="G15" s="524"/>
      <c r="I15" s="536"/>
      <c r="J15" s="536"/>
      <c r="K15" s="54"/>
    </row>
    <row r="16" spans="1:11">
      <c r="A16" s="32">
        <f>IF(B16&lt;&gt;"", COUNTA($B$2:B16), "")</f>
        <v>15</v>
      </c>
      <c r="B16" s="569" t="s">
        <v>438</v>
      </c>
      <c r="C16" s="569" t="s">
        <v>439</v>
      </c>
      <c r="D16" s="145" t="s">
        <v>173</v>
      </c>
      <c r="E16" s="31" t="str">
        <f t="shared" si="0"/>
        <v>void</v>
      </c>
      <c r="F16" s="550" t="s">
        <v>319</v>
      </c>
      <c r="G16" s="524"/>
    </row>
    <row r="17" spans="1:10">
      <c r="A17" s="32">
        <f>IF(B17&lt;&gt;"", COUNTA($B$2:B17), "")</f>
        <v>16</v>
      </c>
      <c r="B17" s="569" t="s">
        <v>440</v>
      </c>
      <c r="C17" s="569" t="s">
        <v>441</v>
      </c>
      <c r="D17" s="145" t="s">
        <v>173</v>
      </c>
      <c r="E17" s="31" t="str">
        <f t="shared" si="0"/>
        <v>void</v>
      </c>
      <c r="F17" s="550" t="s">
        <v>319</v>
      </c>
      <c r="G17" s="524"/>
      <c r="I17" s="458" t="s">
        <v>348</v>
      </c>
      <c r="J17" s="537">
        <v>45607</v>
      </c>
    </row>
    <row r="18" spans="1:10">
      <c r="A18" s="32">
        <f>IF(B18&lt;&gt;"", COUNTA($B$2:B18), "")</f>
        <v>17</v>
      </c>
      <c r="B18" s="569" t="s">
        <v>442</v>
      </c>
      <c r="C18" s="569" t="s">
        <v>443</v>
      </c>
      <c r="D18" s="145" t="s">
        <v>173</v>
      </c>
      <c r="E18" s="31" t="str">
        <f t="shared" si="0"/>
        <v>void</v>
      </c>
      <c r="F18" s="550" t="s">
        <v>319</v>
      </c>
      <c r="G18" s="524"/>
    </row>
    <row r="19" spans="1:10">
      <c r="A19" s="32">
        <f>IF(B19&lt;&gt;"", COUNTA($B$2:B19), "")</f>
        <v>18</v>
      </c>
      <c r="B19" s="568" t="s">
        <v>444</v>
      </c>
      <c r="C19" s="568" t="s">
        <v>445</v>
      </c>
      <c r="D19" s="145" t="s">
        <v>173</v>
      </c>
      <c r="E19" s="31" t="str">
        <f t="shared" si="0"/>
        <v>void</v>
      </c>
      <c r="F19" s="550" t="s">
        <v>319</v>
      </c>
      <c r="G19" s="572"/>
    </row>
    <row r="20" spans="1:10">
      <c r="A20" s="32">
        <f>IF(B20&lt;&gt;"", COUNTA($B$2:B20), "")</f>
        <v>19</v>
      </c>
      <c r="B20" s="568" t="s">
        <v>446</v>
      </c>
      <c r="C20" s="568" t="s">
        <v>447</v>
      </c>
      <c r="D20" s="52">
        <v>5</v>
      </c>
      <c r="E20" s="31" t="str">
        <f t="shared" si="0"/>
        <v>v</v>
      </c>
      <c r="F20" s="31" t="s">
        <v>73</v>
      </c>
      <c r="G20" s="524"/>
      <c r="I20" s="54"/>
      <c r="J20" s="459"/>
    </row>
    <row r="21" spans="1:10">
      <c r="A21" s="32">
        <f>IF(B21&lt;&gt;"", COUNTA($B$2:B21), "")</f>
        <v>20</v>
      </c>
      <c r="B21" s="569" t="s">
        <v>448</v>
      </c>
      <c r="C21" s="569" t="s">
        <v>449</v>
      </c>
      <c r="D21" s="52" t="s">
        <v>173</v>
      </c>
      <c r="E21" s="31" t="str">
        <f t="shared" si="0"/>
        <v>void</v>
      </c>
      <c r="F21" s="550" t="s">
        <v>319</v>
      </c>
      <c r="G21" s="524"/>
      <c r="I21" s="54"/>
      <c r="J21" s="459"/>
    </row>
    <row r="22" spans="1:10">
      <c r="A22" s="32">
        <f>IF(B22&lt;&gt;"", COUNTA($B$2:B22), "")</f>
        <v>21</v>
      </c>
      <c r="B22" s="569" t="s">
        <v>450</v>
      </c>
      <c r="C22" s="569" t="s">
        <v>451</v>
      </c>
      <c r="D22" s="52" t="s">
        <v>173</v>
      </c>
      <c r="E22" s="31" t="str">
        <f t="shared" si="0"/>
        <v>void</v>
      </c>
      <c r="F22" s="550" t="s">
        <v>319</v>
      </c>
      <c r="G22" s="524"/>
      <c r="I22" s="54"/>
      <c r="J22" s="459"/>
    </row>
    <row r="23" spans="1:10">
      <c r="A23" s="32">
        <f>IF(B23&lt;&gt;"", COUNTA($B$2:B23), "")</f>
        <v>22</v>
      </c>
      <c r="B23" s="568" t="s">
        <v>452</v>
      </c>
      <c r="C23" s="568" t="s">
        <v>453</v>
      </c>
      <c r="D23" s="52">
        <v>5</v>
      </c>
      <c r="E23" s="31" t="str">
        <f t="shared" si="0"/>
        <v>v</v>
      </c>
      <c r="F23" s="31" t="s">
        <v>73</v>
      </c>
      <c r="G23" s="524"/>
      <c r="I23" s="54"/>
      <c r="J23" s="459"/>
    </row>
    <row r="24" spans="1:10">
      <c r="A24" s="32">
        <f>IF(B24&lt;&gt;"", COUNTA($B$2:B24), "")</f>
        <v>23</v>
      </c>
      <c r="B24" s="568" t="s">
        <v>454</v>
      </c>
      <c r="C24" s="568" t="s">
        <v>455</v>
      </c>
      <c r="D24" s="52">
        <v>3</v>
      </c>
      <c r="E24" s="31" t="str">
        <f t="shared" si="0"/>
        <v>v</v>
      </c>
      <c r="F24" s="31" t="s">
        <v>73</v>
      </c>
      <c r="G24" s="574" t="s">
        <v>456</v>
      </c>
      <c r="I24" s="54"/>
      <c r="J24" s="459"/>
    </row>
    <row r="25" spans="1:10">
      <c r="A25" s="32">
        <f>IF(B25&lt;&gt;"", COUNTA($B$2:B25), "")</f>
        <v>24</v>
      </c>
      <c r="B25" s="568" t="s">
        <v>457</v>
      </c>
      <c r="C25" s="568" t="s">
        <v>458</v>
      </c>
      <c r="D25" s="52">
        <v>4</v>
      </c>
      <c r="E25" s="31" t="str">
        <f>IF(F25="No submit","No submit","v")</f>
        <v>v</v>
      </c>
      <c r="F25" s="31" t="s">
        <v>73</v>
      </c>
      <c r="G25" s="575" t="s">
        <v>459</v>
      </c>
      <c r="I25" s="54"/>
      <c r="J25" s="459"/>
    </row>
    <row r="26" spans="1:10">
      <c r="A26" s="32">
        <f>IF(B26&lt;&gt;"", COUNTA($B$2:B26), "")</f>
        <v>25</v>
      </c>
      <c r="B26" s="568" t="s">
        <v>460</v>
      </c>
      <c r="C26" s="568" t="s">
        <v>461</v>
      </c>
      <c r="D26" s="52">
        <v>3</v>
      </c>
      <c r="E26" s="31" t="s">
        <v>67</v>
      </c>
      <c r="F26" s="31" t="s">
        <v>73</v>
      </c>
      <c r="G26" s="524"/>
      <c r="I26" s="54"/>
      <c r="J26" s="459"/>
    </row>
    <row r="27" spans="1:10">
      <c r="A27" s="32">
        <f>IF(B27&lt;&gt;"", COUNTA($B$2:B27), "")</f>
        <v>26</v>
      </c>
      <c r="B27" s="569" t="s">
        <v>462</v>
      </c>
      <c r="C27" s="569" t="s">
        <v>463</v>
      </c>
      <c r="D27" s="145" t="s">
        <v>173</v>
      </c>
      <c r="E27" s="31" t="str">
        <f>IF(OR(F27="No submit", F27="void"), F27, "v")</f>
        <v>void</v>
      </c>
      <c r="F27" s="550" t="s">
        <v>319</v>
      </c>
      <c r="G27" s="524"/>
      <c r="I27" s="54"/>
      <c r="J27" s="459"/>
    </row>
    <row r="28" spans="1:10">
      <c r="A28" s="32">
        <f>IF(B28&lt;&gt;"", COUNTA($B$2:B28), "")</f>
        <v>27</v>
      </c>
      <c r="B28" s="569" t="s">
        <v>464</v>
      </c>
      <c r="C28" s="569" t="s">
        <v>465</v>
      </c>
      <c r="D28" s="145" t="s">
        <v>173</v>
      </c>
      <c r="E28" s="31" t="str">
        <f>IF(OR(F28="No submit", F28="void"), F28, "v")</f>
        <v>void</v>
      </c>
      <c r="F28" s="550" t="s">
        <v>319</v>
      </c>
      <c r="G28" s="524"/>
      <c r="I28" s="54"/>
      <c r="J28" s="459"/>
    </row>
    <row r="29" spans="1:10">
      <c r="A29" s="32">
        <f>IF(B29&lt;&gt;"", COUNTA($B$2:B29), "")</f>
        <v>28</v>
      </c>
      <c r="B29" s="568" t="s">
        <v>466</v>
      </c>
      <c r="C29" s="568" t="s">
        <v>467</v>
      </c>
      <c r="D29" s="52">
        <v>3</v>
      </c>
      <c r="E29" s="31" t="str">
        <f t="shared" ref="E29:E34" si="2">IF(F29="No submit","No submit","v")</f>
        <v>v</v>
      </c>
      <c r="F29" s="31" t="s">
        <v>73</v>
      </c>
      <c r="G29" s="524"/>
      <c r="I29" s="54"/>
      <c r="J29" s="459"/>
    </row>
    <row r="30" spans="1:10">
      <c r="A30" s="32">
        <f>IF(B30&lt;&gt;"", COUNTA($B$2:B30), "")</f>
        <v>29</v>
      </c>
      <c r="B30" s="568" t="s">
        <v>468</v>
      </c>
      <c r="C30" s="568" t="s">
        <v>469</v>
      </c>
      <c r="D30" s="52">
        <v>3</v>
      </c>
      <c r="E30" s="31" t="str">
        <f t="shared" si="2"/>
        <v>v</v>
      </c>
      <c r="F30" s="31" t="s">
        <v>73</v>
      </c>
      <c r="G30" s="524"/>
      <c r="I30" s="54"/>
      <c r="J30" s="459"/>
    </row>
    <row r="31" spans="1:10">
      <c r="A31" s="32">
        <f>IF(B31&lt;&gt;"", COUNTA($B$2:B31), "")</f>
        <v>30</v>
      </c>
      <c r="B31" s="568" t="s">
        <v>470</v>
      </c>
      <c r="C31" s="568" t="s">
        <v>471</v>
      </c>
      <c r="D31" s="52">
        <v>2</v>
      </c>
      <c r="E31" s="31" t="str">
        <f t="shared" si="2"/>
        <v>v</v>
      </c>
      <c r="F31" s="31" t="s">
        <v>73</v>
      </c>
      <c r="G31" s="524"/>
      <c r="I31" s="54"/>
      <c r="J31" s="459"/>
    </row>
    <row r="32" spans="1:10">
      <c r="A32" s="32">
        <f>IF(B32&lt;&gt;"", COUNTA($B$2:B32), "")</f>
        <v>31</v>
      </c>
      <c r="B32" s="568" t="s">
        <v>472</v>
      </c>
      <c r="C32" s="568" t="s">
        <v>473</v>
      </c>
      <c r="D32" s="52">
        <v>2</v>
      </c>
      <c r="E32" s="31" t="str">
        <f t="shared" si="2"/>
        <v>v</v>
      </c>
      <c r="F32" s="31" t="s">
        <v>73</v>
      </c>
      <c r="G32" s="524"/>
    </row>
    <row r="33" spans="1:7">
      <c r="A33" s="32">
        <f>IF(B33&lt;&gt;"", COUNTA($B$2:B33), "")</f>
        <v>32</v>
      </c>
      <c r="B33" s="568" t="s">
        <v>474</v>
      </c>
      <c r="C33" s="568" t="s">
        <v>475</v>
      </c>
      <c r="D33" s="52">
        <v>1</v>
      </c>
      <c r="E33" s="31" t="str">
        <f t="shared" si="2"/>
        <v>v</v>
      </c>
      <c r="F33" s="31" t="s">
        <v>73</v>
      </c>
      <c r="G33" s="524"/>
    </row>
    <row r="34" spans="1:7">
      <c r="A34" s="32">
        <f>IF(B34&lt;&gt;"", COUNTA($B$2:B34), "")</f>
        <v>33</v>
      </c>
      <c r="B34" s="568" t="s">
        <v>476</v>
      </c>
      <c r="C34" s="568" t="s">
        <v>477</v>
      </c>
      <c r="D34" s="52">
        <v>2</v>
      </c>
      <c r="E34" s="31" t="str">
        <f t="shared" si="2"/>
        <v>v</v>
      </c>
      <c r="F34" s="31" t="s">
        <v>73</v>
      </c>
      <c r="G34" s="524"/>
    </row>
    <row r="35" spans="1:7">
      <c r="A35" s="32">
        <f>IF(B35&lt;&gt;"", COUNTA($B$2:B35), "")</f>
        <v>34</v>
      </c>
      <c r="B35" s="568" t="s">
        <v>478</v>
      </c>
      <c r="C35" s="570" t="s">
        <v>479</v>
      </c>
      <c r="D35" s="53">
        <v>4</v>
      </c>
      <c r="E35" s="31" t="str">
        <f>IF(OR(F35="No submit", F35="void"), F35, "v")</f>
        <v>v</v>
      </c>
      <c r="F35" s="53" t="s">
        <v>73</v>
      </c>
      <c r="G35" s="524"/>
    </row>
    <row r="36" spans="1:7">
      <c r="A36" s="32">
        <f>IF(B36&lt;&gt;"", COUNTA($B$2:B36), "")</f>
        <v>35</v>
      </c>
      <c r="B36" s="569" t="s">
        <v>480</v>
      </c>
      <c r="C36" s="571" t="s">
        <v>481</v>
      </c>
      <c r="D36" s="550" t="s">
        <v>173</v>
      </c>
      <c r="E36" s="31" t="str">
        <f>IF(OR(F36="No submit", F36="void"), F36, "v")</f>
        <v>void</v>
      </c>
      <c r="F36" s="550" t="s">
        <v>319</v>
      </c>
      <c r="G36" s="524"/>
    </row>
    <row r="37" spans="1:7">
      <c r="A37" s="32">
        <f>IF(B37&lt;&gt;"", COUNTA($B$2:B37), "")</f>
        <v>36</v>
      </c>
      <c r="B37" s="568" t="s">
        <v>482</v>
      </c>
      <c r="C37" s="568" t="s">
        <v>483</v>
      </c>
      <c r="D37" s="52">
        <v>4</v>
      </c>
      <c r="E37" s="31" t="str">
        <f>IF(OR(F37="No submit", F37="void"), F37, "v")</f>
        <v>v</v>
      </c>
      <c r="F37" s="31" t="s">
        <v>73</v>
      </c>
      <c r="G37" s="524"/>
    </row>
    <row r="38" spans="1:7">
      <c r="A38" s="32">
        <f>IF(B38&lt;&gt;"", COUNTA($B$2:B38), "")</f>
        <v>37</v>
      </c>
      <c r="B38" s="568" t="s">
        <v>484</v>
      </c>
      <c r="C38" s="568" t="s">
        <v>485</v>
      </c>
      <c r="D38" s="52">
        <v>2</v>
      </c>
      <c r="E38" s="31" t="str">
        <f>IF(OR(F38="No submit", F38="void"), F38, "v")</f>
        <v>v</v>
      </c>
      <c r="F38" s="31" t="s">
        <v>73</v>
      </c>
      <c r="G38" s="576"/>
    </row>
    <row r="39" spans="1:7">
      <c r="A39" s="32">
        <f>IF(B39&lt;&gt;"", COUNTA($B$2:B39), "")</f>
        <v>38</v>
      </c>
      <c r="B39" s="568" t="s">
        <v>486</v>
      </c>
      <c r="C39" s="568" t="s">
        <v>487</v>
      </c>
      <c r="D39" s="52">
        <v>3</v>
      </c>
      <c r="E39" s="31" t="str">
        <f>IF(OR(F39="No submit", F39="void"), F39, "v")</f>
        <v>v</v>
      </c>
      <c r="F39" s="31" t="s">
        <v>73</v>
      </c>
      <c r="G39" s="575" t="s">
        <v>488</v>
      </c>
    </row>
    <row r="40" spans="1:7">
      <c r="A40" s="32">
        <f>IF(B40&lt;&gt;"", COUNTA($B$2:B40), "")</f>
        <v>39</v>
      </c>
      <c r="B40" s="568" t="s">
        <v>2777</v>
      </c>
      <c r="C40" s="568" t="s">
        <v>2778</v>
      </c>
      <c r="D40" s="52">
        <v>1</v>
      </c>
      <c r="E40" s="31" t="str">
        <f>IF(F40="No submit","No submit","v")</f>
        <v>v</v>
      </c>
      <c r="F40" s="31" t="s">
        <v>73</v>
      </c>
      <c r="G40" s="575" t="s">
        <v>2779</v>
      </c>
    </row>
    <row r="41" spans="1:7">
      <c r="A41" s="774">
        <v>40</v>
      </c>
      <c r="B41" s="775" t="s">
        <v>2777</v>
      </c>
      <c r="C41" s="775" t="s">
        <v>3993</v>
      </c>
      <c r="D41" s="776" t="s">
        <v>2445</v>
      </c>
      <c r="E41" s="776" t="s">
        <v>67</v>
      </c>
      <c r="F41" s="776" t="s">
        <v>73</v>
      </c>
      <c r="G41" s="104" t="s">
        <v>2779</v>
      </c>
    </row>
  </sheetData>
  <autoFilter ref="A1:K39" xr:uid="{E67D807B-5759-40A8-ABAE-3F5C28D56576}"/>
  <mergeCells count="1">
    <mergeCell ref="K4:K5"/>
  </mergeCells>
  <phoneticPr fontId="43" type="noConversion"/>
  <conditionalFormatting sqref="A2:G40">
    <cfRule type="expression" dxfId="154" priority="1">
      <formula>($F2)="Approved"</formula>
    </cfRule>
    <cfRule type="expression" dxfId="153" priority="2">
      <formula>($F2)="Approved with comments"</formula>
    </cfRule>
    <cfRule type="expression" dxfId="152" priority="3">
      <formula>($F2)="Pending"</formula>
    </cfRule>
    <cfRule type="expression" dxfId="151" priority="4">
      <formula>$F2="Rejected"</formula>
    </cfRule>
    <cfRule type="expression" dxfId="150" priority="5">
      <formula>$F2="Revise &amp; Resubmit"</formula>
    </cfRule>
    <cfRule type="expression" dxfId="149" priority="6">
      <formula>($F2)="void"</formula>
    </cfRule>
  </conditionalFormatting>
  <pageMargins left="0.7" right="0.7" top="0.75" bottom="0.75" header="0.3" footer="0.3"/>
  <pageSetup orientation="portrait" verticalDpi="36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E593D9B-82B9-4336-92B9-0CF3E5C4D527}">
          <x14:formula1>
            <xm:f>Filter!$H$14:$H$20</xm:f>
          </x14:formula1>
          <xm:sqref>F2:F40</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31580-D624-46D9-BBDA-F5AC35CE2634}">
  <sheetPr codeName="Sheet51">
    <tabColor theme="0" tint="-0.34998626667073579"/>
  </sheetPr>
  <dimension ref="A1:K18"/>
  <sheetViews>
    <sheetView view="pageBreakPreview" zoomScale="115" zoomScaleNormal="100" zoomScaleSheetLayoutView="115" workbookViewId="0">
      <pane xSplit="2" ySplit="1" topLeftCell="C2" activePane="bottomRight" state="frozen"/>
      <selection activeCell="I17" sqref="I17"/>
      <selection pane="topRight" activeCell="I17" sqref="I17"/>
      <selection pane="bottomLeft" activeCell="I17" sqref="I17"/>
      <selection pane="bottomRight" activeCell="E24" sqref="E24"/>
    </sheetView>
  </sheetViews>
  <sheetFormatPr defaultRowHeight="15.75"/>
  <cols>
    <col min="2" max="2" width="32" bestFit="1" customWidth="1"/>
    <col min="3" max="3" width="43.42578125" style="1" bestFit="1" customWidth="1"/>
    <col min="4" max="4" width="9.28515625" bestFit="1" customWidth="1"/>
    <col min="5" max="5" width="14.7109375" bestFit="1" customWidth="1"/>
    <col min="6" max="6" width="25.28515625" style="2" bestFit="1" customWidth="1"/>
    <col min="7" max="8" width="10.7109375" customWidth="1"/>
    <col min="9" max="9" width="24.28515625" bestFit="1" customWidth="1"/>
    <col min="10" max="10" width="17.7109375" customWidth="1"/>
  </cols>
  <sheetData>
    <row r="1" spans="1:11" s="1" customFormat="1" ht="42" customHeight="1">
      <c r="A1" s="37" t="s">
        <v>0</v>
      </c>
      <c r="B1" s="37" t="s">
        <v>314</v>
      </c>
      <c r="C1" s="38" t="s">
        <v>315</v>
      </c>
      <c r="D1" s="38" t="s">
        <v>316</v>
      </c>
      <c r="E1" s="38" t="s">
        <v>59</v>
      </c>
      <c r="F1" s="43" t="s">
        <v>27</v>
      </c>
      <c r="G1" s="43" t="s">
        <v>1</v>
      </c>
    </row>
    <row r="2" spans="1:11">
      <c r="A2" s="277">
        <f>IF(B2&lt;&gt;"", COUNTA($B2:B$2), "")</f>
        <v>1</v>
      </c>
      <c r="B2" s="47" t="s">
        <v>349</v>
      </c>
      <c r="C2" s="47" t="s">
        <v>350</v>
      </c>
      <c r="D2" s="41">
        <v>6</v>
      </c>
      <c r="E2" s="30" t="str">
        <f>IF(F2="No submit","No submit","v")</f>
        <v>v</v>
      </c>
      <c r="F2" s="30" t="s">
        <v>73</v>
      </c>
    </row>
    <row r="3" spans="1:11">
      <c r="A3" s="277">
        <f>IF(B3&lt;&gt;"", COUNTA($B$2:B3), "")</f>
        <v>2</v>
      </c>
      <c r="B3" s="70" t="s">
        <v>351</v>
      </c>
      <c r="C3" s="47" t="s">
        <v>352</v>
      </c>
      <c r="D3" s="41">
        <v>2</v>
      </c>
      <c r="E3" s="30" t="str">
        <f t="shared" ref="E3:E11" si="0">IF(F3="No submit","No submit","v")</f>
        <v>v</v>
      </c>
      <c r="F3" s="30" t="s">
        <v>73</v>
      </c>
      <c r="I3" s="46"/>
      <c r="J3" s="34" t="s">
        <v>322</v>
      </c>
    </row>
    <row r="4" spans="1:11">
      <c r="A4" s="277">
        <f>IF(B4&lt;&gt;"", COUNTA($B$2:B4), "")</f>
        <v>3</v>
      </c>
      <c r="B4" s="47" t="s">
        <v>353</v>
      </c>
      <c r="C4" s="47" t="s">
        <v>354</v>
      </c>
      <c r="D4" s="41">
        <v>6</v>
      </c>
      <c r="E4" s="30" t="str">
        <f t="shared" si="0"/>
        <v>v</v>
      </c>
      <c r="F4" s="30" t="s">
        <v>73</v>
      </c>
      <c r="I4" s="44" t="s">
        <v>73</v>
      </c>
      <c r="J4" s="45">
        <f t="shared" ref="J4:J10" si="1">COUNTIF($F$1:$F$991,I4)</f>
        <v>10</v>
      </c>
      <c r="K4" s="1160">
        <f>SUM(J4:J5)</f>
        <v>10</v>
      </c>
    </row>
    <row r="5" spans="1:11">
      <c r="A5" s="277">
        <f>IF(B5&lt;&gt;"", COUNTA($B$2:B5), "")</f>
        <v>4</v>
      </c>
      <c r="B5" s="47" t="s">
        <v>355</v>
      </c>
      <c r="C5" s="47" t="s">
        <v>356</v>
      </c>
      <c r="D5" s="41">
        <v>6</v>
      </c>
      <c r="E5" s="30" t="str">
        <f t="shared" si="0"/>
        <v>v</v>
      </c>
      <c r="F5" s="30" t="s">
        <v>73</v>
      </c>
      <c r="I5" s="44" t="s">
        <v>49</v>
      </c>
      <c r="J5" s="45">
        <f t="shared" si="1"/>
        <v>0</v>
      </c>
      <c r="K5" s="1160"/>
    </row>
    <row r="6" spans="1:11">
      <c r="A6" s="277">
        <f>IF(B6&lt;&gt;"", COUNTA($B$2:B6), "")</f>
        <v>5</v>
      </c>
      <c r="B6" s="47" t="s">
        <v>357</v>
      </c>
      <c r="C6" s="63" t="s">
        <v>318</v>
      </c>
      <c r="D6" s="41">
        <v>2</v>
      </c>
      <c r="E6" s="30" t="str">
        <f t="shared" si="0"/>
        <v>v</v>
      </c>
      <c r="F6" s="30" t="s">
        <v>73</v>
      </c>
      <c r="I6" s="44" t="s">
        <v>241</v>
      </c>
      <c r="J6" s="45">
        <f t="shared" si="1"/>
        <v>0</v>
      </c>
    </row>
    <row r="7" spans="1:11">
      <c r="A7" s="277">
        <f>IF(B7&lt;&gt;"", COUNTA($B$2:B7), "")</f>
        <v>6</v>
      </c>
      <c r="B7" s="55" t="s">
        <v>358</v>
      </c>
      <c r="C7" s="62" t="s">
        <v>324</v>
      </c>
      <c r="D7" s="56">
        <v>4</v>
      </c>
      <c r="E7" s="30" t="str">
        <f t="shared" si="0"/>
        <v>v</v>
      </c>
      <c r="F7" s="30" t="s">
        <v>73</v>
      </c>
      <c r="I7" s="44" t="s">
        <v>331</v>
      </c>
      <c r="J7" s="45">
        <f t="shared" si="1"/>
        <v>0</v>
      </c>
    </row>
    <row r="8" spans="1:11">
      <c r="A8" s="277">
        <f>IF(B8&lt;&gt;"", COUNTA($B$2:B8), "")</f>
        <v>7</v>
      </c>
      <c r="B8" s="55" t="s">
        <v>359</v>
      </c>
      <c r="C8" s="62" t="s">
        <v>326</v>
      </c>
      <c r="D8" s="56">
        <v>3</v>
      </c>
      <c r="E8" s="30" t="str">
        <f t="shared" si="0"/>
        <v>v</v>
      </c>
      <c r="F8" s="30" t="s">
        <v>73</v>
      </c>
      <c r="I8" s="44" t="s">
        <v>213</v>
      </c>
      <c r="J8" s="45">
        <f t="shared" si="1"/>
        <v>0</v>
      </c>
    </row>
    <row r="9" spans="1:11">
      <c r="A9" s="277">
        <f>IF(B9&lt;&gt;"", COUNTA($B$2:B9), "")</f>
        <v>8</v>
      </c>
      <c r="B9" s="55" t="s">
        <v>360</v>
      </c>
      <c r="C9" s="62" t="s">
        <v>361</v>
      </c>
      <c r="D9" s="56">
        <v>3</v>
      </c>
      <c r="E9" s="30" t="str">
        <f t="shared" si="0"/>
        <v>v</v>
      </c>
      <c r="F9" s="32" t="s">
        <v>73</v>
      </c>
      <c r="I9" s="44" t="s">
        <v>336</v>
      </c>
      <c r="J9" s="45">
        <f t="shared" si="1"/>
        <v>0</v>
      </c>
    </row>
    <row r="10" spans="1:11">
      <c r="A10" s="277">
        <f>IF(B10&lt;&gt;"", COUNTA($B$2:B10), "")</f>
        <v>9</v>
      </c>
      <c r="B10" s="55" t="s">
        <v>362</v>
      </c>
      <c r="C10" s="62" t="s">
        <v>363</v>
      </c>
      <c r="D10" s="56">
        <v>4</v>
      </c>
      <c r="E10" s="30" t="str">
        <f t="shared" si="0"/>
        <v>v</v>
      </c>
      <c r="F10" s="32" t="s">
        <v>73</v>
      </c>
      <c r="I10" s="50" t="s">
        <v>319</v>
      </c>
      <c r="J10" s="45">
        <f t="shared" si="1"/>
        <v>0</v>
      </c>
    </row>
    <row r="11" spans="1:11">
      <c r="A11" s="277">
        <f>IF(B11&lt;&gt;"", COUNTA($B$2:B11), "")</f>
        <v>10</v>
      </c>
      <c r="B11" s="55" t="s">
        <v>364</v>
      </c>
      <c r="C11" s="62" t="s">
        <v>365</v>
      </c>
      <c r="D11" s="56">
        <v>4</v>
      </c>
      <c r="E11" s="30" t="str">
        <f t="shared" si="0"/>
        <v>v</v>
      </c>
      <c r="F11" s="32" t="s">
        <v>73</v>
      </c>
      <c r="I11" s="2" t="s">
        <v>304</v>
      </c>
      <c r="J11" s="2">
        <f>SUM(J4:J10)</f>
        <v>10</v>
      </c>
    </row>
    <row r="12" spans="1:11">
      <c r="I12" s="2" t="s">
        <v>310</v>
      </c>
      <c r="J12" s="2">
        <f>COUNTIF(E:E,"v")</f>
        <v>10</v>
      </c>
    </row>
    <row r="13" spans="1:11">
      <c r="I13" s="2" t="s">
        <v>343</v>
      </c>
      <c r="J13" s="59">
        <f>SUM(J12/J11)</f>
        <v>1</v>
      </c>
    </row>
    <row r="14" spans="1:11">
      <c r="I14" s="2" t="s">
        <v>313</v>
      </c>
      <c r="J14" s="59" cm="1">
        <f t="array" ref="J14">SUM(J4:J5/J11)</f>
        <v>1</v>
      </c>
    </row>
    <row r="18" spans="9:10">
      <c r="I18" s="2" t="s">
        <v>348</v>
      </c>
      <c r="J18" s="130">
        <v>45569</v>
      </c>
    </row>
  </sheetData>
  <autoFilter ref="A1:F1" xr:uid="{E67D807B-5759-40A8-ABAE-3F5C28D56576}"/>
  <mergeCells count="1">
    <mergeCell ref="K4:K5"/>
  </mergeCells>
  <phoneticPr fontId="164" type="noConversion"/>
  <conditionalFormatting sqref="B2:F2 E3:E11">
    <cfRule type="expression" dxfId="148" priority="27">
      <formula>($F2)="Approved"</formula>
    </cfRule>
    <cfRule type="expression" dxfId="147" priority="28">
      <formula>($F2)="Approved with comments"</formula>
    </cfRule>
    <cfRule type="expression" dxfId="146" priority="29">
      <formula>($F2)="Pending"</formula>
    </cfRule>
    <cfRule type="expression" dxfId="145" priority="30">
      <formula>$F2="Rejected"</formula>
    </cfRule>
    <cfRule type="expression" dxfId="144" priority="31">
      <formula>$F2="Revise &amp; Resubmit"</formula>
    </cfRule>
  </conditionalFormatting>
  <conditionalFormatting sqref="E2:E11 B3:D11 F3:F11">
    <cfRule type="expression" dxfId="143" priority="22">
      <formula>($F2)="Approved"</formula>
    </cfRule>
    <cfRule type="expression" dxfId="142" priority="23">
      <formula>($F2)="Approved with comments"</formula>
    </cfRule>
    <cfRule type="expression" dxfId="141" priority="24">
      <formula>($F2)="Pending"</formula>
    </cfRule>
    <cfRule type="expression" dxfId="140" priority="25">
      <formula>$F2="Rejected"</formula>
    </cfRule>
    <cfRule type="expression" dxfId="139" priority="26">
      <formula>$F2="Revise &amp; Resubmit"</formula>
    </cfRule>
  </conditionalFormatting>
  <conditionalFormatting sqref="A2:F13">
    <cfRule type="expression" dxfId="138" priority="1">
      <formula>($F2)="Approved"</formula>
    </cfRule>
  </conditionalFormatting>
  <conditionalFormatting sqref="A2:A11">
    <cfRule type="expression" dxfId="137" priority="2">
      <formula>($F2)="Approved with comments"</formula>
    </cfRule>
    <cfRule type="expression" dxfId="136" priority="3">
      <formula>($F2)="Pending"</formula>
    </cfRule>
    <cfRule type="expression" dxfId="135" priority="4">
      <formula>$F2="Rejected"</formula>
    </cfRule>
    <cfRule type="expression" dxfId="134" priority="5">
      <formula>$F2="Revise &amp; Resubmit"</formula>
    </cfRule>
    <cfRule type="expression" dxfId="133" priority="6">
      <formula>($F2)="Void"</formula>
    </cfRule>
  </conditionalFormatting>
  <dataValidations disablePrompts="1" count="1">
    <dataValidation type="list" allowBlank="1" showInputMessage="1" showErrorMessage="1" sqref="F2:F11" xr:uid="{43878487-28FA-4E7D-BE32-3C1F00765CEC}">
      <formula1>#REF!</formula1>
    </dataValidation>
  </dataValidations>
  <pageMargins left="0.7" right="0.7" top="0.75" bottom="0.75" header="0.3" footer="0.3"/>
  <pageSetup orientation="portrait" verticalDpi="36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1F737-EEDA-41A3-98BD-E5C2D07FBF71}">
  <sheetPr codeName="Sheet40">
    <tabColor theme="0" tint="-0.34998626667073579"/>
  </sheetPr>
  <dimension ref="A1:C11"/>
  <sheetViews>
    <sheetView zoomScaleNormal="100" zoomScaleSheetLayoutView="115" workbookViewId="0">
      <pane xSplit="1" ySplit="1" topLeftCell="B2" activePane="bottomRight" state="frozen"/>
      <selection activeCell="H34" sqref="H34"/>
      <selection pane="topRight" activeCell="H34" sqref="H34"/>
      <selection pane="bottomLeft" activeCell="H34" sqref="H34"/>
      <selection pane="bottomRight" activeCell="H34" sqref="H34"/>
    </sheetView>
  </sheetViews>
  <sheetFormatPr defaultColWidth="8.7109375" defaultRowHeight="15.75"/>
  <cols>
    <col min="1" max="1" width="9" style="690" customWidth="1"/>
    <col min="2" max="2" width="41.85546875" style="682" customWidth="1"/>
    <col min="3" max="16384" width="8.7109375" style="682"/>
  </cols>
  <sheetData>
    <row r="1" spans="1:3" ht="17.25" thickBot="1">
      <c r="A1" s="680" t="s">
        <v>3193</v>
      </c>
      <c r="B1" s="681" t="s">
        <v>3194</v>
      </c>
      <c r="C1" s="682" t="s">
        <v>3195</v>
      </c>
    </row>
    <row r="2" spans="1:3" ht="16.5">
      <c r="A2" s="683" t="s">
        <v>3196</v>
      </c>
      <c r="B2" s="684" t="s">
        <v>3233</v>
      </c>
      <c r="C2" s="682" t="s">
        <v>3197</v>
      </c>
    </row>
    <row r="3" spans="1:3" ht="16.5">
      <c r="A3" s="685" t="s">
        <v>3198</v>
      </c>
      <c r="B3" s="686" t="s">
        <v>3199</v>
      </c>
      <c r="C3" s="682" t="s">
        <v>3200</v>
      </c>
    </row>
    <row r="4" spans="1:3" ht="16.5">
      <c r="A4" s="685" t="s">
        <v>3201</v>
      </c>
      <c r="B4" s="687" t="s">
        <v>3202</v>
      </c>
      <c r="C4" s="682" t="s">
        <v>3200</v>
      </c>
    </row>
    <row r="5" spans="1:3" ht="16.5">
      <c r="A5" s="685" t="s">
        <v>3203</v>
      </c>
      <c r="B5" s="688" t="s">
        <v>3204</v>
      </c>
      <c r="C5" s="682" t="s">
        <v>3200</v>
      </c>
    </row>
    <row r="6" spans="1:3" ht="16.5">
      <c r="A6" s="685" t="s">
        <v>3205</v>
      </c>
      <c r="B6" s="686" t="s">
        <v>3206</v>
      </c>
      <c r="C6" s="682" t="s">
        <v>3207</v>
      </c>
    </row>
    <row r="7" spans="1:3" ht="16.5">
      <c r="A7" s="685" t="s">
        <v>3208</v>
      </c>
      <c r="B7" s="687" t="s">
        <v>3209</v>
      </c>
      <c r="C7" s="682" t="s">
        <v>3207</v>
      </c>
    </row>
    <row r="8" spans="1:3" ht="16.5">
      <c r="A8" s="685" t="s">
        <v>3210</v>
      </c>
      <c r="B8" s="687" t="s">
        <v>3211</v>
      </c>
      <c r="C8" s="682" t="s">
        <v>3207</v>
      </c>
    </row>
    <row r="9" spans="1:3" ht="16.5">
      <c r="A9" s="685" t="s">
        <v>3212</v>
      </c>
      <c r="B9" s="687" t="s">
        <v>3213</v>
      </c>
      <c r="C9" s="682" t="s">
        <v>3197</v>
      </c>
    </row>
    <row r="10" spans="1:3" ht="16.5">
      <c r="A10" s="685" t="s">
        <v>3214</v>
      </c>
      <c r="B10" s="687" t="s">
        <v>3215</v>
      </c>
      <c r="C10" s="682" t="s">
        <v>3197</v>
      </c>
    </row>
    <row r="11" spans="1:3" ht="16.5" thickBot="1">
      <c r="A11" s="689">
        <v>10</v>
      </c>
      <c r="B11" s="693" t="s">
        <v>3251</v>
      </c>
      <c r="C11" s="682" t="s">
        <v>3197</v>
      </c>
    </row>
  </sheetData>
  <phoneticPr fontId="164" type="noConversion"/>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D1CEC-2960-473C-A893-1E0EE9393D3A}">
  <sheetPr codeName="Sheet14">
    <tabColor theme="6"/>
  </sheetPr>
  <dimension ref="A1:M14"/>
  <sheetViews>
    <sheetView view="pageBreakPreview" zoomScale="85" zoomScaleNormal="100" zoomScaleSheetLayoutView="85" workbookViewId="0">
      <selection activeCell="I62" sqref="I62"/>
    </sheetView>
  </sheetViews>
  <sheetFormatPr defaultRowHeight="15.75"/>
  <cols>
    <col min="1" max="1" width="6.5703125" style="33" bestFit="1" customWidth="1"/>
    <col min="2" max="2" width="34.42578125" style="40" customWidth="1"/>
    <col min="3" max="3" width="80.7109375" style="40" bestFit="1" customWidth="1"/>
    <col min="4" max="4" width="8.7109375" style="39" bestFit="1" customWidth="1"/>
    <col min="5" max="5" width="11.7109375" style="39" bestFit="1" customWidth="1"/>
    <col min="6" max="6" width="24.5703125" style="39" bestFit="1" customWidth="1"/>
    <col min="7" max="8" width="24.5703125" style="39" customWidth="1"/>
    <col min="9" max="9" width="24.28515625" style="2" bestFit="1" customWidth="1"/>
    <col min="10" max="10" width="20.42578125" style="2" customWidth="1"/>
    <col min="13" max="13" width="10.85546875" bestFit="1" customWidth="1"/>
  </cols>
  <sheetData>
    <row r="1" spans="1:13" s="1" customFormat="1" ht="31.5">
      <c r="A1" s="37" t="s">
        <v>0</v>
      </c>
      <c r="B1" s="37" t="s">
        <v>314</v>
      </c>
      <c r="C1" s="38" t="s">
        <v>315</v>
      </c>
      <c r="D1" s="38" t="s">
        <v>316</v>
      </c>
      <c r="E1" s="38" t="s">
        <v>59</v>
      </c>
      <c r="F1" s="38" t="s">
        <v>27</v>
      </c>
      <c r="G1" s="555" t="s">
        <v>1</v>
      </c>
      <c r="H1"/>
    </row>
    <row r="2" spans="1:13">
      <c r="A2" s="32">
        <f>IF(B2&lt;&gt;"", COUNTA($B2:B$2), "")</f>
        <v>1</v>
      </c>
      <c r="B2" s="35" t="s">
        <v>636</v>
      </c>
      <c r="C2" s="461" t="s">
        <v>2493</v>
      </c>
      <c r="D2" s="186">
        <v>3</v>
      </c>
      <c r="E2" s="30" t="str">
        <f>IF(F2="void", "void", IF(OR(F2="No submit", F2=""), "No submit", "v"))</f>
        <v>v</v>
      </c>
      <c r="F2" s="31" t="s">
        <v>73</v>
      </c>
      <c r="G2" s="31"/>
      <c r="H2"/>
    </row>
    <row r="3" spans="1:13">
      <c r="H3"/>
      <c r="I3" s="46"/>
      <c r="J3" s="34" t="s">
        <v>322</v>
      </c>
    </row>
    <row r="4" spans="1:13">
      <c r="H4"/>
      <c r="I4" s="44" t="s">
        <v>73</v>
      </c>
      <c r="J4" s="45">
        <f t="shared" ref="J4:J10" si="0">COUNTIF($F$2:$F$938,I4)</f>
        <v>1</v>
      </c>
      <c r="K4" s="1159">
        <f>SUM(J4:J5)</f>
        <v>1</v>
      </c>
    </row>
    <row r="5" spans="1:13">
      <c r="H5"/>
      <c r="I5" s="44" t="s">
        <v>49</v>
      </c>
      <c r="J5" s="45">
        <f t="shared" si="0"/>
        <v>0</v>
      </c>
      <c r="K5" s="1159"/>
    </row>
    <row r="6" spans="1:13">
      <c r="H6"/>
      <c r="I6" s="44" t="s">
        <v>241</v>
      </c>
      <c r="J6" s="45">
        <f t="shared" si="0"/>
        <v>0</v>
      </c>
      <c r="K6" s="51"/>
    </row>
    <row r="7" spans="1:13">
      <c r="H7"/>
      <c r="I7" s="44" t="s">
        <v>331</v>
      </c>
      <c r="J7" s="45">
        <f t="shared" si="0"/>
        <v>0</v>
      </c>
      <c r="K7" s="51"/>
    </row>
    <row r="8" spans="1:13">
      <c r="H8"/>
      <c r="I8" s="44" t="s">
        <v>213</v>
      </c>
      <c r="J8" s="45">
        <f t="shared" si="0"/>
        <v>0</v>
      </c>
      <c r="K8" s="51"/>
    </row>
    <row r="9" spans="1:13">
      <c r="H9"/>
      <c r="I9" s="44" t="s">
        <v>336</v>
      </c>
      <c r="J9" s="45">
        <f t="shared" si="0"/>
        <v>0</v>
      </c>
      <c r="K9" s="2"/>
    </row>
    <row r="10" spans="1:13">
      <c r="H10"/>
      <c r="I10" s="50" t="s">
        <v>173</v>
      </c>
      <c r="J10" s="585">
        <f t="shared" si="0"/>
        <v>0</v>
      </c>
      <c r="K10" s="51"/>
    </row>
    <row r="11" spans="1:13">
      <c r="H11"/>
      <c r="I11" s="2" t="s">
        <v>304</v>
      </c>
      <c r="J11" s="2">
        <f>SUM(J4:J9)</f>
        <v>1</v>
      </c>
      <c r="K11" s="51"/>
    </row>
    <row r="12" spans="1:13">
      <c r="H12"/>
      <c r="I12" s="2" t="s">
        <v>310</v>
      </c>
      <c r="J12" s="2">
        <f>COUNTIF(E:E,"v")</f>
        <v>1</v>
      </c>
      <c r="K12" s="51"/>
    </row>
    <row r="13" spans="1:13">
      <c r="H13"/>
      <c r="I13" s="2" t="s">
        <v>343</v>
      </c>
      <c r="J13" s="59">
        <f>SUM(J12/J11)</f>
        <v>1</v>
      </c>
      <c r="K13" s="51"/>
    </row>
    <row r="14" spans="1:13">
      <c r="I14" s="2" t="s">
        <v>313</v>
      </c>
      <c r="J14" s="59" cm="1">
        <f t="array" ref="J14">SUM(J4:J5/J11)</f>
        <v>1</v>
      </c>
      <c r="L14" s="33" t="s">
        <v>348</v>
      </c>
      <c r="M14" s="130">
        <v>45569</v>
      </c>
    </row>
  </sheetData>
  <mergeCells count="1">
    <mergeCell ref="K4:K5"/>
  </mergeCells>
  <phoneticPr fontId="164" type="noConversion"/>
  <conditionalFormatting sqref="A3:G21 A2:D2 F2:G2">
    <cfRule type="duplicateValues" dxfId="132" priority="18"/>
  </conditionalFormatting>
  <conditionalFormatting sqref="A2:G12">
    <cfRule type="expression" dxfId="131" priority="1">
      <formula>($F2)="Approved"</formula>
    </cfRule>
    <cfRule type="expression" dxfId="130" priority="2">
      <formula>($F2)="Approved with comments"</formula>
    </cfRule>
    <cfRule type="expression" dxfId="129" priority="3">
      <formula>($F2)="Pending"</formula>
    </cfRule>
    <cfRule type="expression" dxfId="128" priority="4">
      <formula>$F2="Rejected"</formula>
    </cfRule>
    <cfRule type="expression" dxfId="127" priority="5">
      <formula>$F2="Revise &amp; Resubmit"</formula>
    </cfRule>
    <cfRule type="expression" dxfId="126" priority="6">
      <formula>($F2)="Void"</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0A06B21-B357-497E-9097-25DD830EF403}">
          <x14:formula1>
            <xm:f>Filter!$H$14:$H$20</xm:f>
          </x14:formula1>
          <xm:sqref>F2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AA279-8B84-42ED-B9B0-21DE8BA4F895}">
  <sheetPr codeName="Sheet33">
    <tabColor theme="7" tint="0.59999389629810485"/>
  </sheetPr>
  <dimension ref="A1"/>
  <sheetViews>
    <sheetView view="pageBreakPreview" zoomScale="115" zoomScaleNormal="100" zoomScaleSheetLayoutView="115" workbookViewId="0">
      <selection activeCell="E18" sqref="E17:E18"/>
    </sheetView>
  </sheetViews>
  <sheetFormatPr defaultRowHeight="15.75"/>
  <sheetData/>
  <phoneticPr fontId="164" type="noConversion"/>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33431-4387-49DB-974E-12787F6BC588}">
  <sheetPr codeName="Sheet55">
    <tabColor theme="0" tint="-0.34998626667073579"/>
  </sheetPr>
  <dimension ref="A1:AK7"/>
  <sheetViews>
    <sheetView workbookViewId="0">
      <selection activeCell="AC5" sqref="AC5"/>
    </sheetView>
  </sheetViews>
  <sheetFormatPr defaultRowHeight="15.75"/>
  <cols>
    <col min="1" max="1" width="4.140625" bestFit="1" customWidth="1"/>
    <col min="2" max="2" width="12.42578125" bestFit="1" customWidth="1"/>
    <col min="3" max="3" width="19.28515625" bestFit="1" customWidth="1"/>
    <col min="4" max="4" width="11.85546875" bestFit="1" customWidth="1"/>
    <col min="5" max="5" width="17.140625" bestFit="1" customWidth="1"/>
    <col min="6" max="6" width="15.85546875" bestFit="1" customWidth="1"/>
    <col min="7" max="7" width="11" bestFit="1" customWidth="1"/>
    <col min="8" max="8" width="16.28515625" bestFit="1" customWidth="1"/>
    <col min="9" max="9" width="14.85546875" bestFit="1" customWidth="1"/>
    <col min="10" max="10" width="11.7109375" bestFit="1" customWidth="1"/>
    <col min="11" max="11" width="14.42578125" bestFit="1" customWidth="1"/>
    <col min="12" max="12" width="13" bestFit="1" customWidth="1"/>
    <col min="13" max="13" width="16.5703125" bestFit="1" customWidth="1"/>
    <col min="14" max="14" width="15" bestFit="1" customWidth="1"/>
    <col min="15" max="15" width="11.85546875" bestFit="1" customWidth="1"/>
    <col min="16" max="16" width="14.5703125" bestFit="1" customWidth="1"/>
    <col min="17" max="17" width="13.140625" bestFit="1" customWidth="1"/>
    <col min="18" max="18" width="16.5703125" bestFit="1" customWidth="1"/>
    <col min="19" max="19" width="15.140625" bestFit="1" customWidth="1"/>
    <col min="20" max="20" width="20.85546875" bestFit="1" customWidth="1"/>
    <col min="21" max="21" width="21" bestFit="1" customWidth="1"/>
    <col min="22" max="22" width="22.7109375" bestFit="1" customWidth="1"/>
    <col min="23" max="23" width="22.85546875" bestFit="1" customWidth="1"/>
    <col min="24" max="25" width="17" bestFit="1" customWidth="1"/>
    <col min="26" max="26" width="11.85546875" bestFit="1" customWidth="1"/>
    <col min="27" max="27" width="14.140625" bestFit="1" customWidth="1"/>
    <col min="28" max="35" width="13.85546875" bestFit="1" customWidth="1"/>
    <col min="36" max="37" width="13.85546875" customWidth="1"/>
    <col min="38" max="45" width="14.140625" customWidth="1"/>
    <col min="46" max="46" width="13.85546875" bestFit="1" customWidth="1"/>
    <col min="47" max="47" width="12.42578125" bestFit="1" customWidth="1"/>
    <col min="48" max="48" width="14" bestFit="1" customWidth="1"/>
    <col min="49" max="53" width="13.85546875" bestFit="1" customWidth="1"/>
    <col min="54" max="56" width="13.85546875" customWidth="1"/>
  </cols>
  <sheetData>
    <row r="1" spans="1:37">
      <c r="A1" t="s">
        <v>0</v>
      </c>
      <c r="B1" t="s">
        <v>986</v>
      </c>
      <c r="C1" t="s">
        <v>2437</v>
      </c>
      <c r="D1" t="s">
        <v>4039</v>
      </c>
      <c r="E1" t="s">
        <v>2379</v>
      </c>
      <c r="F1" t="s">
        <v>2380</v>
      </c>
      <c r="G1" t="s">
        <v>4041</v>
      </c>
      <c r="H1" t="s">
        <v>2381</v>
      </c>
      <c r="I1" t="s">
        <v>2382</v>
      </c>
      <c r="J1" t="s">
        <v>4042</v>
      </c>
      <c r="K1" t="s">
        <v>2385</v>
      </c>
      <c r="L1" t="s">
        <v>2386</v>
      </c>
      <c r="M1" t="s">
        <v>4018</v>
      </c>
      <c r="N1" t="s">
        <v>4019</v>
      </c>
      <c r="O1" t="s">
        <v>4038</v>
      </c>
      <c r="P1" t="s">
        <v>2383</v>
      </c>
      <c r="Q1" t="s">
        <v>2384</v>
      </c>
      <c r="R1" t="s">
        <v>4008</v>
      </c>
      <c r="S1" t="s">
        <v>4009</v>
      </c>
      <c r="T1" t="s">
        <v>4074</v>
      </c>
      <c r="U1" t="s">
        <v>4075</v>
      </c>
      <c r="V1" t="s">
        <v>4076</v>
      </c>
      <c r="W1" t="s">
        <v>4077</v>
      </c>
      <c r="X1" t="s">
        <v>4078</v>
      </c>
      <c r="Y1" t="s">
        <v>4079</v>
      </c>
      <c r="Z1" t="s">
        <v>4069</v>
      </c>
      <c r="AA1" t="s">
        <v>4073</v>
      </c>
      <c r="AB1" t="s">
        <v>4051</v>
      </c>
      <c r="AC1" t="s">
        <v>4052</v>
      </c>
      <c r="AD1" t="s">
        <v>4053</v>
      </c>
      <c r="AE1" t="s">
        <v>4054</v>
      </c>
      <c r="AF1" t="s">
        <v>4055</v>
      </c>
      <c r="AG1" t="s">
        <v>4056</v>
      </c>
      <c r="AH1" t="s">
        <v>4057</v>
      </c>
      <c r="AI1" t="s">
        <v>4058</v>
      </c>
      <c r="AJ1" t="s">
        <v>4137</v>
      </c>
      <c r="AK1" t="s">
        <v>4203</v>
      </c>
    </row>
    <row r="2" spans="1:37">
      <c r="A2">
        <v>1</v>
      </c>
      <c r="B2" t="s">
        <v>2435</v>
      </c>
      <c r="C2" t="s">
        <v>2826</v>
      </c>
      <c r="D2">
        <v>1</v>
      </c>
      <c r="E2">
        <v>1</v>
      </c>
      <c r="F2">
        <v>1</v>
      </c>
      <c r="G2">
        <v>10</v>
      </c>
      <c r="H2">
        <v>10</v>
      </c>
      <c r="I2">
        <v>10</v>
      </c>
      <c r="J2" t="s">
        <v>4005</v>
      </c>
      <c r="K2" t="s">
        <v>4005</v>
      </c>
      <c r="L2" t="s">
        <v>4005</v>
      </c>
      <c r="M2" t="s">
        <v>4005</v>
      </c>
      <c r="N2" t="s">
        <v>4005</v>
      </c>
      <c r="O2">
        <v>6</v>
      </c>
      <c r="P2" t="s">
        <v>4005</v>
      </c>
      <c r="Q2">
        <v>6</v>
      </c>
      <c r="R2" t="s">
        <v>4005</v>
      </c>
      <c r="S2" t="s">
        <v>4005</v>
      </c>
      <c r="T2">
        <v>1</v>
      </c>
      <c r="U2">
        <v>1</v>
      </c>
      <c r="V2">
        <v>1</v>
      </c>
      <c r="W2">
        <v>1</v>
      </c>
      <c r="X2">
        <v>1</v>
      </c>
      <c r="Y2">
        <v>1</v>
      </c>
      <c r="Z2">
        <v>0</v>
      </c>
      <c r="AA2">
        <v>0</v>
      </c>
      <c r="AB2">
        <v>1</v>
      </c>
      <c r="AC2">
        <v>1</v>
      </c>
      <c r="AD2">
        <v>1</v>
      </c>
      <c r="AE2">
        <v>1</v>
      </c>
      <c r="AF2">
        <v>1</v>
      </c>
      <c r="AG2">
        <v>1</v>
      </c>
      <c r="AH2">
        <v>1</v>
      </c>
      <c r="AI2">
        <v>1</v>
      </c>
      <c r="AJ2">
        <v>1</v>
      </c>
      <c r="AK2">
        <v>1</v>
      </c>
    </row>
    <row r="3" spans="1:37">
      <c r="A3">
        <v>2</v>
      </c>
      <c r="B3" t="s">
        <v>1161</v>
      </c>
      <c r="C3" t="s">
        <v>2846</v>
      </c>
      <c r="D3">
        <v>1</v>
      </c>
      <c r="E3">
        <v>1</v>
      </c>
      <c r="F3">
        <v>1</v>
      </c>
      <c r="G3">
        <v>10</v>
      </c>
      <c r="H3">
        <v>10</v>
      </c>
      <c r="I3">
        <v>10</v>
      </c>
      <c r="J3">
        <v>1</v>
      </c>
      <c r="K3" t="s">
        <v>4005</v>
      </c>
      <c r="L3">
        <v>1</v>
      </c>
      <c r="M3" t="s">
        <v>4005</v>
      </c>
      <c r="N3" t="s">
        <v>4005</v>
      </c>
      <c r="O3">
        <v>36</v>
      </c>
      <c r="P3" t="s">
        <v>4005</v>
      </c>
      <c r="Q3">
        <v>36</v>
      </c>
      <c r="R3" t="s">
        <v>4005</v>
      </c>
      <c r="S3" t="s">
        <v>4005</v>
      </c>
      <c r="T3">
        <v>1</v>
      </c>
      <c r="U3">
        <v>1</v>
      </c>
      <c r="V3">
        <v>1</v>
      </c>
      <c r="W3">
        <v>1</v>
      </c>
      <c r="X3">
        <v>1</v>
      </c>
      <c r="Y3">
        <v>1</v>
      </c>
      <c r="Z3">
        <v>0</v>
      </c>
      <c r="AA3">
        <v>0</v>
      </c>
      <c r="AB3">
        <v>0.97741935483870968</v>
      </c>
      <c r="AC3">
        <v>0.98906250000000007</v>
      </c>
      <c r="AD3">
        <v>0.97941176470588232</v>
      </c>
      <c r="AE3">
        <v>0.97083333333333333</v>
      </c>
      <c r="AF3">
        <v>0.9902777777777777</v>
      </c>
      <c r="AG3">
        <v>0.9902777777777777</v>
      </c>
      <c r="AH3">
        <v>1</v>
      </c>
      <c r="AI3">
        <v>1</v>
      </c>
      <c r="AJ3">
        <v>1</v>
      </c>
      <c r="AK3">
        <v>1</v>
      </c>
    </row>
    <row r="4" spans="1:37">
      <c r="A4">
        <v>3</v>
      </c>
      <c r="B4" t="s">
        <v>2725</v>
      </c>
      <c r="C4" t="s">
        <v>2825</v>
      </c>
      <c r="D4">
        <v>1</v>
      </c>
      <c r="E4">
        <v>1</v>
      </c>
      <c r="F4">
        <v>1</v>
      </c>
      <c r="G4">
        <v>1</v>
      </c>
      <c r="H4">
        <v>1</v>
      </c>
      <c r="I4">
        <v>1</v>
      </c>
      <c r="J4" t="s">
        <v>4005</v>
      </c>
      <c r="K4" t="s">
        <v>4005</v>
      </c>
      <c r="L4" t="s">
        <v>4005</v>
      </c>
      <c r="M4" t="s">
        <v>4005</v>
      </c>
      <c r="N4" t="s">
        <v>4005</v>
      </c>
      <c r="O4">
        <v>1</v>
      </c>
      <c r="P4" t="s">
        <v>4005</v>
      </c>
      <c r="Q4">
        <v>1</v>
      </c>
      <c r="R4" t="s">
        <v>4005</v>
      </c>
      <c r="S4" t="s">
        <v>4005</v>
      </c>
      <c r="T4">
        <v>1</v>
      </c>
      <c r="U4">
        <v>1</v>
      </c>
      <c r="V4">
        <v>1</v>
      </c>
      <c r="W4">
        <v>1</v>
      </c>
      <c r="X4">
        <v>1</v>
      </c>
      <c r="Y4">
        <v>1</v>
      </c>
      <c r="Z4">
        <v>0</v>
      </c>
      <c r="AA4">
        <v>0</v>
      </c>
      <c r="AB4">
        <v>1</v>
      </c>
      <c r="AC4">
        <v>1</v>
      </c>
      <c r="AD4">
        <v>1</v>
      </c>
      <c r="AE4">
        <v>1</v>
      </c>
      <c r="AF4">
        <v>1</v>
      </c>
      <c r="AG4">
        <v>1</v>
      </c>
      <c r="AH4">
        <v>1</v>
      </c>
      <c r="AI4">
        <v>1</v>
      </c>
      <c r="AJ4">
        <v>1</v>
      </c>
      <c r="AK4">
        <v>1</v>
      </c>
    </row>
    <row r="5" spans="1:37">
      <c r="A5">
        <v>4</v>
      </c>
      <c r="B5" t="s">
        <v>1454</v>
      </c>
      <c r="C5" t="s">
        <v>2847</v>
      </c>
      <c r="D5">
        <v>1</v>
      </c>
      <c r="E5">
        <v>1</v>
      </c>
      <c r="F5">
        <v>1</v>
      </c>
      <c r="G5">
        <v>24</v>
      </c>
      <c r="H5">
        <v>24</v>
      </c>
      <c r="I5">
        <v>24</v>
      </c>
      <c r="J5" t="s">
        <v>4005</v>
      </c>
      <c r="K5" t="s">
        <v>4005</v>
      </c>
      <c r="L5" t="s">
        <v>4005</v>
      </c>
      <c r="M5" t="s">
        <v>4005</v>
      </c>
      <c r="N5" t="s">
        <v>4005</v>
      </c>
      <c r="O5">
        <v>27</v>
      </c>
      <c r="P5">
        <v>4</v>
      </c>
      <c r="Q5">
        <v>14</v>
      </c>
      <c r="R5">
        <v>5</v>
      </c>
      <c r="S5">
        <v>4</v>
      </c>
      <c r="T5">
        <v>1</v>
      </c>
      <c r="U5">
        <v>1</v>
      </c>
      <c r="V5">
        <v>1</v>
      </c>
      <c r="W5">
        <v>0.66666666666666663</v>
      </c>
      <c r="X5">
        <v>0.8653846153846152</v>
      </c>
      <c r="Y5">
        <v>0.88333333333333341</v>
      </c>
      <c r="Z5">
        <v>1.7948717948718218E-2</v>
      </c>
      <c r="AA5">
        <v>1.7948717948718218E-2</v>
      </c>
      <c r="AB5">
        <v>0.83666666666666667</v>
      </c>
      <c r="AC5">
        <v>0.81333333333333335</v>
      </c>
      <c r="AD5">
        <v>0.86</v>
      </c>
      <c r="AE5">
        <v>0.82500000000000007</v>
      </c>
      <c r="AF5">
        <v>0.84444444444444444</v>
      </c>
      <c r="AG5">
        <v>0.85</v>
      </c>
      <c r="AH5">
        <v>0.83</v>
      </c>
      <c r="AI5">
        <v>0.83</v>
      </c>
      <c r="AJ5">
        <v>0.8653846153846152</v>
      </c>
      <c r="AK5">
        <v>0.8653846153846152</v>
      </c>
    </row>
    <row r="6" spans="1:37">
      <c r="A6">
        <v>5</v>
      </c>
      <c r="B6" t="s">
        <v>1045</v>
      </c>
      <c r="C6" t="s">
        <v>2848</v>
      </c>
      <c r="D6">
        <v>1</v>
      </c>
      <c r="E6">
        <v>1</v>
      </c>
      <c r="F6">
        <v>1</v>
      </c>
      <c r="G6">
        <v>25</v>
      </c>
      <c r="H6">
        <v>25</v>
      </c>
      <c r="I6">
        <v>25</v>
      </c>
      <c r="J6" t="s">
        <v>4005</v>
      </c>
      <c r="K6" t="s">
        <v>4005</v>
      </c>
      <c r="L6" t="s">
        <v>4005</v>
      </c>
      <c r="M6" t="s">
        <v>4005</v>
      </c>
      <c r="N6" t="s">
        <v>4005</v>
      </c>
      <c r="O6">
        <v>29</v>
      </c>
      <c r="P6" t="s">
        <v>4005</v>
      </c>
      <c r="Q6">
        <v>28</v>
      </c>
      <c r="R6" t="s">
        <v>4005</v>
      </c>
      <c r="S6">
        <v>1</v>
      </c>
      <c r="T6">
        <v>1</v>
      </c>
      <c r="U6">
        <v>1</v>
      </c>
      <c r="V6">
        <v>1</v>
      </c>
      <c r="W6">
        <v>1</v>
      </c>
      <c r="X6">
        <v>1</v>
      </c>
      <c r="Y6">
        <v>1</v>
      </c>
      <c r="Z6">
        <v>0</v>
      </c>
      <c r="AA6">
        <v>0</v>
      </c>
      <c r="AB6">
        <v>0.8</v>
      </c>
      <c r="AC6">
        <v>0.86521739130434783</v>
      </c>
      <c r="AD6">
        <v>0.86521739130434783</v>
      </c>
      <c r="AE6">
        <v>0.88800000000000001</v>
      </c>
      <c r="AF6">
        <v>0.88800000000000001</v>
      </c>
      <c r="AG6">
        <v>0.9</v>
      </c>
      <c r="AH6">
        <v>0.96</v>
      </c>
      <c r="AI6">
        <v>1</v>
      </c>
      <c r="AJ6">
        <v>1</v>
      </c>
      <c r="AK6">
        <v>1</v>
      </c>
    </row>
    <row r="7" spans="1:37">
      <c r="A7">
        <v>6</v>
      </c>
      <c r="B7" t="s">
        <v>2397</v>
      </c>
      <c r="C7" t="s">
        <v>2849</v>
      </c>
      <c r="D7">
        <v>1</v>
      </c>
      <c r="E7">
        <v>1</v>
      </c>
      <c r="F7">
        <v>1</v>
      </c>
      <c r="G7">
        <v>1</v>
      </c>
      <c r="H7">
        <v>1</v>
      </c>
      <c r="I7">
        <v>1</v>
      </c>
      <c r="J7" t="s">
        <v>4005</v>
      </c>
      <c r="K7" t="s">
        <v>4005</v>
      </c>
      <c r="L7" t="s">
        <v>4005</v>
      </c>
      <c r="M7" t="s">
        <v>4005</v>
      </c>
      <c r="N7" t="s">
        <v>4005</v>
      </c>
      <c r="O7" t="s">
        <v>4005</v>
      </c>
      <c r="P7" t="s">
        <v>4005</v>
      </c>
      <c r="Q7" t="s">
        <v>4005</v>
      </c>
      <c r="R7" t="s">
        <v>4005</v>
      </c>
      <c r="S7" t="s">
        <v>4005</v>
      </c>
      <c r="T7">
        <v>1</v>
      </c>
      <c r="U7">
        <v>1</v>
      </c>
      <c r="V7">
        <v>1</v>
      </c>
      <c r="W7">
        <v>1</v>
      </c>
      <c r="X7">
        <v>1</v>
      </c>
      <c r="Y7">
        <v>1</v>
      </c>
      <c r="Z7">
        <v>0</v>
      </c>
      <c r="AA7">
        <v>0</v>
      </c>
      <c r="AB7">
        <v>1</v>
      </c>
      <c r="AC7">
        <v>1</v>
      </c>
      <c r="AD7">
        <v>1</v>
      </c>
      <c r="AE7">
        <v>1</v>
      </c>
      <c r="AF7">
        <v>1</v>
      </c>
      <c r="AG7">
        <v>1</v>
      </c>
      <c r="AH7">
        <v>1</v>
      </c>
      <c r="AI7">
        <v>1</v>
      </c>
      <c r="AJ7">
        <v>1</v>
      </c>
      <c r="AK7">
        <v>1</v>
      </c>
    </row>
  </sheetData>
  <phoneticPr fontId="43" type="noConversion"/>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524D1-86AE-4EA9-9B3B-14ABB7AD00C3}">
  <sheetPr codeName="Sheet56"/>
  <dimension ref="A1:F7"/>
  <sheetViews>
    <sheetView workbookViewId="0">
      <selection activeCell="D14" sqref="D14"/>
    </sheetView>
  </sheetViews>
  <sheetFormatPr defaultRowHeight="15.75"/>
  <cols>
    <col min="1" max="1" width="4.140625" bestFit="1" customWidth="1"/>
    <col min="2" max="2" width="12.42578125" bestFit="1" customWidth="1"/>
    <col min="3" max="3" width="19.28515625" bestFit="1" customWidth="1"/>
    <col min="4" max="4" width="11.85546875" bestFit="1" customWidth="1"/>
    <col min="5" max="5" width="17.140625" bestFit="1" customWidth="1"/>
    <col min="6" max="6" width="15.85546875" bestFit="1" customWidth="1"/>
  </cols>
  <sheetData>
    <row r="1" spans="1:6">
      <c r="A1" t="s">
        <v>0</v>
      </c>
      <c r="B1" t="s">
        <v>986</v>
      </c>
      <c r="C1" t="s">
        <v>2437</v>
      </c>
      <c r="D1" t="s">
        <v>4039</v>
      </c>
      <c r="E1" t="s">
        <v>2379</v>
      </c>
      <c r="F1" t="s">
        <v>2380</v>
      </c>
    </row>
    <row r="2" spans="1:6">
      <c r="A2">
        <v>1</v>
      </c>
      <c r="B2" t="s">
        <v>2435</v>
      </c>
      <c r="C2" t="s">
        <v>2826</v>
      </c>
      <c r="D2">
        <v>1</v>
      </c>
      <c r="E2">
        <v>1</v>
      </c>
      <c r="F2">
        <v>1</v>
      </c>
    </row>
    <row r="3" spans="1:6">
      <c r="A3">
        <v>2</v>
      </c>
      <c r="B3" t="s">
        <v>1161</v>
      </c>
      <c r="C3" t="s">
        <v>2846</v>
      </c>
      <c r="D3">
        <v>1</v>
      </c>
      <c r="E3">
        <v>1</v>
      </c>
      <c r="F3">
        <v>1</v>
      </c>
    </row>
    <row r="4" spans="1:6">
      <c r="A4">
        <v>3</v>
      </c>
      <c r="B4" t="s">
        <v>2725</v>
      </c>
      <c r="C4" t="s">
        <v>2825</v>
      </c>
      <c r="D4">
        <v>1</v>
      </c>
      <c r="E4">
        <v>1</v>
      </c>
      <c r="F4">
        <v>1</v>
      </c>
    </row>
    <row r="5" spans="1:6">
      <c r="A5">
        <v>4</v>
      </c>
      <c r="B5" t="s">
        <v>1454</v>
      </c>
      <c r="C5" t="s">
        <v>2847</v>
      </c>
      <c r="D5">
        <v>1</v>
      </c>
      <c r="E5">
        <v>1</v>
      </c>
      <c r="F5">
        <v>1</v>
      </c>
    </row>
    <row r="6" spans="1:6">
      <c r="A6">
        <v>5</v>
      </c>
      <c r="B6" t="s">
        <v>1045</v>
      </c>
      <c r="C6" t="s">
        <v>2848</v>
      </c>
      <c r="D6">
        <v>1</v>
      </c>
      <c r="E6">
        <v>1</v>
      </c>
      <c r="F6">
        <v>1</v>
      </c>
    </row>
    <row r="7" spans="1:6">
      <c r="A7">
        <v>6</v>
      </c>
      <c r="B7" t="s">
        <v>2397</v>
      </c>
      <c r="C7" t="s">
        <v>2849</v>
      </c>
      <c r="D7">
        <v>1</v>
      </c>
      <c r="E7">
        <v>1</v>
      </c>
      <c r="F7">
        <v>1</v>
      </c>
    </row>
  </sheetData>
  <phoneticPr fontId="164" type="noConversion"/>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33329-D239-466C-99C5-9706CB111403}">
  <sheetPr codeName="Sheet57">
    <tabColor theme="0" tint="-0.34998626667073579"/>
  </sheetPr>
  <dimension ref="A1:G7"/>
  <sheetViews>
    <sheetView workbookViewId="0">
      <selection activeCell="G27" sqref="G27"/>
    </sheetView>
  </sheetViews>
  <sheetFormatPr defaultRowHeight="15.75"/>
  <cols>
    <col min="1" max="1" width="4.140625" bestFit="1" customWidth="1"/>
    <col min="2" max="2" width="12.42578125" bestFit="1" customWidth="1"/>
    <col min="3" max="3" width="19.28515625" bestFit="1" customWidth="1"/>
    <col min="4" max="4" width="16.140625" bestFit="1" customWidth="1"/>
    <col min="5" max="5" width="11" bestFit="1" customWidth="1"/>
    <col min="6" max="6" width="16.28515625" bestFit="1" customWidth="1"/>
    <col min="7" max="7" width="14.85546875" bestFit="1" customWidth="1"/>
    <col min="8" max="8" width="15.28515625" bestFit="1" customWidth="1"/>
    <col min="9" max="9" width="14.42578125" bestFit="1" customWidth="1"/>
  </cols>
  <sheetData>
    <row r="1" spans="1:7">
      <c r="A1" t="s">
        <v>0</v>
      </c>
      <c r="B1" t="s">
        <v>986</v>
      </c>
      <c r="C1" t="s">
        <v>2437</v>
      </c>
      <c r="D1" t="s">
        <v>308</v>
      </c>
      <c r="E1" t="s">
        <v>4041</v>
      </c>
      <c r="F1" t="s">
        <v>2381</v>
      </c>
      <c r="G1" t="s">
        <v>2382</v>
      </c>
    </row>
    <row r="2" spans="1:7">
      <c r="A2">
        <v>1</v>
      </c>
      <c r="B2" t="s">
        <v>2435</v>
      </c>
      <c r="C2" t="s">
        <v>2826</v>
      </c>
      <c r="D2" t="s">
        <v>4010</v>
      </c>
      <c r="E2">
        <v>10</v>
      </c>
      <c r="F2">
        <v>10</v>
      </c>
      <c r="G2">
        <v>10</v>
      </c>
    </row>
    <row r="3" spans="1:7">
      <c r="A3">
        <v>2</v>
      </c>
      <c r="B3" t="s">
        <v>1161</v>
      </c>
      <c r="C3" t="s">
        <v>2846</v>
      </c>
      <c r="D3" t="s">
        <v>4011</v>
      </c>
      <c r="E3">
        <v>10</v>
      </c>
      <c r="F3">
        <v>10</v>
      </c>
      <c r="G3">
        <v>10</v>
      </c>
    </row>
    <row r="4" spans="1:7">
      <c r="A4">
        <v>3</v>
      </c>
      <c r="B4" t="s">
        <v>2725</v>
      </c>
      <c r="C4" t="s">
        <v>2825</v>
      </c>
      <c r="D4" t="s">
        <v>4012</v>
      </c>
      <c r="E4">
        <v>1</v>
      </c>
      <c r="F4">
        <v>1</v>
      </c>
      <c r="G4">
        <v>1</v>
      </c>
    </row>
    <row r="5" spans="1:7">
      <c r="A5">
        <v>4</v>
      </c>
      <c r="B5" t="s">
        <v>1454</v>
      </c>
      <c r="C5" t="s">
        <v>2847</v>
      </c>
      <c r="D5" t="s">
        <v>4013</v>
      </c>
      <c r="E5">
        <v>24</v>
      </c>
      <c r="F5">
        <v>24</v>
      </c>
      <c r="G5">
        <v>24</v>
      </c>
    </row>
    <row r="6" spans="1:7">
      <c r="A6">
        <v>5</v>
      </c>
      <c r="B6" t="s">
        <v>1045</v>
      </c>
      <c r="C6" t="s">
        <v>2848</v>
      </c>
      <c r="D6" t="s">
        <v>4014</v>
      </c>
      <c r="E6">
        <v>25</v>
      </c>
      <c r="F6">
        <v>25</v>
      </c>
      <c r="G6">
        <v>25</v>
      </c>
    </row>
    <row r="7" spans="1:7">
      <c r="A7">
        <v>6</v>
      </c>
      <c r="B7" t="s">
        <v>2397</v>
      </c>
      <c r="C7" t="s">
        <v>2849</v>
      </c>
      <c r="D7" t="s">
        <v>4015</v>
      </c>
      <c r="E7">
        <v>1</v>
      </c>
      <c r="F7">
        <v>1</v>
      </c>
      <c r="G7">
        <v>1</v>
      </c>
    </row>
  </sheetData>
  <phoneticPr fontId="164" type="noConversion"/>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C892A-24B8-45E2-A177-F3F460F0CF76}">
  <sheetPr codeName="Sheet59">
    <tabColor theme="0" tint="-0.34998626667073579"/>
  </sheetPr>
  <dimension ref="A1:H7"/>
  <sheetViews>
    <sheetView workbookViewId="0">
      <selection activeCell="I31" sqref="I31"/>
    </sheetView>
  </sheetViews>
  <sheetFormatPr defaultRowHeight="15.75"/>
  <cols>
    <col min="1" max="1" width="4.140625" bestFit="1" customWidth="1"/>
    <col min="2" max="2" width="12.42578125" bestFit="1" customWidth="1"/>
    <col min="3" max="3" width="19.28515625" bestFit="1" customWidth="1"/>
    <col min="4" max="4" width="11.5703125" bestFit="1" customWidth="1"/>
    <col min="5" max="5" width="14.42578125" bestFit="1" customWidth="1"/>
    <col min="6" max="6" width="12.85546875" bestFit="1" customWidth="1"/>
    <col min="7" max="7" width="16.5703125" bestFit="1" customWidth="1"/>
    <col min="8" max="8" width="15" bestFit="1" customWidth="1"/>
    <col min="9" max="9" width="16.140625" bestFit="1" customWidth="1"/>
  </cols>
  <sheetData>
    <row r="1" spans="1:8">
      <c r="A1" t="s">
        <v>0</v>
      </c>
      <c r="B1" t="s">
        <v>986</v>
      </c>
      <c r="C1" t="s">
        <v>2437</v>
      </c>
      <c r="D1" t="s">
        <v>4040</v>
      </c>
      <c r="E1" t="s">
        <v>4016</v>
      </c>
      <c r="F1" t="s">
        <v>4017</v>
      </c>
      <c r="G1" t="s">
        <v>4018</v>
      </c>
      <c r="H1" t="s">
        <v>4019</v>
      </c>
    </row>
    <row r="2" spans="1:8">
      <c r="A2">
        <v>1</v>
      </c>
      <c r="B2" t="s">
        <v>2435</v>
      </c>
      <c r="C2" t="s">
        <v>2826</v>
      </c>
      <c r="D2" t="s">
        <v>4005</v>
      </c>
      <c r="E2" t="s">
        <v>4005</v>
      </c>
      <c r="F2" t="s">
        <v>4005</v>
      </c>
      <c r="G2" t="s">
        <v>4005</v>
      </c>
      <c r="H2" t="s">
        <v>4005</v>
      </c>
    </row>
    <row r="3" spans="1:8">
      <c r="A3">
        <v>2</v>
      </c>
      <c r="B3" t="s">
        <v>1161</v>
      </c>
      <c r="C3" t="s">
        <v>2846</v>
      </c>
      <c r="D3">
        <v>1</v>
      </c>
      <c r="E3" t="s">
        <v>4005</v>
      </c>
      <c r="F3">
        <v>1</v>
      </c>
      <c r="G3" t="s">
        <v>4005</v>
      </c>
      <c r="H3" t="s">
        <v>4005</v>
      </c>
    </row>
    <row r="4" spans="1:8">
      <c r="A4">
        <v>3</v>
      </c>
      <c r="B4" t="s">
        <v>2725</v>
      </c>
      <c r="C4" t="s">
        <v>2825</v>
      </c>
      <c r="D4" t="s">
        <v>4005</v>
      </c>
      <c r="E4" t="s">
        <v>4005</v>
      </c>
      <c r="F4" t="s">
        <v>4005</v>
      </c>
      <c r="G4" t="s">
        <v>4005</v>
      </c>
      <c r="H4" t="s">
        <v>4005</v>
      </c>
    </row>
    <row r="5" spans="1:8">
      <c r="A5">
        <v>4</v>
      </c>
      <c r="B5" t="s">
        <v>1454</v>
      </c>
      <c r="C5" t="s">
        <v>2847</v>
      </c>
      <c r="D5" t="s">
        <v>4005</v>
      </c>
      <c r="E5" t="s">
        <v>4005</v>
      </c>
      <c r="F5" t="s">
        <v>4005</v>
      </c>
      <c r="G5" t="s">
        <v>4005</v>
      </c>
      <c r="H5" t="s">
        <v>4005</v>
      </c>
    </row>
    <row r="6" spans="1:8">
      <c r="A6">
        <v>5</v>
      </c>
      <c r="B6" t="s">
        <v>1045</v>
      </c>
      <c r="C6" t="s">
        <v>2848</v>
      </c>
      <c r="D6" t="s">
        <v>4005</v>
      </c>
      <c r="E6" t="s">
        <v>4005</v>
      </c>
      <c r="F6" t="s">
        <v>4005</v>
      </c>
      <c r="G6" t="s">
        <v>4005</v>
      </c>
      <c r="H6" t="s">
        <v>4005</v>
      </c>
    </row>
    <row r="7" spans="1:8">
      <c r="A7">
        <v>6</v>
      </c>
      <c r="B7" t="s">
        <v>2397</v>
      </c>
      <c r="C7" t="s">
        <v>2849</v>
      </c>
      <c r="D7" t="s">
        <v>4005</v>
      </c>
      <c r="E7" t="s">
        <v>4005</v>
      </c>
      <c r="F7" t="s">
        <v>4005</v>
      </c>
      <c r="G7" t="s">
        <v>4005</v>
      </c>
      <c r="H7" t="s">
        <v>4005</v>
      </c>
    </row>
  </sheetData>
  <phoneticPr fontId="164" type="noConversion"/>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D7F90-AF7B-47BF-8A7F-B5C58D0781CA}">
  <sheetPr codeName="Sheet60">
    <tabColor theme="0" tint="-0.34998626667073579"/>
  </sheetPr>
  <dimension ref="A1:H7"/>
  <sheetViews>
    <sheetView workbookViewId="0">
      <selection activeCell="C2" sqref="C2"/>
    </sheetView>
  </sheetViews>
  <sheetFormatPr defaultRowHeight="15.75"/>
  <cols>
    <col min="1" max="1" width="4.140625" bestFit="1" customWidth="1"/>
    <col min="2" max="2" width="12.42578125" bestFit="1" customWidth="1"/>
    <col min="3" max="3" width="19.28515625" bestFit="1" customWidth="1"/>
    <col min="4" max="4" width="11.85546875" bestFit="1" customWidth="1"/>
    <col min="5" max="5" width="14.5703125" bestFit="1" customWidth="1"/>
    <col min="6" max="6" width="13.140625" bestFit="1" customWidth="1"/>
    <col min="7" max="7" width="16.5703125" bestFit="1" customWidth="1"/>
    <col min="8" max="8" width="15.140625" bestFit="1" customWidth="1"/>
    <col min="9" max="9" width="15.5703125" bestFit="1" customWidth="1"/>
    <col min="10" max="10" width="15.140625" bestFit="1" customWidth="1"/>
    <col min="11" max="11" width="7.85546875" bestFit="1" customWidth="1"/>
    <col min="12" max="12" width="10.5703125" bestFit="1" customWidth="1"/>
    <col min="13" max="13" width="16.85546875" bestFit="1" customWidth="1"/>
    <col min="14" max="14" width="10.5703125" bestFit="1" customWidth="1"/>
  </cols>
  <sheetData>
    <row r="1" spans="1:8">
      <c r="A1" t="s">
        <v>0</v>
      </c>
      <c r="B1" t="s">
        <v>986</v>
      </c>
      <c r="C1" t="s">
        <v>2437</v>
      </c>
      <c r="D1" t="s">
        <v>4038</v>
      </c>
      <c r="E1" t="s">
        <v>2383</v>
      </c>
      <c r="F1" t="s">
        <v>2384</v>
      </c>
      <c r="G1" t="s">
        <v>4008</v>
      </c>
      <c r="H1" t="s">
        <v>4009</v>
      </c>
    </row>
    <row r="2" spans="1:8">
      <c r="A2">
        <v>1</v>
      </c>
      <c r="B2" t="s">
        <v>2435</v>
      </c>
      <c r="C2" t="s">
        <v>2826</v>
      </c>
      <c r="D2">
        <v>6</v>
      </c>
      <c r="E2" t="s">
        <v>4005</v>
      </c>
      <c r="F2">
        <v>6</v>
      </c>
      <c r="G2" t="s">
        <v>4005</v>
      </c>
      <c r="H2" t="s">
        <v>4005</v>
      </c>
    </row>
    <row r="3" spans="1:8">
      <c r="A3">
        <v>2</v>
      </c>
      <c r="B3" t="s">
        <v>1161</v>
      </c>
      <c r="C3" t="s">
        <v>2846</v>
      </c>
      <c r="D3">
        <v>36</v>
      </c>
      <c r="E3" t="s">
        <v>4005</v>
      </c>
      <c r="F3">
        <v>36</v>
      </c>
      <c r="G3" t="s">
        <v>4005</v>
      </c>
      <c r="H3" t="s">
        <v>4005</v>
      </c>
    </row>
    <row r="4" spans="1:8">
      <c r="A4">
        <v>3</v>
      </c>
      <c r="B4" t="s">
        <v>2725</v>
      </c>
      <c r="C4" t="s">
        <v>2825</v>
      </c>
      <c r="D4">
        <v>1</v>
      </c>
      <c r="E4" t="s">
        <v>4005</v>
      </c>
      <c r="F4">
        <v>1</v>
      </c>
      <c r="G4" t="s">
        <v>4005</v>
      </c>
      <c r="H4" t="s">
        <v>4005</v>
      </c>
    </row>
    <row r="5" spans="1:8">
      <c r="A5">
        <v>4</v>
      </c>
      <c r="B5" t="s">
        <v>1454</v>
      </c>
      <c r="C5" t="s">
        <v>2847</v>
      </c>
      <c r="D5">
        <v>27</v>
      </c>
      <c r="E5">
        <v>4</v>
      </c>
      <c r="F5">
        <v>14</v>
      </c>
      <c r="G5">
        <v>5</v>
      </c>
      <c r="H5">
        <v>4</v>
      </c>
    </row>
    <row r="6" spans="1:8">
      <c r="A6">
        <v>5</v>
      </c>
      <c r="B6" t="s">
        <v>1045</v>
      </c>
      <c r="C6" t="s">
        <v>2848</v>
      </c>
      <c r="D6">
        <v>29</v>
      </c>
      <c r="E6" t="s">
        <v>4005</v>
      </c>
      <c r="F6">
        <v>28</v>
      </c>
      <c r="G6" t="s">
        <v>4005</v>
      </c>
      <c r="H6">
        <v>1</v>
      </c>
    </row>
    <row r="7" spans="1:8">
      <c r="A7">
        <v>6</v>
      </c>
      <c r="B7" t="s">
        <v>2397</v>
      </c>
      <c r="C7" t="s">
        <v>2849</v>
      </c>
      <c r="D7" t="s">
        <v>4005</v>
      </c>
      <c r="E7" t="s">
        <v>4005</v>
      </c>
      <c r="F7" t="s">
        <v>4005</v>
      </c>
      <c r="G7" t="s">
        <v>4005</v>
      </c>
      <c r="H7" t="s">
        <v>4005</v>
      </c>
    </row>
  </sheetData>
  <phoneticPr fontId="43" type="noConversion"/>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A475D-9D2E-48D5-8C83-9A5074ABC081}">
  <sheetPr codeName="Sheet61">
    <tabColor theme="0" tint="-0.34998626667073579"/>
  </sheetPr>
  <dimension ref="A1:U7"/>
  <sheetViews>
    <sheetView topLeftCell="C1" workbookViewId="0">
      <selection activeCell="Q15" sqref="Q15"/>
    </sheetView>
  </sheetViews>
  <sheetFormatPr defaultRowHeight="15.75"/>
  <cols>
    <col min="1" max="1" width="4.140625" bestFit="1" customWidth="1"/>
    <col min="2" max="2" width="12.42578125" bestFit="1" customWidth="1"/>
    <col min="3" max="3" width="19.28515625" bestFit="1" customWidth="1"/>
    <col min="4" max="4" width="20.28515625" bestFit="1" customWidth="1"/>
    <col min="5" max="5" width="19.85546875" bestFit="1" customWidth="1"/>
    <col min="6" max="6" width="21" bestFit="1" customWidth="1"/>
    <col min="7" max="7" width="21.140625" bestFit="1" customWidth="1"/>
    <col min="8" max="9" width="12.5703125" bestFit="1" customWidth="1"/>
    <col min="10" max="17" width="11.85546875" bestFit="1" customWidth="1"/>
    <col min="18" max="19" width="9.7109375" bestFit="1" customWidth="1"/>
    <col min="20" max="20" width="11.85546875" bestFit="1" customWidth="1"/>
    <col min="21" max="21" width="11.85546875" customWidth="1"/>
  </cols>
  <sheetData>
    <row r="1" spans="1:21">
      <c r="A1" t="s">
        <v>0</v>
      </c>
      <c r="B1" t="s">
        <v>986</v>
      </c>
      <c r="C1" t="s">
        <v>2437</v>
      </c>
      <c r="D1" t="s">
        <v>4025</v>
      </c>
      <c r="E1" t="s">
        <v>4026</v>
      </c>
      <c r="F1" t="s">
        <v>4028</v>
      </c>
      <c r="G1" t="s">
        <v>4027</v>
      </c>
      <c r="H1" t="s">
        <v>3999</v>
      </c>
      <c r="I1" t="s">
        <v>985</v>
      </c>
      <c r="J1" t="s">
        <v>28</v>
      </c>
      <c r="K1" t="s">
        <v>4029</v>
      </c>
      <c r="L1" t="s">
        <v>4030</v>
      </c>
      <c r="M1" t="s">
        <v>4031</v>
      </c>
      <c r="N1" t="s">
        <v>4032</v>
      </c>
      <c r="O1" t="s">
        <v>4033</v>
      </c>
      <c r="P1" t="s">
        <v>4034</v>
      </c>
      <c r="Q1" t="s">
        <v>4035</v>
      </c>
      <c r="R1" t="s">
        <v>4036</v>
      </c>
      <c r="S1" t="s">
        <v>4037</v>
      </c>
      <c r="T1" t="s">
        <v>4136</v>
      </c>
      <c r="U1" t="s">
        <v>4202</v>
      </c>
    </row>
    <row r="2" spans="1:21">
      <c r="A2">
        <v>1</v>
      </c>
      <c r="B2" t="s">
        <v>2435</v>
      </c>
      <c r="C2" t="s">
        <v>2826</v>
      </c>
      <c r="D2">
        <v>1</v>
      </c>
      <c r="E2">
        <v>1</v>
      </c>
      <c r="F2">
        <v>1</v>
      </c>
      <c r="G2">
        <v>1</v>
      </c>
      <c r="H2">
        <v>1</v>
      </c>
      <c r="I2">
        <v>1</v>
      </c>
      <c r="J2">
        <v>0</v>
      </c>
      <c r="K2">
        <v>0</v>
      </c>
      <c r="L2">
        <v>1</v>
      </c>
      <c r="M2">
        <v>1</v>
      </c>
      <c r="N2">
        <v>1</v>
      </c>
      <c r="O2">
        <v>1</v>
      </c>
      <c r="P2">
        <v>1</v>
      </c>
      <c r="Q2">
        <v>1</v>
      </c>
      <c r="R2">
        <v>1</v>
      </c>
      <c r="S2">
        <v>1</v>
      </c>
      <c r="T2">
        <v>1</v>
      </c>
      <c r="U2">
        <v>1</v>
      </c>
    </row>
    <row r="3" spans="1:21">
      <c r="A3">
        <v>2</v>
      </c>
      <c r="B3" t="s">
        <v>1161</v>
      </c>
      <c r="C3" t="s">
        <v>2846</v>
      </c>
      <c r="D3">
        <v>1</v>
      </c>
      <c r="E3">
        <v>1</v>
      </c>
      <c r="F3">
        <v>1</v>
      </c>
      <c r="G3">
        <v>1</v>
      </c>
      <c r="H3">
        <v>1</v>
      </c>
      <c r="I3">
        <v>1</v>
      </c>
      <c r="J3">
        <v>0</v>
      </c>
      <c r="K3">
        <v>0</v>
      </c>
      <c r="L3">
        <v>0.97741935483870968</v>
      </c>
      <c r="M3">
        <v>0.98906250000000007</v>
      </c>
      <c r="N3">
        <v>0.97941176470588232</v>
      </c>
      <c r="O3">
        <v>0.97083333333333333</v>
      </c>
      <c r="P3">
        <v>0.9902777777777777</v>
      </c>
      <c r="Q3">
        <v>0.9902777777777777</v>
      </c>
      <c r="R3">
        <v>1</v>
      </c>
      <c r="S3">
        <v>1</v>
      </c>
      <c r="T3">
        <v>1</v>
      </c>
      <c r="U3">
        <v>1</v>
      </c>
    </row>
    <row r="4" spans="1:21">
      <c r="A4">
        <v>3</v>
      </c>
      <c r="B4" t="s">
        <v>2725</v>
      </c>
      <c r="C4" t="s">
        <v>2825</v>
      </c>
      <c r="D4">
        <v>1</v>
      </c>
      <c r="E4">
        <v>1</v>
      </c>
      <c r="F4">
        <v>1</v>
      </c>
      <c r="G4">
        <v>1</v>
      </c>
      <c r="H4">
        <v>1</v>
      </c>
      <c r="I4">
        <v>1</v>
      </c>
      <c r="J4">
        <v>0</v>
      </c>
      <c r="K4">
        <v>0</v>
      </c>
      <c r="L4">
        <v>1</v>
      </c>
      <c r="M4">
        <v>1</v>
      </c>
      <c r="N4">
        <v>1</v>
      </c>
      <c r="O4">
        <v>1</v>
      </c>
      <c r="P4">
        <v>1</v>
      </c>
      <c r="Q4">
        <v>1</v>
      </c>
      <c r="R4">
        <v>1</v>
      </c>
      <c r="S4">
        <v>1</v>
      </c>
      <c r="T4">
        <v>1</v>
      </c>
      <c r="U4">
        <v>1</v>
      </c>
    </row>
    <row r="5" spans="1:21">
      <c r="A5">
        <v>4</v>
      </c>
      <c r="B5" t="s">
        <v>1454</v>
      </c>
      <c r="C5" t="s">
        <v>2847</v>
      </c>
      <c r="D5">
        <v>1</v>
      </c>
      <c r="E5">
        <v>1</v>
      </c>
      <c r="F5">
        <v>1</v>
      </c>
      <c r="G5">
        <v>0.66666666666666663</v>
      </c>
      <c r="H5">
        <v>0.8653846153846152</v>
      </c>
      <c r="I5">
        <v>0.88333333333333341</v>
      </c>
      <c r="J5">
        <v>1.7948717948718218E-2</v>
      </c>
      <c r="K5">
        <v>1.7948717948718218E-2</v>
      </c>
      <c r="L5">
        <v>0.83666666666666667</v>
      </c>
      <c r="M5">
        <v>0.81333333333333335</v>
      </c>
      <c r="N5">
        <v>0.86</v>
      </c>
      <c r="O5">
        <v>0.82500000000000007</v>
      </c>
      <c r="P5">
        <v>0.84444444444444444</v>
      </c>
      <c r="Q5">
        <v>0.85</v>
      </c>
      <c r="R5">
        <v>0.83</v>
      </c>
      <c r="S5">
        <v>0.83</v>
      </c>
      <c r="T5">
        <v>0.8653846153846152</v>
      </c>
      <c r="U5">
        <v>0.8653846153846152</v>
      </c>
    </row>
    <row r="6" spans="1:21">
      <c r="A6">
        <v>5</v>
      </c>
      <c r="B6" t="s">
        <v>1045</v>
      </c>
      <c r="C6" t="s">
        <v>2848</v>
      </c>
      <c r="D6">
        <v>1</v>
      </c>
      <c r="E6">
        <v>1</v>
      </c>
      <c r="F6">
        <v>1</v>
      </c>
      <c r="G6">
        <v>1</v>
      </c>
      <c r="H6">
        <v>1</v>
      </c>
      <c r="I6">
        <v>1</v>
      </c>
      <c r="J6">
        <v>0</v>
      </c>
      <c r="K6">
        <v>0</v>
      </c>
      <c r="L6">
        <v>0.8</v>
      </c>
      <c r="M6">
        <v>0.86521739130434783</v>
      </c>
      <c r="N6">
        <v>0.86521739130434783</v>
      </c>
      <c r="O6">
        <v>0.88800000000000001</v>
      </c>
      <c r="P6">
        <v>0.88800000000000001</v>
      </c>
      <c r="Q6">
        <v>0.9</v>
      </c>
      <c r="R6">
        <v>0.96</v>
      </c>
      <c r="S6">
        <v>1</v>
      </c>
      <c r="T6">
        <v>1</v>
      </c>
      <c r="U6">
        <v>1</v>
      </c>
    </row>
    <row r="7" spans="1:21">
      <c r="A7">
        <v>6</v>
      </c>
      <c r="B7" t="s">
        <v>2397</v>
      </c>
      <c r="C7" t="s">
        <v>2849</v>
      </c>
      <c r="D7">
        <v>1</v>
      </c>
      <c r="E7">
        <v>1</v>
      </c>
      <c r="F7">
        <v>1</v>
      </c>
      <c r="G7">
        <v>1</v>
      </c>
      <c r="H7">
        <v>1</v>
      </c>
      <c r="I7">
        <v>1</v>
      </c>
      <c r="J7">
        <v>0</v>
      </c>
      <c r="K7">
        <v>0</v>
      </c>
      <c r="L7">
        <v>1</v>
      </c>
      <c r="M7">
        <v>1</v>
      </c>
      <c r="N7">
        <v>1</v>
      </c>
      <c r="O7">
        <v>1</v>
      </c>
      <c r="P7">
        <v>1</v>
      </c>
      <c r="Q7">
        <v>1</v>
      </c>
      <c r="R7">
        <v>1</v>
      </c>
      <c r="S7">
        <v>1</v>
      </c>
      <c r="T7">
        <v>1</v>
      </c>
      <c r="U7">
        <v>1</v>
      </c>
    </row>
  </sheetData>
  <phoneticPr fontId="43" type="noConversion"/>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80E6F-F6FB-4818-B20C-48F080BA6E83}">
  <sheetPr codeName="Sheet46">
    <tabColor theme="7" tint="0.59999389629810485"/>
  </sheetPr>
  <dimension ref="A1"/>
  <sheetViews>
    <sheetView view="pageBreakPreview" zoomScaleNormal="100" zoomScaleSheetLayoutView="100" workbookViewId="0">
      <selection activeCell="C15" sqref="C15"/>
    </sheetView>
  </sheetViews>
  <sheetFormatPr defaultRowHeight="15.75"/>
  <cols>
    <col min="2" max="2" width="8.5703125" customWidth="1"/>
  </cols>
  <sheetData/>
  <phoneticPr fontId="164" type="noConversion"/>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D8B4B-F7F1-43C8-83A4-8D0BDB780759}">
  <sheetPr codeName="Sheet50">
    <tabColor theme="0" tint="-0.34998626667073579"/>
    <pageSetUpPr fitToPage="1"/>
  </sheetPr>
  <dimension ref="A1:BZ34"/>
  <sheetViews>
    <sheetView zoomScale="85" zoomScaleNormal="85" zoomScaleSheetLayoutView="100" workbookViewId="0">
      <pane xSplit="5" ySplit="2" topLeftCell="F10" activePane="bottomRight" state="frozen"/>
      <selection activeCell="E8" sqref="E8"/>
      <selection pane="topRight" activeCell="E8" sqref="E8"/>
      <selection pane="bottomLeft" activeCell="E8" sqref="E8"/>
      <selection pane="bottomRight" activeCell="C46" sqref="C46"/>
    </sheetView>
  </sheetViews>
  <sheetFormatPr defaultColWidth="8.7109375" defaultRowHeight="15" customHeight="1"/>
  <cols>
    <col min="1" max="1" width="16" style="40" customWidth="1"/>
    <col min="2" max="2" width="58.140625" style="103" customWidth="1"/>
    <col min="3" max="3" width="17.140625" style="40" customWidth="1"/>
    <col min="4" max="4" width="20" style="40" customWidth="1"/>
    <col min="5" max="5" width="36.85546875" style="40" customWidth="1"/>
    <col min="6" max="6" width="8.140625" style="40" customWidth="1"/>
    <col min="7" max="13" width="7.85546875" style="40" customWidth="1"/>
    <col min="14" max="78" width="8.140625" style="40" customWidth="1"/>
    <col min="79" max="16384" width="8.7109375" style="40"/>
  </cols>
  <sheetData>
    <row r="1" spans="1:78" ht="32.1" customHeight="1">
      <c r="A1" s="1139" t="s">
        <v>3961</v>
      </c>
      <c r="B1" s="1139"/>
      <c r="C1" s="1139"/>
      <c r="D1" s="1139"/>
      <c r="E1" s="1139"/>
      <c r="F1" s="100"/>
      <c r="G1" s="1165">
        <v>2021</v>
      </c>
      <c r="H1" s="1165"/>
      <c r="I1" s="1165"/>
      <c r="J1" s="1165"/>
      <c r="K1" s="1165"/>
      <c r="L1" s="1165"/>
      <c r="M1" s="1165"/>
      <c r="N1" s="1165"/>
      <c r="O1" s="1165"/>
      <c r="P1" s="1165"/>
      <c r="Q1" s="1165"/>
      <c r="R1" s="1165">
        <v>2022</v>
      </c>
      <c r="S1" s="1165"/>
      <c r="T1" s="1165"/>
      <c r="U1" s="1165"/>
      <c r="V1" s="1165"/>
      <c r="W1" s="1165"/>
      <c r="X1" s="1165"/>
      <c r="Y1" s="1165"/>
      <c r="Z1" s="1165"/>
      <c r="AA1" s="1165"/>
      <c r="AB1" s="1165"/>
      <c r="AC1" s="1165"/>
      <c r="AD1" s="1165">
        <v>2023</v>
      </c>
      <c r="AE1" s="1165"/>
      <c r="AF1" s="1165"/>
      <c r="AG1" s="1165"/>
      <c r="AH1" s="1165"/>
      <c r="AI1" s="1165"/>
      <c r="AJ1" s="1165"/>
      <c r="AK1" s="1165"/>
      <c r="AL1" s="1165"/>
      <c r="AM1" s="1165"/>
      <c r="AN1" s="1165"/>
      <c r="AO1" s="1165"/>
      <c r="AP1" s="1165">
        <v>2024</v>
      </c>
      <c r="AQ1" s="1165"/>
      <c r="AR1" s="1165"/>
      <c r="AS1" s="1165"/>
      <c r="AT1" s="1165"/>
      <c r="AU1" s="1165"/>
      <c r="AV1" s="1165"/>
      <c r="AW1" s="1165"/>
      <c r="AX1" s="1165"/>
      <c r="AY1" s="1165"/>
      <c r="AZ1" s="1165"/>
      <c r="BA1" s="1165"/>
      <c r="BB1" s="1165">
        <v>2025</v>
      </c>
      <c r="BC1" s="1165"/>
      <c r="BD1" s="1165"/>
      <c r="BE1" s="1165"/>
      <c r="BF1" s="1165"/>
      <c r="BG1" s="1165"/>
      <c r="BH1" s="1165"/>
      <c r="BI1" s="1165"/>
      <c r="BJ1" s="1165"/>
      <c r="BK1" s="1165"/>
      <c r="BL1" s="1165"/>
      <c r="BM1" s="1165"/>
      <c r="BN1" s="1165">
        <v>2026</v>
      </c>
      <c r="BO1" s="1165"/>
      <c r="BP1" s="1165"/>
      <c r="BQ1" s="1165"/>
      <c r="BR1" s="1165"/>
      <c r="BS1" s="1165"/>
      <c r="BT1" s="1165"/>
      <c r="BU1" s="1165"/>
      <c r="BV1" s="1165"/>
      <c r="BW1" s="1165"/>
      <c r="BX1" s="1165"/>
      <c r="BY1" s="1165"/>
    </row>
    <row r="2" spans="1:78" ht="63">
      <c r="A2" s="764" t="s">
        <v>3960</v>
      </c>
      <c r="B2" s="765" t="s">
        <v>2437</v>
      </c>
      <c r="C2" s="765" t="s">
        <v>27</v>
      </c>
      <c r="D2" s="765" t="s">
        <v>3581</v>
      </c>
      <c r="E2" s="765" t="s">
        <v>307</v>
      </c>
      <c r="F2" s="765" t="s">
        <v>3592</v>
      </c>
      <c r="G2" s="765" t="s">
        <v>3582</v>
      </c>
      <c r="H2" s="765" t="s">
        <v>3583</v>
      </c>
      <c r="I2" s="765" t="s">
        <v>3584</v>
      </c>
      <c r="J2" s="765" t="s">
        <v>2652</v>
      </c>
      <c r="K2" s="765" t="s">
        <v>3585</v>
      </c>
      <c r="L2" s="765" t="s">
        <v>3586</v>
      </c>
      <c r="M2" s="765" t="s">
        <v>3587</v>
      </c>
      <c r="N2" s="765" t="s">
        <v>3588</v>
      </c>
      <c r="O2" s="765" t="s">
        <v>3589</v>
      </c>
      <c r="P2" s="765" t="s">
        <v>3590</v>
      </c>
      <c r="Q2" s="765" t="s">
        <v>3591</v>
      </c>
      <c r="R2" s="765" t="s">
        <v>3592</v>
      </c>
      <c r="S2" s="765" t="s">
        <v>3593</v>
      </c>
      <c r="T2" s="765" t="s">
        <v>3594</v>
      </c>
      <c r="U2" s="765" t="s">
        <v>3595</v>
      </c>
      <c r="V2" s="765" t="s">
        <v>3596</v>
      </c>
      <c r="W2" s="765" t="s">
        <v>3597</v>
      </c>
      <c r="X2" s="765" t="s">
        <v>3586</v>
      </c>
      <c r="Y2" s="765" t="s">
        <v>3587</v>
      </c>
      <c r="Z2" s="765" t="s">
        <v>3588</v>
      </c>
      <c r="AA2" s="765" t="s">
        <v>3589</v>
      </c>
      <c r="AB2" s="765" t="s">
        <v>3590</v>
      </c>
      <c r="AC2" s="765" t="s">
        <v>3591</v>
      </c>
      <c r="AD2" s="765" t="s">
        <v>3592</v>
      </c>
      <c r="AE2" s="765" t="s">
        <v>3593</v>
      </c>
      <c r="AF2" s="765" t="s">
        <v>3594</v>
      </c>
      <c r="AG2" s="765" t="s">
        <v>3595</v>
      </c>
      <c r="AH2" s="765" t="s">
        <v>3596</v>
      </c>
      <c r="AI2" s="765" t="s">
        <v>3597</v>
      </c>
      <c r="AJ2" s="765" t="s">
        <v>3586</v>
      </c>
      <c r="AK2" s="765" t="s">
        <v>3587</v>
      </c>
      <c r="AL2" s="765" t="s">
        <v>3588</v>
      </c>
      <c r="AM2" s="765" t="s">
        <v>3589</v>
      </c>
      <c r="AN2" s="765" t="s">
        <v>3590</v>
      </c>
      <c r="AO2" s="765" t="s">
        <v>3591</v>
      </c>
      <c r="AP2" s="765" t="s">
        <v>3592</v>
      </c>
      <c r="AQ2" s="765" t="s">
        <v>3593</v>
      </c>
      <c r="AR2" s="765" t="s">
        <v>3594</v>
      </c>
      <c r="AS2" s="765" t="s">
        <v>3595</v>
      </c>
      <c r="AT2" s="765" t="s">
        <v>3596</v>
      </c>
      <c r="AU2" s="765" t="s">
        <v>3597</v>
      </c>
      <c r="AV2" s="765" t="s">
        <v>3586</v>
      </c>
      <c r="AW2" s="765" t="s">
        <v>3587</v>
      </c>
      <c r="AX2" s="765" t="s">
        <v>3588</v>
      </c>
      <c r="AY2" s="765" t="s">
        <v>3589</v>
      </c>
      <c r="AZ2" s="765" t="s">
        <v>3590</v>
      </c>
      <c r="BA2" s="765" t="s">
        <v>3591</v>
      </c>
      <c r="BB2" s="765" t="s">
        <v>3592</v>
      </c>
      <c r="BC2" s="765" t="s">
        <v>3593</v>
      </c>
      <c r="BD2" s="765" t="s">
        <v>3594</v>
      </c>
      <c r="BE2" s="765" t="s">
        <v>3595</v>
      </c>
      <c r="BF2" s="765" t="s">
        <v>3596</v>
      </c>
      <c r="BG2" s="765" t="s">
        <v>3597</v>
      </c>
      <c r="BH2" s="765" t="s">
        <v>3586</v>
      </c>
      <c r="BI2" s="765" t="s">
        <v>3587</v>
      </c>
      <c r="BJ2" s="765" t="s">
        <v>3588</v>
      </c>
      <c r="BK2" s="765" t="s">
        <v>3589</v>
      </c>
      <c r="BL2" s="765" t="s">
        <v>3590</v>
      </c>
      <c r="BM2" s="765" t="s">
        <v>3591</v>
      </c>
      <c r="BN2" s="765" t="s">
        <v>3592</v>
      </c>
      <c r="BO2" s="765" t="s">
        <v>3593</v>
      </c>
      <c r="BP2" s="765" t="s">
        <v>3594</v>
      </c>
      <c r="BQ2" s="765" t="s">
        <v>3595</v>
      </c>
      <c r="BR2" s="765" t="s">
        <v>3596</v>
      </c>
      <c r="BS2" s="765" t="s">
        <v>3597</v>
      </c>
      <c r="BT2" s="765" t="s">
        <v>3586</v>
      </c>
      <c r="BU2" s="765" t="s">
        <v>3587</v>
      </c>
      <c r="BV2" s="765" t="s">
        <v>3588</v>
      </c>
      <c r="BW2" s="765" t="s">
        <v>3589</v>
      </c>
      <c r="BX2" s="765" t="s">
        <v>3590</v>
      </c>
      <c r="BY2" s="765" t="s">
        <v>3591</v>
      </c>
      <c r="BZ2" s="765" t="s">
        <v>3598</v>
      </c>
    </row>
    <row r="3" spans="1:78" ht="24.95" customHeight="1">
      <c r="A3" s="1165" t="s">
        <v>3599</v>
      </c>
      <c r="B3" s="767" t="s">
        <v>3600</v>
      </c>
      <c r="C3" s="765" t="s">
        <v>38</v>
      </c>
      <c r="D3" s="765"/>
      <c r="E3" s="764"/>
      <c r="F3" s="764"/>
      <c r="G3" s="764"/>
      <c r="H3" s="764"/>
      <c r="I3" s="764"/>
      <c r="J3" s="764"/>
      <c r="K3" s="764"/>
      <c r="L3" s="764"/>
      <c r="M3" s="764"/>
      <c r="N3" s="764"/>
      <c r="O3" s="764"/>
      <c r="P3" s="764"/>
      <c r="Q3" s="764"/>
      <c r="R3" s="764"/>
      <c r="S3" s="764"/>
      <c r="T3" s="764"/>
      <c r="U3" s="764"/>
      <c r="V3" s="764"/>
      <c r="W3" s="764"/>
      <c r="X3" s="764"/>
      <c r="Y3" s="764"/>
      <c r="Z3" s="764"/>
      <c r="AA3" s="764"/>
      <c r="AB3" s="764"/>
      <c r="AC3" s="764"/>
      <c r="AD3" s="764"/>
      <c r="AE3" s="764"/>
      <c r="AF3" s="764"/>
      <c r="AG3" s="764"/>
      <c r="AH3" s="764"/>
      <c r="AI3" s="764"/>
      <c r="AJ3" s="764"/>
      <c r="AK3" s="764"/>
      <c r="AL3" s="764"/>
      <c r="AM3" s="764"/>
      <c r="AN3" s="764"/>
      <c r="AO3" s="764"/>
      <c r="AP3" s="764"/>
      <c r="AQ3" s="764"/>
      <c r="AR3" s="764"/>
      <c r="AS3" s="764"/>
      <c r="AT3" s="764"/>
      <c r="AU3" s="764"/>
      <c r="AV3" s="764"/>
      <c r="AW3" s="764"/>
      <c r="AX3" s="764" t="s">
        <v>3601</v>
      </c>
      <c r="AY3" s="764"/>
      <c r="AZ3" s="764"/>
      <c r="BA3" s="764"/>
      <c r="BB3" s="764"/>
      <c r="BC3" s="764"/>
      <c r="BD3" s="764"/>
      <c r="BE3" s="764"/>
      <c r="BF3" s="764"/>
      <c r="BG3" s="764"/>
      <c r="BH3" s="764"/>
      <c r="BI3" s="764"/>
      <c r="BJ3" s="764"/>
      <c r="BK3" s="764"/>
      <c r="BL3" s="764"/>
      <c r="BM3" s="764"/>
      <c r="BN3" s="764"/>
      <c r="BO3" s="764"/>
      <c r="BP3" s="764"/>
      <c r="BQ3" s="764"/>
      <c r="BR3" s="764"/>
      <c r="BS3" s="764"/>
      <c r="BT3" s="764"/>
      <c r="BU3" s="764"/>
      <c r="BV3" s="764"/>
      <c r="BW3" s="764"/>
      <c r="BX3" s="764"/>
      <c r="BY3" s="764"/>
      <c r="BZ3" s="764"/>
    </row>
    <row r="4" spans="1:78" ht="24.95" customHeight="1">
      <c r="A4" s="1165"/>
      <c r="B4" s="767" t="s">
        <v>3602</v>
      </c>
      <c r="C4" s="765" t="s">
        <v>1082</v>
      </c>
      <c r="D4" s="765"/>
      <c r="E4" s="766" t="s">
        <v>3603</v>
      </c>
      <c r="F4" s="764"/>
      <c r="G4" s="764"/>
      <c r="H4" s="764"/>
      <c r="I4" s="764"/>
      <c r="J4" s="764"/>
      <c r="K4" s="764"/>
      <c r="L4" s="764"/>
      <c r="M4" s="764"/>
      <c r="N4" s="764"/>
      <c r="O4" s="764"/>
      <c r="P4" s="764"/>
      <c r="Q4" s="764"/>
      <c r="R4" s="764"/>
      <c r="S4" s="764"/>
      <c r="T4" s="764"/>
      <c r="U4" s="764"/>
      <c r="V4" s="764"/>
      <c r="W4" s="764"/>
      <c r="X4" s="764"/>
      <c r="Y4" s="764"/>
      <c r="Z4" s="764"/>
      <c r="AA4" s="764"/>
      <c r="AB4" s="764" t="s">
        <v>3604</v>
      </c>
      <c r="AC4" s="764"/>
      <c r="AD4" s="764"/>
      <c r="AE4" s="764"/>
      <c r="AF4" s="764"/>
      <c r="AG4" s="764"/>
      <c r="AH4" s="764"/>
      <c r="AI4" s="764"/>
      <c r="AJ4" s="764"/>
      <c r="AK4" s="764"/>
      <c r="AL4" s="764"/>
      <c r="AM4" s="764"/>
      <c r="AN4" s="764"/>
      <c r="AO4" s="764"/>
      <c r="AP4" s="764"/>
      <c r="AQ4" s="764"/>
      <c r="AR4" s="764"/>
      <c r="AS4" s="764" t="s">
        <v>3604</v>
      </c>
      <c r="AT4" s="764"/>
      <c r="AU4" s="764"/>
      <c r="AV4" s="764"/>
      <c r="AW4" s="764"/>
      <c r="AX4" s="764"/>
      <c r="AY4" s="764"/>
      <c r="AZ4" s="764"/>
      <c r="BA4" s="764"/>
      <c r="BB4" s="764"/>
      <c r="BC4" s="764"/>
      <c r="BD4" s="764"/>
      <c r="BE4" s="764"/>
      <c r="BF4" s="764"/>
      <c r="BG4" s="764"/>
      <c r="BH4" s="764"/>
      <c r="BI4" s="764"/>
      <c r="BJ4" s="764"/>
      <c r="BK4" s="764"/>
      <c r="BL4" s="764"/>
      <c r="BM4" s="764"/>
      <c r="BN4" s="764"/>
      <c r="BO4" s="764"/>
      <c r="BP4" s="764"/>
      <c r="BQ4" s="764"/>
      <c r="BR4" s="764"/>
      <c r="BS4" s="764"/>
      <c r="BT4" s="764"/>
      <c r="BU4" s="764"/>
      <c r="BV4" s="764"/>
      <c r="BW4" s="764"/>
      <c r="BX4" s="764"/>
      <c r="BY4" s="764"/>
      <c r="BZ4" s="764"/>
    </row>
    <row r="5" spans="1:78" ht="24.95" customHeight="1">
      <c r="A5" s="1165"/>
      <c r="B5" s="767" t="s">
        <v>3605</v>
      </c>
      <c r="C5" s="765" t="s">
        <v>38</v>
      </c>
      <c r="D5" s="765"/>
      <c r="E5" s="764" t="s">
        <v>3606</v>
      </c>
      <c r="F5" s="764"/>
      <c r="G5" s="764"/>
      <c r="H5" s="764"/>
      <c r="I5" s="764"/>
      <c r="J5" s="764"/>
      <c r="K5" s="764"/>
      <c r="L5" s="764"/>
      <c r="M5" s="764"/>
      <c r="N5" s="764"/>
      <c r="O5" s="764"/>
      <c r="P5" s="764"/>
      <c r="Q5" s="764"/>
      <c r="R5" s="764"/>
      <c r="S5" s="764"/>
      <c r="T5" s="764"/>
      <c r="U5" s="764"/>
      <c r="V5" s="764"/>
      <c r="W5" s="764"/>
      <c r="X5" s="764"/>
      <c r="Y5" s="764"/>
      <c r="Z5" s="764"/>
      <c r="AA5" s="764"/>
      <c r="AB5" s="764"/>
      <c r="AC5" s="764"/>
      <c r="AD5" s="764"/>
      <c r="AE5" s="764"/>
      <c r="AF5" s="764"/>
      <c r="AG5" s="764"/>
      <c r="AH5" s="764"/>
      <c r="AI5" s="764"/>
      <c r="AJ5" s="764"/>
      <c r="AK5" s="764"/>
      <c r="AL5" s="764"/>
      <c r="AM5" s="764"/>
      <c r="AN5" s="764"/>
      <c r="AO5" s="764"/>
      <c r="AP5" s="764"/>
      <c r="AQ5" s="764"/>
      <c r="AR5" s="764"/>
      <c r="AS5" s="764"/>
      <c r="AT5" s="764"/>
      <c r="AU5" s="764"/>
      <c r="AV5" s="764" t="s">
        <v>3607</v>
      </c>
      <c r="AW5" s="764"/>
      <c r="AX5" s="764"/>
      <c r="AY5" s="764"/>
      <c r="AZ5" s="764"/>
      <c r="BA5" s="764"/>
      <c r="BB5" s="764"/>
      <c r="BC5" s="764"/>
      <c r="BD5" s="764"/>
      <c r="BE5" s="764"/>
      <c r="BF5" s="764"/>
      <c r="BG5" s="764"/>
      <c r="BH5" s="764"/>
      <c r="BI5" s="764"/>
      <c r="BJ5" s="764"/>
      <c r="BK5" s="764"/>
      <c r="BL5" s="764"/>
      <c r="BM5" s="764"/>
      <c r="BN5" s="764"/>
      <c r="BO5" s="764"/>
      <c r="BP5" s="764"/>
      <c r="BQ5" s="764"/>
      <c r="BR5" s="764"/>
      <c r="BS5" s="764"/>
      <c r="BT5" s="764"/>
      <c r="BU5" s="764"/>
      <c r="BV5" s="764"/>
      <c r="BW5" s="764"/>
      <c r="BX5" s="764"/>
      <c r="BY5" s="764"/>
      <c r="BZ5" s="764"/>
    </row>
    <row r="6" spans="1:78" ht="24.95" customHeight="1">
      <c r="A6" s="1165"/>
      <c r="B6" s="767" t="s">
        <v>3608</v>
      </c>
      <c r="C6" s="765" t="s">
        <v>1082</v>
      </c>
      <c r="D6" s="765"/>
      <c r="E6" s="764" t="s">
        <v>3609</v>
      </c>
      <c r="F6" s="764"/>
      <c r="G6" s="764"/>
      <c r="H6" s="764"/>
      <c r="I6" s="764"/>
      <c r="J6" s="764"/>
      <c r="K6" s="764"/>
      <c r="L6" s="764"/>
      <c r="M6" s="764"/>
      <c r="N6" s="764"/>
      <c r="O6" s="764"/>
      <c r="P6" s="764"/>
      <c r="Q6" s="764"/>
      <c r="R6" s="764"/>
      <c r="S6" s="764"/>
      <c r="T6" s="764"/>
      <c r="U6" s="764"/>
      <c r="V6" s="764"/>
      <c r="W6" s="764"/>
      <c r="X6" s="764" t="s">
        <v>3604</v>
      </c>
      <c r="Y6" s="764"/>
      <c r="Z6" s="764"/>
      <c r="AA6" s="764"/>
      <c r="AB6" s="764"/>
      <c r="AC6" s="764"/>
      <c r="AD6" s="764"/>
      <c r="AE6" s="764"/>
      <c r="AF6" s="764"/>
      <c r="AG6" s="764"/>
      <c r="AH6" s="764"/>
      <c r="AI6" s="764"/>
      <c r="AJ6" s="764"/>
      <c r="AK6" s="764"/>
      <c r="AL6" s="764"/>
      <c r="AM6" s="764"/>
      <c r="AN6" s="764"/>
      <c r="AO6" s="764"/>
      <c r="AP6" s="764"/>
      <c r="AQ6" s="764"/>
      <c r="AR6" s="764"/>
      <c r="AS6" s="764"/>
      <c r="AT6" s="764"/>
      <c r="AU6" s="764"/>
      <c r="AV6" s="764"/>
      <c r="AW6" s="764"/>
      <c r="AX6" s="764" t="s">
        <v>3607</v>
      </c>
      <c r="AY6" s="764"/>
      <c r="AZ6" s="764"/>
      <c r="BA6" s="764"/>
      <c r="BB6" s="764"/>
      <c r="BC6" s="764"/>
      <c r="BD6" s="764"/>
      <c r="BE6" s="764"/>
      <c r="BF6" s="764"/>
      <c r="BG6" s="764"/>
      <c r="BH6" s="764"/>
      <c r="BI6" s="764"/>
      <c r="BJ6" s="764"/>
      <c r="BK6" s="764"/>
      <c r="BL6" s="764"/>
      <c r="BM6" s="764"/>
      <c r="BN6" s="764"/>
      <c r="BO6" s="764"/>
      <c r="BP6" s="764"/>
      <c r="BQ6" s="764"/>
      <c r="BR6" s="764"/>
      <c r="BS6" s="764"/>
      <c r="BT6" s="764"/>
      <c r="BU6" s="764"/>
      <c r="BV6" s="764"/>
      <c r="BW6" s="764"/>
      <c r="BX6" s="764"/>
      <c r="BY6" s="764"/>
      <c r="BZ6" s="764"/>
    </row>
    <row r="7" spans="1:78" ht="24.95" customHeight="1">
      <c r="A7" s="1165"/>
      <c r="B7" s="767" t="s">
        <v>3610</v>
      </c>
      <c r="C7" s="765" t="s">
        <v>1082</v>
      </c>
      <c r="D7" s="765"/>
      <c r="E7" s="764" t="s">
        <v>3611</v>
      </c>
      <c r="F7" s="764"/>
      <c r="G7" s="764"/>
      <c r="H7" s="764"/>
      <c r="I7" s="764"/>
      <c r="J7" s="764"/>
      <c r="K7" s="764"/>
      <c r="L7" s="764"/>
      <c r="M7" s="764"/>
      <c r="N7" s="764"/>
      <c r="O7" s="764"/>
      <c r="P7" s="764"/>
      <c r="Q7" s="764"/>
      <c r="R7" s="764"/>
      <c r="S7" s="764"/>
      <c r="T7" s="764"/>
      <c r="U7" s="764"/>
      <c r="V7" s="764" t="s">
        <v>3604</v>
      </c>
      <c r="W7" s="764"/>
      <c r="X7" s="764"/>
      <c r="Y7" s="764"/>
      <c r="Z7" s="764"/>
      <c r="AA7" s="764"/>
      <c r="AB7" s="764" t="s">
        <v>3604</v>
      </c>
      <c r="AC7" s="764"/>
      <c r="AD7" s="764"/>
      <c r="AE7" s="764"/>
      <c r="AF7" s="764"/>
      <c r="AG7" s="764"/>
      <c r="AH7" s="764"/>
      <c r="AI7" s="764"/>
      <c r="AJ7" s="764"/>
      <c r="AK7" s="764"/>
      <c r="AL7" s="764"/>
      <c r="AM7" s="764"/>
      <c r="AN7" s="766" t="s">
        <v>3612</v>
      </c>
      <c r="AO7" s="764"/>
      <c r="AP7" s="764"/>
      <c r="AQ7" s="764"/>
      <c r="AR7" s="766" t="s">
        <v>3613</v>
      </c>
      <c r="AS7" s="764"/>
      <c r="AT7" s="764"/>
      <c r="AU7" s="764" t="s">
        <v>3607</v>
      </c>
      <c r="AV7" s="766" t="s">
        <v>3614</v>
      </c>
      <c r="AW7" s="764"/>
      <c r="AX7" s="764"/>
      <c r="AY7" s="764"/>
      <c r="AZ7" s="766" t="s">
        <v>3615</v>
      </c>
      <c r="BA7" s="764"/>
      <c r="BB7" s="764"/>
      <c r="BC7" s="764" t="s">
        <v>3616</v>
      </c>
      <c r="BD7" s="764"/>
      <c r="BE7" s="764"/>
      <c r="BF7" s="764"/>
      <c r="BG7" s="764"/>
      <c r="BH7" s="764"/>
      <c r="BI7" s="764"/>
      <c r="BJ7" s="764"/>
      <c r="BK7" s="764"/>
      <c r="BL7" s="764"/>
      <c r="BM7" s="764"/>
      <c r="BN7" s="764"/>
      <c r="BO7" s="764"/>
      <c r="BP7" s="764"/>
      <c r="BQ7" s="764"/>
      <c r="BR7" s="764"/>
      <c r="BS7" s="764"/>
      <c r="BT7" s="764"/>
      <c r="BU7" s="764"/>
      <c r="BV7" s="764"/>
      <c r="BW7" s="764"/>
      <c r="BX7" s="764"/>
      <c r="BY7" s="764"/>
      <c r="BZ7" s="764"/>
    </row>
    <row r="8" spans="1:78" ht="24.95" customHeight="1">
      <c r="A8" s="1165"/>
      <c r="B8" s="767" t="s">
        <v>3617</v>
      </c>
      <c r="C8" s="765" t="s">
        <v>3395</v>
      </c>
      <c r="D8" s="765"/>
      <c r="E8" s="764" t="s">
        <v>3618</v>
      </c>
      <c r="F8" s="764"/>
      <c r="G8" s="764"/>
      <c r="H8" s="764"/>
      <c r="I8" s="764"/>
      <c r="J8" s="764"/>
      <c r="K8" s="764"/>
      <c r="L8" s="764"/>
      <c r="M8" s="764"/>
      <c r="N8" s="764"/>
      <c r="O8" s="764"/>
      <c r="P8" s="764"/>
      <c r="Q8" s="764"/>
      <c r="R8" s="764"/>
      <c r="S8" s="764"/>
      <c r="T8" s="766" t="s">
        <v>3619</v>
      </c>
      <c r="U8" s="764"/>
      <c r="V8" s="764"/>
      <c r="W8" s="764"/>
      <c r="X8" s="764"/>
      <c r="Y8" s="764"/>
      <c r="Z8" s="764"/>
      <c r="AA8" s="764"/>
      <c r="AB8" s="764"/>
      <c r="AC8" s="764"/>
      <c r="AD8" s="764"/>
      <c r="AE8" s="764"/>
      <c r="AF8" s="764"/>
      <c r="AG8" s="764"/>
      <c r="AH8" s="764"/>
      <c r="AI8" s="764"/>
      <c r="AJ8" s="764"/>
      <c r="AK8" s="764"/>
      <c r="AL8" s="764"/>
      <c r="AM8" s="764"/>
      <c r="AN8" s="764"/>
      <c r="AO8" s="764"/>
      <c r="AP8" s="764"/>
      <c r="AQ8" s="764"/>
      <c r="AR8" s="764"/>
      <c r="AS8" s="764"/>
      <c r="AT8" s="764" t="s">
        <v>3607</v>
      </c>
      <c r="AU8" s="764"/>
      <c r="AV8" s="764"/>
      <c r="AW8" s="764"/>
      <c r="AX8" s="764"/>
      <c r="AY8" s="764"/>
      <c r="AZ8" s="764"/>
      <c r="BA8" s="764"/>
      <c r="BB8" s="764"/>
      <c r="BC8" s="764"/>
      <c r="BD8" s="764"/>
      <c r="BE8" s="764"/>
      <c r="BF8" s="764"/>
      <c r="BG8" s="764"/>
      <c r="BH8" s="764"/>
      <c r="BI8" s="764"/>
      <c r="BJ8" s="764"/>
      <c r="BK8" s="764"/>
      <c r="BL8" s="764"/>
      <c r="BM8" s="764"/>
      <c r="BN8" s="764"/>
      <c r="BO8" s="764"/>
      <c r="BP8" s="764"/>
      <c r="BQ8" s="764"/>
      <c r="BR8" s="764"/>
      <c r="BS8" s="764"/>
      <c r="BT8" s="764"/>
      <c r="BU8" s="764"/>
      <c r="BV8" s="764"/>
      <c r="BW8" s="764"/>
      <c r="BX8" s="764"/>
      <c r="BY8" s="764"/>
      <c r="BZ8" s="764"/>
    </row>
    <row r="9" spans="1:78" ht="24.95" customHeight="1">
      <c r="A9" s="1165" t="s">
        <v>3620</v>
      </c>
      <c r="B9" s="767" t="s">
        <v>3621</v>
      </c>
      <c r="C9" s="765" t="s">
        <v>1082</v>
      </c>
      <c r="D9" s="765"/>
      <c r="E9" s="764" t="s">
        <v>3622</v>
      </c>
      <c r="F9" s="764"/>
      <c r="G9" s="764"/>
      <c r="H9" s="764"/>
      <c r="I9" s="764"/>
      <c r="J9" s="764"/>
      <c r="K9" s="764"/>
      <c r="L9" s="764"/>
      <c r="M9" s="764"/>
      <c r="N9" s="764"/>
      <c r="O9" s="764"/>
      <c r="P9" s="764"/>
      <c r="Q9" s="764"/>
      <c r="R9" s="764"/>
      <c r="S9" s="764"/>
      <c r="T9" s="764"/>
      <c r="U9" s="764"/>
      <c r="V9" s="764"/>
      <c r="W9" s="764"/>
      <c r="X9" s="764"/>
      <c r="Y9" s="764"/>
      <c r="Z9" s="764"/>
      <c r="AA9" s="764"/>
      <c r="AB9" s="764"/>
      <c r="AC9" s="764"/>
      <c r="AD9" s="764"/>
      <c r="AE9" s="764"/>
      <c r="AF9" s="764"/>
      <c r="AG9" s="764"/>
      <c r="AH9" s="764"/>
      <c r="AI9" s="764"/>
      <c r="AJ9" s="764"/>
      <c r="AK9" s="764"/>
      <c r="AL9" s="764"/>
      <c r="AM9" s="764" t="s">
        <v>3604</v>
      </c>
      <c r="AN9" s="764"/>
      <c r="AO9" s="764"/>
      <c r="AP9" s="764"/>
      <c r="AQ9" s="764"/>
      <c r="AR9" s="764"/>
      <c r="AS9" s="764"/>
      <c r="AT9" s="764"/>
      <c r="AU9" s="764"/>
      <c r="AV9" s="764" t="s">
        <v>3604</v>
      </c>
      <c r="AW9" s="764"/>
      <c r="AX9" s="764"/>
      <c r="AY9" s="764"/>
      <c r="AZ9" s="764"/>
      <c r="BA9" s="764"/>
      <c r="BB9" s="764"/>
      <c r="BC9" s="764"/>
      <c r="BD9" s="764"/>
      <c r="BE9" s="764"/>
      <c r="BF9" s="764"/>
      <c r="BG9" s="764"/>
      <c r="BH9" s="764"/>
      <c r="BI9" s="764"/>
      <c r="BJ9" s="764"/>
      <c r="BK9" s="764"/>
      <c r="BL9" s="764"/>
      <c r="BM9" s="764"/>
      <c r="BN9" s="764"/>
      <c r="BO9" s="764"/>
      <c r="BP9" s="764"/>
      <c r="BQ9" s="764"/>
      <c r="BR9" s="764"/>
      <c r="BS9" s="764"/>
      <c r="BT9" s="764"/>
      <c r="BU9" s="764"/>
      <c r="BV9" s="764"/>
      <c r="BW9" s="764"/>
      <c r="BX9" s="764"/>
      <c r="BY9" s="764"/>
      <c r="BZ9" s="764"/>
    </row>
    <row r="10" spans="1:78" ht="409.5">
      <c r="A10" s="1165"/>
      <c r="B10" s="767" t="s">
        <v>3623</v>
      </c>
      <c r="C10" s="765" t="s">
        <v>3395</v>
      </c>
      <c r="D10" s="765"/>
      <c r="E10" s="764" t="s">
        <v>3624</v>
      </c>
      <c r="F10" s="764"/>
      <c r="G10" s="766" t="s">
        <v>3625</v>
      </c>
      <c r="H10" s="764"/>
      <c r="I10" s="764"/>
      <c r="J10" s="764"/>
      <c r="K10" s="764"/>
      <c r="L10" s="764"/>
      <c r="M10" s="764"/>
      <c r="N10" s="764"/>
      <c r="O10" s="764"/>
      <c r="P10" s="764"/>
      <c r="Q10" s="764"/>
      <c r="R10" s="764"/>
      <c r="S10" s="764"/>
      <c r="T10" s="764"/>
      <c r="U10" s="764"/>
      <c r="V10" s="764" t="s">
        <v>3626</v>
      </c>
      <c r="W10" s="764"/>
      <c r="X10" s="764"/>
      <c r="Y10" s="764"/>
      <c r="Z10" s="764"/>
      <c r="AA10" s="1138" t="s">
        <v>3627</v>
      </c>
      <c r="AB10" s="1138"/>
      <c r="AC10" s="764"/>
      <c r="AD10" s="764"/>
      <c r="AE10" s="764"/>
      <c r="AF10" s="764"/>
      <c r="AG10" s="764"/>
      <c r="AH10" s="764"/>
      <c r="AI10" s="764"/>
      <c r="AJ10" s="764"/>
      <c r="AK10" s="764"/>
      <c r="AL10" s="764"/>
      <c r="AM10" s="764"/>
      <c r="AN10" s="766" t="s">
        <v>3628</v>
      </c>
      <c r="AO10" s="764"/>
      <c r="AP10" s="764" t="s">
        <v>3629</v>
      </c>
      <c r="AQ10" s="764"/>
      <c r="AR10" s="764"/>
      <c r="AS10" s="764"/>
      <c r="AT10" s="764"/>
      <c r="AU10" s="764"/>
      <c r="AV10" s="764"/>
      <c r="AW10" s="764"/>
      <c r="AX10" s="764"/>
      <c r="AY10" s="764" t="s">
        <v>3630</v>
      </c>
      <c r="AZ10" s="764"/>
      <c r="BA10" s="764"/>
      <c r="BB10" s="764"/>
      <c r="BC10" s="764"/>
      <c r="BD10" s="764"/>
      <c r="BE10" s="764"/>
      <c r="BF10" s="764"/>
      <c r="BG10" s="764"/>
      <c r="BH10" s="764"/>
      <c r="BI10" s="764"/>
      <c r="BJ10" s="764"/>
      <c r="BK10" s="764"/>
      <c r="BL10" s="764"/>
      <c r="BM10" s="764"/>
      <c r="BN10" s="764"/>
      <c r="BO10" s="764"/>
      <c r="BP10" s="764"/>
      <c r="BQ10" s="764"/>
      <c r="BR10" s="764"/>
      <c r="BS10" s="764"/>
      <c r="BT10" s="764"/>
      <c r="BU10" s="764"/>
      <c r="BV10" s="764"/>
      <c r="BW10" s="764"/>
      <c r="BX10" s="764"/>
      <c r="BY10" s="764"/>
      <c r="BZ10" s="764"/>
    </row>
    <row r="11" spans="1:78" ht="24.95" customHeight="1">
      <c r="A11" s="1165"/>
      <c r="B11" s="767" t="s">
        <v>3631</v>
      </c>
      <c r="C11" s="765" t="s">
        <v>38</v>
      </c>
      <c r="D11" s="765"/>
      <c r="E11" s="764" t="s">
        <v>3632</v>
      </c>
      <c r="F11" s="764"/>
      <c r="G11" s="764"/>
      <c r="H11" s="764"/>
      <c r="I11" s="764"/>
      <c r="J11" s="764"/>
      <c r="K11" s="764"/>
      <c r="L11" s="766" t="s">
        <v>3633</v>
      </c>
      <c r="M11" s="764"/>
      <c r="N11" s="766" t="s">
        <v>3634</v>
      </c>
      <c r="O11" s="764"/>
      <c r="P11" s="764"/>
      <c r="Q11" s="764"/>
      <c r="R11" s="764"/>
      <c r="S11" s="764"/>
      <c r="T11" s="764"/>
      <c r="U11" s="764"/>
      <c r="V11" s="764"/>
      <c r="W11" s="764"/>
      <c r="X11" s="764"/>
      <c r="Y11" s="764"/>
      <c r="Z11" s="764"/>
      <c r="AA11" s="1138" t="s">
        <v>3627</v>
      </c>
      <c r="AB11" s="1138"/>
      <c r="AC11" s="764"/>
      <c r="AD11" s="764"/>
      <c r="AE11" s="764"/>
      <c r="AF11" s="764"/>
      <c r="AG11" s="764"/>
      <c r="AH11" s="764"/>
      <c r="AI11" s="764" t="s">
        <v>3635</v>
      </c>
      <c r="AJ11" s="764"/>
      <c r="AK11" s="764"/>
      <c r="AL11" s="764"/>
      <c r="AM11" s="764"/>
      <c r="AN11" s="766" t="s">
        <v>3636</v>
      </c>
      <c r="AO11" s="766" t="s">
        <v>3637</v>
      </c>
      <c r="AP11" s="764"/>
      <c r="AQ11" s="764" t="s">
        <v>3638</v>
      </c>
      <c r="AR11" s="764"/>
      <c r="AS11" s="764"/>
      <c r="AT11" s="764"/>
      <c r="AU11" s="764"/>
      <c r="AV11" s="764"/>
      <c r="AW11" s="764"/>
      <c r="AX11" s="764"/>
      <c r="AY11" s="764"/>
      <c r="AZ11" s="764"/>
      <c r="BA11" s="764"/>
      <c r="BB11" s="764"/>
      <c r="BC11" s="764"/>
      <c r="BD11" s="764"/>
      <c r="BE11" s="764"/>
      <c r="BF11" s="764"/>
      <c r="BG11" s="764"/>
      <c r="BH11" s="764"/>
      <c r="BI11" s="764"/>
      <c r="BJ11" s="764"/>
      <c r="BK11" s="764"/>
      <c r="BL11" s="764"/>
      <c r="BM11" s="764"/>
      <c r="BN11" s="764"/>
      <c r="BO11" s="764"/>
      <c r="BP11" s="764"/>
      <c r="BQ11" s="764"/>
      <c r="BR11" s="764"/>
      <c r="BS11" s="764"/>
      <c r="BT11" s="764"/>
      <c r="BU11" s="764"/>
      <c r="BV11" s="764"/>
      <c r="BW11" s="764"/>
      <c r="BX11" s="764"/>
      <c r="BY11" s="764"/>
      <c r="BZ11" s="764"/>
    </row>
    <row r="12" spans="1:78" ht="24.95" customHeight="1">
      <c r="A12" s="1165"/>
      <c r="B12" s="767" t="s">
        <v>3639</v>
      </c>
      <c r="C12" s="765" t="s">
        <v>38</v>
      </c>
      <c r="D12" s="765"/>
      <c r="E12" s="764"/>
      <c r="F12" s="764"/>
      <c r="G12" s="764"/>
      <c r="H12" s="764"/>
      <c r="I12" s="764"/>
      <c r="J12" s="764"/>
      <c r="K12" s="764"/>
      <c r="L12" s="764"/>
      <c r="M12" s="764"/>
      <c r="N12" s="764"/>
      <c r="O12" s="764"/>
      <c r="P12" s="764"/>
      <c r="Q12" s="764"/>
      <c r="R12" s="764"/>
      <c r="S12" s="764"/>
      <c r="T12" s="764"/>
      <c r="U12" s="764"/>
      <c r="V12" s="764"/>
      <c r="W12" s="764"/>
      <c r="X12" s="108" t="s">
        <v>3604</v>
      </c>
      <c r="Y12" s="764"/>
      <c r="Z12" s="764"/>
      <c r="AA12" s="764"/>
      <c r="AB12" s="764"/>
      <c r="AC12" s="764"/>
      <c r="AD12" s="764"/>
      <c r="AE12" s="764"/>
      <c r="AF12" s="764"/>
      <c r="AG12" s="764"/>
      <c r="AH12" s="764"/>
      <c r="AI12" s="764"/>
      <c r="AJ12" s="764"/>
      <c r="AK12" s="764"/>
      <c r="AL12" s="764"/>
      <c r="AM12" s="764"/>
      <c r="AN12" s="764"/>
      <c r="AO12" s="764"/>
      <c r="AP12" s="764"/>
      <c r="AQ12" s="764"/>
      <c r="AR12" s="764"/>
      <c r="AS12" s="764"/>
      <c r="AT12" s="764"/>
      <c r="AU12" s="764"/>
      <c r="AV12" s="764"/>
      <c r="AW12" s="764"/>
      <c r="AX12" s="764"/>
      <c r="AY12" s="1138" t="s">
        <v>3607</v>
      </c>
      <c r="AZ12" s="764"/>
      <c r="BA12" s="764"/>
      <c r="BB12" s="764"/>
      <c r="BC12" s="764"/>
      <c r="BD12" s="764"/>
      <c r="BE12" s="764"/>
      <c r="BF12" s="764"/>
      <c r="BG12" s="764"/>
      <c r="BH12" s="764"/>
      <c r="BI12" s="764"/>
      <c r="BJ12" s="764"/>
      <c r="BK12" s="764"/>
      <c r="BL12" s="764"/>
      <c r="BM12" s="764"/>
      <c r="BN12" s="764"/>
      <c r="BO12" s="764"/>
      <c r="BP12" s="764"/>
      <c r="BQ12" s="764"/>
      <c r="BR12" s="764"/>
      <c r="BS12" s="764"/>
      <c r="BT12" s="764"/>
      <c r="BU12" s="764"/>
      <c r="BV12" s="764"/>
      <c r="BW12" s="764"/>
      <c r="BX12" s="764"/>
      <c r="BY12" s="764"/>
      <c r="BZ12" s="764"/>
    </row>
    <row r="13" spans="1:78" ht="24.95" customHeight="1">
      <c r="A13" s="1165"/>
      <c r="B13" s="767" t="s">
        <v>3640</v>
      </c>
      <c r="C13" s="765" t="s">
        <v>3395</v>
      </c>
      <c r="D13" s="765"/>
      <c r="E13" s="764" t="s">
        <v>3641</v>
      </c>
      <c r="F13" s="764"/>
      <c r="G13" s="764"/>
      <c r="H13" s="764"/>
      <c r="I13" s="764"/>
      <c r="J13" s="764"/>
      <c r="K13" s="764"/>
      <c r="L13" s="764"/>
      <c r="M13" s="764"/>
      <c r="N13" s="764"/>
      <c r="O13" s="764"/>
      <c r="P13" s="764"/>
      <c r="Q13" s="764"/>
      <c r="R13" s="764"/>
      <c r="S13" s="764"/>
      <c r="T13" s="764"/>
      <c r="U13" s="764"/>
      <c r="V13" s="764"/>
      <c r="W13" s="764"/>
      <c r="X13" s="764"/>
      <c r="Y13" s="764"/>
      <c r="Z13" s="764"/>
      <c r="AA13" s="764"/>
      <c r="AB13" s="764"/>
      <c r="AC13" s="764"/>
      <c r="AD13" s="764"/>
      <c r="AE13" s="764"/>
      <c r="AF13" s="764"/>
      <c r="AG13" s="108" t="s">
        <v>3604</v>
      </c>
      <c r="AH13" s="764"/>
      <c r="AI13" s="764" t="s">
        <v>3641</v>
      </c>
      <c r="AJ13" s="764"/>
      <c r="AK13" s="764"/>
      <c r="AL13" s="764" t="s">
        <v>3642</v>
      </c>
      <c r="AM13" s="764"/>
      <c r="AN13" s="764"/>
      <c r="AO13" s="764"/>
      <c r="AP13" s="764"/>
      <c r="AQ13" s="764"/>
      <c r="AR13" s="764"/>
      <c r="AS13" s="764"/>
      <c r="AT13" s="764"/>
      <c r="AU13" s="764"/>
      <c r="AV13" s="764"/>
      <c r="AW13" s="764"/>
      <c r="AX13" s="764"/>
      <c r="AY13" s="1138"/>
      <c r="AZ13" s="764"/>
      <c r="BA13" s="764"/>
      <c r="BB13" s="764"/>
      <c r="BC13" s="764"/>
      <c r="BD13" s="764"/>
      <c r="BE13" s="764"/>
      <c r="BF13" s="764"/>
      <c r="BG13" s="764"/>
      <c r="BH13" s="764"/>
      <c r="BI13" s="764"/>
      <c r="BJ13" s="764"/>
      <c r="BK13" s="764"/>
      <c r="BL13" s="764"/>
      <c r="BM13" s="764"/>
      <c r="BN13" s="764"/>
      <c r="BO13" s="764"/>
      <c r="BP13" s="764"/>
      <c r="BQ13" s="764"/>
      <c r="BR13" s="764"/>
      <c r="BS13" s="764"/>
      <c r="BT13" s="764"/>
      <c r="BU13" s="764"/>
      <c r="BV13" s="764"/>
      <c r="BW13" s="764"/>
      <c r="BX13" s="764"/>
      <c r="BY13" s="764"/>
      <c r="BZ13" s="764"/>
    </row>
    <row r="14" spans="1:78" ht="24.95" customHeight="1">
      <c r="A14" s="1165"/>
      <c r="B14" s="767" t="s">
        <v>3643</v>
      </c>
      <c r="C14" s="765" t="s">
        <v>38</v>
      </c>
      <c r="D14" s="765"/>
      <c r="E14" s="764"/>
      <c r="F14" s="764"/>
      <c r="G14" s="764"/>
      <c r="H14" s="764"/>
      <c r="I14" s="764"/>
      <c r="J14" s="764"/>
      <c r="K14" s="764"/>
      <c r="L14" s="764"/>
      <c r="M14" s="764"/>
      <c r="N14" s="764"/>
      <c r="O14" s="764"/>
      <c r="P14" s="764"/>
      <c r="Q14" s="764"/>
      <c r="R14" s="764"/>
      <c r="S14" s="764"/>
      <c r="T14" s="764"/>
      <c r="U14" s="764"/>
      <c r="V14" s="764"/>
      <c r="W14" s="764"/>
      <c r="X14" s="108" t="s">
        <v>3604</v>
      </c>
      <c r="Y14" s="764"/>
      <c r="Z14" s="764"/>
      <c r="AA14" s="764"/>
      <c r="AB14" s="764"/>
      <c r="AC14" s="764"/>
      <c r="AD14" s="764"/>
      <c r="AE14" s="764"/>
      <c r="AF14" s="764"/>
      <c r="AG14" s="764"/>
      <c r="AH14" s="764"/>
      <c r="AI14" s="764"/>
      <c r="AJ14" s="764"/>
      <c r="AK14" s="764"/>
      <c r="AL14" s="764"/>
      <c r="AM14" s="764"/>
      <c r="AN14" s="764"/>
      <c r="AO14" s="764"/>
      <c r="AP14" s="764"/>
      <c r="AQ14" s="764"/>
      <c r="AR14" s="764"/>
      <c r="AS14" s="764"/>
      <c r="AT14" s="764"/>
      <c r="AU14" s="764"/>
      <c r="AV14" s="764"/>
      <c r="AW14" s="764"/>
      <c r="AX14" s="764"/>
      <c r="AY14" s="1138"/>
      <c r="AZ14" s="764"/>
      <c r="BA14" s="764"/>
      <c r="BB14" s="764"/>
      <c r="BC14" s="764"/>
      <c r="BD14" s="764"/>
      <c r="BE14" s="764"/>
      <c r="BF14" s="764"/>
      <c r="BG14" s="764"/>
      <c r="BH14" s="764"/>
      <c r="BI14" s="764"/>
      <c r="BJ14" s="764"/>
      <c r="BK14" s="764"/>
      <c r="BL14" s="764"/>
      <c r="BM14" s="764"/>
      <c r="BN14" s="764"/>
      <c r="BO14" s="764"/>
      <c r="BP14" s="764"/>
      <c r="BQ14" s="764"/>
      <c r="BR14" s="764"/>
      <c r="BS14" s="764"/>
      <c r="BT14" s="764"/>
      <c r="BU14" s="764"/>
      <c r="BV14" s="764"/>
      <c r="BW14" s="764"/>
      <c r="BX14" s="764"/>
      <c r="BY14" s="764"/>
      <c r="BZ14" s="764"/>
    </row>
    <row r="15" spans="1:78" ht="24.95" customHeight="1">
      <c r="A15" s="1165"/>
      <c r="B15" s="767" t="s">
        <v>3644</v>
      </c>
      <c r="C15" s="765" t="s">
        <v>3395</v>
      </c>
      <c r="D15" s="765"/>
      <c r="E15" s="764" t="s">
        <v>3645</v>
      </c>
      <c r="F15" s="764"/>
      <c r="G15" s="764"/>
      <c r="H15" s="764"/>
      <c r="I15" s="764"/>
      <c r="J15" s="764"/>
      <c r="K15" s="764"/>
      <c r="L15" s="764"/>
      <c r="M15" s="764"/>
      <c r="N15" s="764"/>
      <c r="O15" s="764"/>
      <c r="P15" s="764"/>
      <c r="Q15" s="764"/>
      <c r="R15" s="764"/>
      <c r="S15" s="764"/>
      <c r="T15" s="764"/>
      <c r="U15" s="764"/>
      <c r="V15" s="764"/>
      <c r="W15" s="764"/>
      <c r="X15" s="108" t="s">
        <v>3604</v>
      </c>
      <c r="Y15" s="764"/>
      <c r="Z15" s="764"/>
      <c r="AA15" s="764"/>
      <c r="AB15" s="764"/>
      <c r="AC15" s="764"/>
      <c r="AD15" s="764"/>
      <c r="AE15" s="764"/>
      <c r="AF15" s="764"/>
      <c r="AG15" s="764"/>
      <c r="AH15" s="764"/>
      <c r="AI15" s="764"/>
      <c r="AJ15" s="764"/>
      <c r="AK15" s="764" t="s">
        <v>3645</v>
      </c>
      <c r="AL15" s="108" t="s">
        <v>3646</v>
      </c>
      <c r="AM15" s="764"/>
      <c r="AN15" s="764"/>
      <c r="AO15" s="764"/>
      <c r="AP15" s="764"/>
      <c r="AQ15" s="764"/>
      <c r="AR15" s="764"/>
      <c r="AS15" s="764"/>
      <c r="AT15" s="764"/>
      <c r="AU15" s="764"/>
      <c r="AV15" s="764"/>
      <c r="AW15" s="764"/>
      <c r="AX15" s="764"/>
      <c r="AY15" s="764"/>
      <c r="AZ15" s="764"/>
      <c r="BA15" s="764"/>
      <c r="BB15" s="764"/>
      <c r="BC15" s="764"/>
      <c r="BD15" s="764"/>
      <c r="BE15" s="764"/>
      <c r="BF15" s="764"/>
      <c r="BG15" s="764"/>
      <c r="BH15" s="764"/>
      <c r="BI15" s="764"/>
      <c r="BJ15" s="764"/>
      <c r="BK15" s="764"/>
      <c r="BL15" s="764"/>
      <c r="BM15" s="764"/>
      <c r="BN15" s="764"/>
      <c r="BO15" s="764"/>
      <c r="BP15" s="764"/>
      <c r="BQ15" s="764"/>
      <c r="BR15" s="764"/>
      <c r="BS15" s="764"/>
      <c r="BT15" s="764"/>
      <c r="BU15" s="764"/>
      <c r="BV15" s="764"/>
      <c r="BW15" s="764"/>
      <c r="BX15" s="764"/>
      <c r="BY15" s="764"/>
      <c r="BZ15" s="764"/>
    </row>
    <row r="16" spans="1:78" ht="24.95" customHeight="1">
      <c r="A16" s="1165"/>
      <c r="B16" s="767" t="s">
        <v>3647</v>
      </c>
      <c r="C16" s="765" t="s">
        <v>38</v>
      </c>
      <c r="D16" s="765"/>
      <c r="E16" s="764"/>
      <c r="F16" s="764"/>
      <c r="G16" s="764"/>
      <c r="H16" s="764"/>
      <c r="I16" s="764"/>
      <c r="J16" s="764"/>
      <c r="K16" s="764"/>
      <c r="L16" s="764"/>
      <c r="M16" s="764"/>
      <c r="N16" s="764"/>
      <c r="O16" s="764"/>
      <c r="P16" s="764"/>
      <c r="Q16" s="764"/>
      <c r="R16" s="764"/>
      <c r="S16" s="764"/>
      <c r="T16" s="764"/>
      <c r="U16" s="764"/>
      <c r="V16" s="764"/>
      <c r="W16" s="764"/>
      <c r="X16" s="764"/>
      <c r="Y16" s="1138" t="s">
        <v>3604</v>
      </c>
      <c r="Z16" s="764"/>
      <c r="AA16" s="764"/>
      <c r="AB16" s="764"/>
      <c r="AC16" s="764"/>
      <c r="AD16" s="764"/>
      <c r="AE16" s="764"/>
      <c r="AF16" s="764"/>
      <c r="AG16" s="764"/>
      <c r="AH16" s="764"/>
      <c r="AI16" s="764"/>
      <c r="AJ16" s="764"/>
      <c r="AK16" s="764"/>
      <c r="AL16" s="764"/>
      <c r="AM16" s="764"/>
      <c r="AN16" s="764"/>
      <c r="AO16" s="764"/>
      <c r="AP16" s="764"/>
      <c r="AQ16" s="764"/>
      <c r="AR16" s="764"/>
      <c r="AS16" s="764"/>
      <c r="AT16" s="764"/>
      <c r="AU16" s="764"/>
      <c r="AV16" s="764"/>
      <c r="AW16" s="764"/>
      <c r="AX16" s="764"/>
      <c r="AY16" s="764"/>
      <c r="AZ16" s="764"/>
      <c r="BA16" s="764"/>
      <c r="BB16" s="764"/>
      <c r="BC16" s="764" t="s">
        <v>3607</v>
      </c>
      <c r="BD16" s="764"/>
      <c r="BE16" s="764"/>
      <c r="BF16" s="764"/>
      <c r="BG16" s="764"/>
      <c r="BH16" s="764"/>
      <c r="BI16" s="764"/>
      <c r="BJ16" s="764"/>
      <c r="BK16" s="764"/>
      <c r="BL16" s="764"/>
      <c r="BM16" s="764"/>
      <c r="BN16" s="764"/>
      <c r="BO16" s="764"/>
      <c r="BP16" s="764"/>
      <c r="BQ16" s="764"/>
      <c r="BR16" s="764"/>
      <c r="BS16" s="764"/>
      <c r="BT16" s="764"/>
      <c r="BU16" s="764"/>
      <c r="BV16" s="764"/>
      <c r="BW16" s="764"/>
      <c r="BX16" s="764"/>
      <c r="BY16" s="764"/>
      <c r="BZ16" s="764"/>
    </row>
    <row r="17" spans="1:78" ht="24.95" customHeight="1">
      <c r="A17" s="1165"/>
      <c r="B17" s="767" t="s">
        <v>3648</v>
      </c>
      <c r="C17" s="765" t="s">
        <v>38</v>
      </c>
      <c r="D17" s="765"/>
      <c r="E17" s="764" t="s">
        <v>3649</v>
      </c>
      <c r="F17" s="764"/>
      <c r="G17" s="764"/>
      <c r="H17" s="764"/>
      <c r="I17" s="764"/>
      <c r="J17" s="764"/>
      <c r="K17" s="764"/>
      <c r="L17" s="764"/>
      <c r="M17" s="764"/>
      <c r="N17" s="764"/>
      <c r="O17" s="764"/>
      <c r="P17" s="764"/>
      <c r="Q17" s="764"/>
      <c r="R17" s="764"/>
      <c r="S17" s="764"/>
      <c r="T17" s="764"/>
      <c r="U17" s="764"/>
      <c r="V17" s="764"/>
      <c r="W17" s="764"/>
      <c r="X17" s="764"/>
      <c r="Y17" s="1138"/>
      <c r="Z17" s="764"/>
      <c r="AA17" s="764"/>
      <c r="AB17" s="764"/>
      <c r="AC17" s="764"/>
      <c r="AD17" s="764"/>
      <c r="AE17" s="764"/>
      <c r="AF17" s="764"/>
      <c r="AG17" s="764"/>
      <c r="AH17" s="764"/>
      <c r="AI17" s="764"/>
      <c r="AJ17" s="764"/>
      <c r="AK17" s="764"/>
      <c r="AL17" s="764"/>
      <c r="AM17" s="764"/>
      <c r="AN17" s="764"/>
      <c r="AO17" s="764"/>
      <c r="AP17" s="764"/>
      <c r="AQ17" s="764"/>
      <c r="AR17" s="764"/>
      <c r="AS17" s="764"/>
      <c r="AT17" s="764"/>
      <c r="AU17" s="764"/>
      <c r="AV17" s="764"/>
      <c r="AW17" s="764"/>
      <c r="AX17" s="764"/>
      <c r="AY17" s="764"/>
      <c r="AZ17" s="764"/>
      <c r="BA17" s="764"/>
      <c r="BB17" s="764"/>
      <c r="BC17" s="764"/>
      <c r="BD17" s="764"/>
      <c r="BE17" s="764"/>
      <c r="BF17" s="764" t="s">
        <v>3650</v>
      </c>
      <c r="BG17" s="764"/>
      <c r="BH17" s="764"/>
      <c r="BI17" s="764"/>
      <c r="BJ17" s="764"/>
      <c r="BK17" s="764"/>
      <c r="BL17" s="764"/>
      <c r="BM17" s="764"/>
      <c r="BN17" s="764"/>
      <c r="BO17" s="764"/>
      <c r="BP17" s="764"/>
      <c r="BQ17" s="764"/>
      <c r="BR17" s="764"/>
      <c r="BS17" s="764"/>
      <c r="BT17" s="764"/>
      <c r="BU17" s="764"/>
      <c r="BV17" s="764"/>
      <c r="BW17" s="764"/>
      <c r="BX17" s="764"/>
      <c r="BY17" s="764"/>
      <c r="BZ17" s="764"/>
    </row>
    <row r="18" spans="1:78" ht="24.95" customHeight="1">
      <c r="A18" s="1165"/>
      <c r="B18" s="767" t="s">
        <v>3651</v>
      </c>
      <c r="C18" s="765" t="s">
        <v>38</v>
      </c>
      <c r="D18" s="765"/>
      <c r="E18" s="764"/>
      <c r="F18" s="764"/>
      <c r="G18" s="764"/>
      <c r="H18" s="764"/>
      <c r="I18" s="764"/>
      <c r="J18" s="764"/>
      <c r="K18" s="764"/>
      <c r="L18" s="764"/>
      <c r="M18" s="764"/>
      <c r="N18" s="764"/>
      <c r="O18" s="764"/>
      <c r="P18" s="764"/>
      <c r="Q18" s="764"/>
      <c r="R18" s="764"/>
      <c r="S18" s="764"/>
      <c r="T18" s="764"/>
      <c r="U18" s="764"/>
      <c r="V18" s="764"/>
      <c r="W18" s="764"/>
      <c r="X18" s="764"/>
      <c r="Y18" s="1138"/>
      <c r="Z18" s="764"/>
      <c r="AA18" s="764"/>
      <c r="AB18" s="764"/>
      <c r="AC18" s="764"/>
      <c r="AD18" s="764"/>
      <c r="AE18" s="764"/>
      <c r="AF18" s="764"/>
      <c r="AG18" s="764"/>
      <c r="AH18" s="764"/>
      <c r="AI18" s="764"/>
      <c r="AJ18" s="764"/>
      <c r="AK18" s="764"/>
      <c r="AL18" s="764"/>
      <c r="AM18" s="764"/>
      <c r="AN18" s="764"/>
      <c r="AO18" s="764"/>
      <c r="AP18" s="764"/>
      <c r="AQ18" s="764"/>
      <c r="AR18" s="764"/>
      <c r="AS18" s="764"/>
      <c r="AT18" s="764"/>
      <c r="AU18" s="764"/>
      <c r="AV18" s="764"/>
      <c r="AW18" s="764"/>
      <c r="AX18" s="764"/>
      <c r="AY18" s="764"/>
      <c r="AZ18" s="764"/>
      <c r="BA18" s="764"/>
      <c r="BB18" s="764"/>
      <c r="BC18" s="764"/>
      <c r="BD18" s="764"/>
      <c r="BE18" s="764"/>
      <c r="BF18" s="764"/>
      <c r="BG18" s="764"/>
      <c r="BH18" s="764"/>
      <c r="BI18" s="764"/>
      <c r="BJ18" s="764"/>
      <c r="BK18" s="764"/>
      <c r="BL18" s="764"/>
      <c r="BM18" s="764"/>
      <c r="BN18" s="764"/>
      <c r="BO18" s="764"/>
      <c r="BP18" s="764"/>
      <c r="BQ18" s="764"/>
      <c r="BR18" s="764"/>
      <c r="BS18" s="764"/>
      <c r="BT18" s="764"/>
      <c r="BU18" s="764"/>
      <c r="BV18" s="764"/>
      <c r="BW18" s="764"/>
      <c r="BX18" s="764"/>
      <c r="BY18" s="764"/>
      <c r="BZ18" s="764"/>
    </row>
    <row r="19" spans="1:78" ht="24.95" customHeight="1">
      <c r="A19" s="1165"/>
      <c r="B19" s="767" t="s">
        <v>3652</v>
      </c>
      <c r="C19" s="765" t="s">
        <v>3395</v>
      </c>
      <c r="D19" s="765"/>
      <c r="E19" s="764" t="s">
        <v>3649</v>
      </c>
      <c r="F19" s="764"/>
      <c r="G19" s="764"/>
      <c r="H19" s="764"/>
      <c r="I19" s="764"/>
      <c r="J19" s="764"/>
      <c r="K19" s="764"/>
      <c r="L19" s="764"/>
      <c r="M19" s="764"/>
      <c r="N19" s="764"/>
      <c r="O19" s="764"/>
      <c r="P19" s="764"/>
      <c r="Q19" s="764"/>
      <c r="R19" s="764"/>
      <c r="S19" s="764"/>
      <c r="T19" s="764"/>
      <c r="U19" s="764"/>
      <c r="V19" s="764"/>
      <c r="W19" s="764"/>
      <c r="X19" s="764"/>
      <c r="Y19" s="1138"/>
      <c r="Z19" s="764"/>
      <c r="AA19" s="764"/>
      <c r="AB19" s="764"/>
      <c r="AC19" s="764"/>
      <c r="AD19" s="764"/>
      <c r="AE19" s="764"/>
      <c r="AF19" s="764"/>
      <c r="AG19" s="764"/>
      <c r="AH19" s="764"/>
      <c r="AI19" s="764"/>
      <c r="AJ19" s="764"/>
      <c r="AK19" s="764"/>
      <c r="AL19" s="764"/>
      <c r="AM19" s="764"/>
      <c r="AN19" s="1138" t="s">
        <v>3650</v>
      </c>
      <c r="AO19" s="764"/>
      <c r="AP19" s="764"/>
      <c r="AQ19" s="764"/>
      <c r="AR19" s="764"/>
      <c r="AS19" s="764" t="s">
        <v>3653</v>
      </c>
      <c r="AT19" s="764"/>
      <c r="AU19" s="764"/>
      <c r="AV19" s="764"/>
      <c r="AW19" s="764"/>
      <c r="AX19" s="764"/>
      <c r="AY19" s="764"/>
      <c r="AZ19" s="764"/>
      <c r="BA19" s="764"/>
      <c r="BB19" s="764"/>
      <c r="BC19" s="764"/>
      <c r="BD19" s="764"/>
      <c r="BE19" s="764"/>
      <c r="BF19" s="764"/>
      <c r="BG19" s="764"/>
      <c r="BH19" s="764"/>
      <c r="BI19" s="764"/>
      <c r="BJ19" s="764"/>
      <c r="BK19" s="764"/>
      <c r="BL19" s="764"/>
      <c r="BM19" s="764"/>
      <c r="BN19" s="764"/>
      <c r="BO19" s="764"/>
      <c r="BP19" s="764"/>
      <c r="BQ19" s="764"/>
      <c r="BR19" s="764"/>
      <c r="BS19" s="764"/>
      <c r="BT19" s="764"/>
      <c r="BU19" s="764"/>
      <c r="BV19" s="764"/>
      <c r="BW19" s="764"/>
      <c r="BX19" s="764"/>
      <c r="BY19" s="764"/>
      <c r="BZ19" s="764"/>
    </row>
    <row r="20" spans="1:78" ht="24.95" customHeight="1">
      <c r="A20" s="1165"/>
      <c r="B20" s="767" t="s">
        <v>3654</v>
      </c>
      <c r="C20" s="765" t="s">
        <v>38</v>
      </c>
      <c r="D20" s="765"/>
      <c r="E20" s="764"/>
      <c r="F20" s="764"/>
      <c r="G20" s="764"/>
      <c r="H20" s="764"/>
      <c r="I20" s="764"/>
      <c r="J20" s="764"/>
      <c r="K20" s="764"/>
      <c r="L20" s="764"/>
      <c r="M20" s="764"/>
      <c r="N20" s="764"/>
      <c r="O20" s="764"/>
      <c r="P20" s="764"/>
      <c r="Q20" s="764"/>
      <c r="R20" s="764"/>
      <c r="S20" s="764"/>
      <c r="T20" s="764"/>
      <c r="U20" s="764"/>
      <c r="V20" s="764"/>
      <c r="W20" s="764"/>
      <c r="X20" s="764"/>
      <c r="Y20" s="764"/>
      <c r="Z20" s="764"/>
      <c r="AA20" s="764"/>
      <c r="AB20" s="764"/>
      <c r="AC20" s="764"/>
      <c r="AD20" s="764"/>
      <c r="AE20" s="764"/>
      <c r="AF20" s="764"/>
      <c r="AG20" s="764"/>
      <c r="AH20" s="764"/>
      <c r="AI20" s="764"/>
      <c r="AJ20" s="764"/>
      <c r="AK20" s="764"/>
      <c r="AL20" s="764"/>
      <c r="AM20" s="764"/>
      <c r="AN20" s="1138"/>
      <c r="AO20" s="764"/>
      <c r="AP20" s="764"/>
      <c r="AQ20" s="764"/>
      <c r="AR20" s="764"/>
      <c r="AS20" s="764"/>
      <c r="AT20" s="764"/>
      <c r="AU20" s="764"/>
      <c r="AV20" s="764"/>
      <c r="AW20" s="764"/>
      <c r="AX20" s="764"/>
      <c r="AY20" s="764"/>
      <c r="AZ20" s="764"/>
      <c r="BA20" s="764"/>
      <c r="BB20" s="764"/>
      <c r="BC20" s="764"/>
      <c r="BD20" s="764"/>
      <c r="BE20" s="764"/>
      <c r="BF20" s="764"/>
      <c r="BG20" s="764"/>
      <c r="BH20" s="764"/>
      <c r="BI20" s="764"/>
      <c r="BJ20" s="764"/>
      <c r="BK20" s="764"/>
      <c r="BL20" s="764"/>
      <c r="BM20" s="764"/>
      <c r="BN20" s="764"/>
      <c r="BO20" s="764"/>
      <c r="BP20" s="764"/>
      <c r="BQ20" s="764"/>
      <c r="BR20" s="764"/>
      <c r="BS20" s="764"/>
      <c r="BT20" s="764"/>
      <c r="BU20" s="764"/>
      <c r="BV20" s="764"/>
      <c r="BW20" s="764"/>
      <c r="BX20" s="764"/>
      <c r="BY20" s="764"/>
      <c r="BZ20" s="764"/>
    </row>
    <row r="21" spans="1:78" ht="24.95" customHeight="1">
      <c r="A21" s="1165"/>
      <c r="B21" s="767" t="s">
        <v>3655</v>
      </c>
      <c r="C21" s="765" t="s">
        <v>3395</v>
      </c>
      <c r="D21" s="765"/>
      <c r="E21" s="764" t="s">
        <v>3649</v>
      </c>
      <c r="F21" s="764"/>
      <c r="G21" s="764"/>
      <c r="H21" s="764"/>
      <c r="I21" s="764"/>
      <c r="J21" s="764"/>
      <c r="K21" s="764"/>
      <c r="L21" s="764"/>
      <c r="M21" s="764"/>
      <c r="N21" s="764"/>
      <c r="O21" s="764"/>
      <c r="P21" s="764"/>
      <c r="Q21" s="764"/>
      <c r="R21" s="764"/>
      <c r="S21" s="764"/>
      <c r="T21" s="764"/>
      <c r="U21" s="764"/>
      <c r="V21" s="764"/>
      <c r="W21" s="764"/>
      <c r="X21" s="764"/>
      <c r="Y21" s="764"/>
      <c r="Z21" s="764"/>
      <c r="AA21" s="764"/>
      <c r="AB21" s="764"/>
      <c r="AC21" s="764"/>
      <c r="AD21" s="764"/>
      <c r="AE21" s="764"/>
      <c r="AF21" s="764"/>
      <c r="AG21" s="764"/>
      <c r="AH21" s="764"/>
      <c r="AI21" s="764"/>
      <c r="AJ21" s="764"/>
      <c r="AK21" s="764"/>
      <c r="AL21" s="764"/>
      <c r="AM21" s="764"/>
      <c r="AN21" s="1138"/>
      <c r="AO21" s="764"/>
      <c r="AP21" s="764"/>
      <c r="AQ21" s="764"/>
      <c r="AR21" s="764"/>
      <c r="AS21" s="764" t="s">
        <v>3653</v>
      </c>
      <c r="AT21" s="764"/>
      <c r="AU21" s="764"/>
      <c r="AV21" s="764"/>
      <c r="AW21" s="764"/>
      <c r="AX21" s="764"/>
      <c r="AY21" s="764"/>
      <c r="AZ21" s="764"/>
      <c r="BA21" s="764"/>
      <c r="BB21" s="764"/>
      <c r="BC21" s="764"/>
      <c r="BD21" s="764"/>
      <c r="BE21" s="764"/>
      <c r="BF21" s="764"/>
      <c r="BG21" s="764"/>
      <c r="BH21" s="764"/>
      <c r="BI21" s="764"/>
      <c r="BJ21" s="764"/>
      <c r="BK21" s="764"/>
      <c r="BL21" s="764"/>
      <c r="BM21" s="764"/>
      <c r="BN21" s="764"/>
      <c r="BO21" s="764"/>
      <c r="BP21" s="764"/>
      <c r="BQ21" s="764"/>
      <c r="BR21" s="764"/>
      <c r="BS21" s="764"/>
      <c r="BT21" s="764"/>
      <c r="BU21" s="764"/>
      <c r="BV21" s="764"/>
      <c r="BW21" s="764"/>
      <c r="BX21" s="764"/>
      <c r="BY21" s="764"/>
      <c r="BZ21" s="764"/>
    </row>
    <row r="22" spans="1:78" ht="24.95" customHeight="1">
      <c r="A22" s="1165"/>
      <c r="B22" s="767" t="s">
        <v>3656</v>
      </c>
      <c r="C22" s="765" t="s">
        <v>38</v>
      </c>
      <c r="D22" s="765"/>
      <c r="E22" s="764"/>
      <c r="F22" s="764"/>
      <c r="G22" s="764"/>
      <c r="H22" s="764"/>
      <c r="I22" s="764"/>
      <c r="J22" s="764"/>
      <c r="K22" s="764"/>
      <c r="L22" s="764"/>
      <c r="M22" s="764"/>
      <c r="N22" s="764"/>
      <c r="O22" s="764"/>
      <c r="P22" s="764"/>
      <c r="Q22" s="764"/>
      <c r="R22" s="764"/>
      <c r="S22" s="764"/>
      <c r="T22" s="764"/>
      <c r="U22" s="764"/>
      <c r="V22" s="764"/>
      <c r="W22" s="764"/>
      <c r="X22" s="764"/>
      <c r="Y22" s="764"/>
      <c r="Z22" s="764"/>
      <c r="AA22" s="764"/>
      <c r="AB22" s="764"/>
      <c r="AC22" s="764"/>
      <c r="AD22" s="764"/>
      <c r="AE22" s="764"/>
      <c r="AF22" s="764"/>
      <c r="AG22" s="764"/>
      <c r="AH22" s="764"/>
      <c r="AI22" s="764"/>
      <c r="AJ22" s="764"/>
      <c r="AK22" s="764"/>
      <c r="AL22" s="764"/>
      <c r="AM22" s="764"/>
      <c r="AN22" s="1138"/>
      <c r="AO22" s="764"/>
      <c r="AP22" s="764"/>
      <c r="AQ22" s="764"/>
      <c r="AR22" s="764"/>
      <c r="AS22" s="764"/>
      <c r="AT22" s="764"/>
      <c r="AU22" s="764"/>
      <c r="AV22" s="764"/>
      <c r="AW22" s="764"/>
      <c r="AX22" s="764"/>
      <c r="AY22" s="764"/>
      <c r="AZ22" s="764"/>
      <c r="BA22" s="764"/>
      <c r="BB22" s="764"/>
      <c r="BC22" s="764"/>
      <c r="BD22" s="764"/>
      <c r="BE22" s="764"/>
      <c r="BF22" s="764"/>
      <c r="BG22" s="764"/>
      <c r="BH22" s="764"/>
      <c r="BI22" s="764"/>
      <c r="BJ22" s="764"/>
      <c r="BK22" s="764"/>
      <c r="BL22" s="764"/>
      <c r="BM22" s="764"/>
      <c r="BN22" s="764"/>
      <c r="BO22" s="764"/>
      <c r="BP22" s="764"/>
      <c r="BQ22" s="764"/>
      <c r="BR22" s="764"/>
      <c r="BS22" s="764"/>
      <c r="BT22" s="764"/>
      <c r="BU22" s="764"/>
      <c r="BV22" s="764"/>
      <c r="BW22" s="764"/>
      <c r="BX22" s="764"/>
      <c r="BY22" s="764"/>
      <c r="BZ22" s="764"/>
    </row>
    <row r="23" spans="1:78" ht="24.95" customHeight="1">
      <c r="A23" s="1165"/>
      <c r="B23" s="767" t="s">
        <v>3657</v>
      </c>
      <c r="C23" s="765" t="s">
        <v>3395</v>
      </c>
      <c r="D23" s="765"/>
      <c r="E23" s="764" t="s">
        <v>3606</v>
      </c>
      <c r="F23" s="764"/>
      <c r="G23" s="764"/>
      <c r="H23" s="764"/>
      <c r="I23" s="764"/>
      <c r="J23" s="764"/>
      <c r="K23" s="764"/>
      <c r="L23" s="764"/>
      <c r="M23" s="764"/>
      <c r="N23" s="764"/>
      <c r="O23" s="764"/>
      <c r="P23" s="764"/>
      <c r="Q23" s="764"/>
      <c r="R23" s="764"/>
      <c r="S23" s="764"/>
      <c r="T23" s="764"/>
      <c r="U23" s="764"/>
      <c r="V23" s="764"/>
      <c r="W23" s="764"/>
      <c r="X23" s="764"/>
      <c r="Y23" s="764"/>
      <c r="Z23" s="764"/>
      <c r="AA23" s="764"/>
      <c r="AB23" s="764"/>
      <c r="AC23" s="764"/>
      <c r="AD23" s="764"/>
      <c r="AE23" s="764"/>
      <c r="AF23" s="764"/>
      <c r="AG23" s="764"/>
      <c r="AH23" s="764"/>
      <c r="AI23" s="764"/>
      <c r="AJ23" s="764"/>
      <c r="AK23" s="764"/>
      <c r="AL23" s="764"/>
      <c r="AM23" s="764"/>
      <c r="AN23" s="1138"/>
      <c r="AO23" s="764"/>
      <c r="AP23" s="764"/>
      <c r="AQ23" s="764"/>
      <c r="AR23" s="764"/>
      <c r="AS23" s="764"/>
      <c r="AT23" s="764" t="s">
        <v>3650</v>
      </c>
      <c r="AU23" s="764"/>
      <c r="AV23" s="764"/>
      <c r="AW23" s="764"/>
      <c r="AX23" s="764"/>
      <c r="AY23" s="764"/>
      <c r="AZ23" s="764"/>
      <c r="BA23" s="764" t="s">
        <v>3650</v>
      </c>
      <c r="BB23" s="764"/>
      <c r="BC23" s="764"/>
      <c r="BD23" s="764"/>
      <c r="BE23" s="764"/>
      <c r="BF23" s="764"/>
      <c r="BG23" s="764"/>
      <c r="BH23" s="764"/>
      <c r="BI23" s="764"/>
      <c r="BJ23" s="764"/>
      <c r="BK23" s="764"/>
      <c r="BL23" s="764"/>
      <c r="BM23" s="764"/>
      <c r="BN23" s="764"/>
      <c r="BO23" s="764"/>
      <c r="BP23" s="764"/>
      <c r="BQ23" s="764"/>
      <c r="BR23" s="764"/>
      <c r="BS23" s="764"/>
      <c r="BT23" s="764"/>
      <c r="BU23" s="764"/>
      <c r="BV23" s="764"/>
      <c r="BW23" s="764"/>
      <c r="BX23" s="764"/>
      <c r="BY23" s="764"/>
      <c r="BZ23" s="764"/>
    </row>
    <row r="24" spans="1:78" ht="24.95" customHeight="1">
      <c r="A24" s="1163" t="s">
        <v>51</v>
      </c>
      <c r="B24" s="767" t="s">
        <v>3658</v>
      </c>
      <c r="C24" s="765" t="s">
        <v>1082</v>
      </c>
      <c r="D24" s="765"/>
      <c r="E24" s="764"/>
      <c r="F24" s="764"/>
      <c r="G24" s="764"/>
      <c r="H24" s="764"/>
      <c r="I24" s="764"/>
      <c r="J24" s="764"/>
      <c r="K24" s="764"/>
      <c r="L24" s="764"/>
      <c r="M24" s="764"/>
      <c r="N24" s="764"/>
      <c r="O24" s="764"/>
      <c r="P24" s="764"/>
      <c r="Q24" s="764"/>
      <c r="R24" s="764"/>
      <c r="S24" s="764"/>
      <c r="T24" s="764"/>
      <c r="U24" s="764"/>
      <c r="V24" s="764"/>
      <c r="W24" s="764" t="s">
        <v>3604</v>
      </c>
      <c r="X24" s="764"/>
      <c r="Y24" s="764"/>
      <c r="Z24" s="764"/>
      <c r="AA24" s="764"/>
      <c r="AB24" s="764"/>
      <c r="AC24" s="764"/>
      <c r="AD24" s="764"/>
      <c r="AE24" s="764"/>
      <c r="AF24" s="764"/>
      <c r="AG24" s="764"/>
      <c r="AH24" s="764" t="s">
        <v>3604</v>
      </c>
      <c r="AI24" s="764"/>
      <c r="AJ24" s="764"/>
      <c r="AK24" s="764"/>
      <c r="AL24" s="764"/>
      <c r="AM24" s="764"/>
      <c r="AN24" s="764"/>
      <c r="AO24" s="764"/>
      <c r="AP24" s="764"/>
      <c r="AQ24" s="764"/>
      <c r="AR24" s="764"/>
      <c r="AS24" s="764"/>
      <c r="AT24" s="764"/>
      <c r="AU24" s="764"/>
      <c r="AV24" s="764"/>
      <c r="AW24" s="764" t="s">
        <v>3659</v>
      </c>
      <c r="AX24" s="764"/>
      <c r="AY24" s="764"/>
      <c r="AZ24" s="764"/>
      <c r="BA24" s="764"/>
      <c r="BB24" s="764"/>
      <c r="BC24" s="764"/>
      <c r="BD24" s="764"/>
      <c r="BE24" s="764"/>
      <c r="BF24" s="764"/>
      <c r="BG24" s="764"/>
      <c r="BH24" s="764"/>
      <c r="BI24" s="764"/>
      <c r="BJ24" s="764"/>
      <c r="BK24" s="764"/>
      <c r="BL24" s="764"/>
      <c r="BM24" s="764"/>
      <c r="BN24" s="764"/>
      <c r="BO24" s="764"/>
      <c r="BP24" s="764"/>
      <c r="BQ24" s="764"/>
      <c r="BR24" s="764"/>
      <c r="BS24" s="764"/>
      <c r="BT24" s="764"/>
      <c r="BU24" s="764"/>
      <c r="BV24" s="764"/>
      <c r="BW24" s="764"/>
      <c r="BX24" s="764"/>
      <c r="BY24" s="764"/>
      <c r="BZ24" s="764"/>
    </row>
    <row r="25" spans="1:78" ht="24.95" customHeight="1">
      <c r="A25" s="1163"/>
      <c r="B25" s="767" t="s">
        <v>3660</v>
      </c>
      <c r="C25" s="765" t="s">
        <v>1082</v>
      </c>
      <c r="D25" s="765"/>
      <c r="E25" s="764" t="s">
        <v>3649</v>
      </c>
      <c r="F25" s="764"/>
      <c r="G25" s="764"/>
      <c r="H25" s="764"/>
      <c r="I25" s="764"/>
      <c r="J25" s="764"/>
      <c r="K25" s="764"/>
      <c r="L25" s="764"/>
      <c r="M25" s="764"/>
      <c r="N25" s="764"/>
      <c r="O25" s="764"/>
      <c r="P25" s="764"/>
      <c r="Q25" s="764"/>
      <c r="R25" s="764"/>
      <c r="S25" s="764"/>
      <c r="T25" s="764"/>
      <c r="U25" s="764"/>
      <c r="V25" s="764"/>
      <c r="W25" s="764"/>
      <c r="X25" s="764"/>
      <c r="Y25" s="764"/>
      <c r="Z25" s="764"/>
      <c r="AA25" s="764"/>
      <c r="AB25" s="764"/>
      <c r="AC25" s="764"/>
      <c r="AD25" s="764"/>
      <c r="AE25" s="764"/>
      <c r="AF25" s="764"/>
      <c r="AG25" s="764"/>
      <c r="AH25" s="764"/>
      <c r="AI25" s="764"/>
      <c r="AJ25" s="764"/>
      <c r="AK25" s="764"/>
      <c r="AL25" s="764"/>
      <c r="AM25" s="764"/>
      <c r="AN25" s="764"/>
      <c r="AO25" s="764" t="s">
        <v>3661</v>
      </c>
      <c r="AP25" s="764"/>
      <c r="AQ25" s="764"/>
      <c r="AR25" s="764"/>
      <c r="AS25" s="764"/>
      <c r="AT25" s="764"/>
      <c r="AU25" s="764"/>
      <c r="AV25" s="764"/>
      <c r="AW25" s="764"/>
      <c r="AX25" s="764"/>
      <c r="AY25" s="764"/>
      <c r="AZ25" s="764" t="s">
        <v>3662</v>
      </c>
      <c r="BA25" s="764" t="s">
        <v>3663</v>
      </c>
      <c r="BB25" s="764"/>
      <c r="BC25" s="764"/>
      <c r="BD25" s="764"/>
      <c r="BE25" s="764"/>
      <c r="BF25" s="764" t="s">
        <v>3606</v>
      </c>
      <c r="BG25" s="764"/>
      <c r="BH25" s="764"/>
      <c r="BI25" s="764"/>
      <c r="BJ25" s="764"/>
      <c r="BK25" s="764"/>
      <c r="BL25" s="764"/>
      <c r="BM25" s="764"/>
      <c r="BN25" s="764"/>
      <c r="BO25" s="764"/>
      <c r="BP25" s="764"/>
      <c r="BQ25" s="764"/>
      <c r="BR25" s="764"/>
      <c r="BS25" s="764"/>
      <c r="BT25" s="764"/>
      <c r="BU25" s="764"/>
      <c r="BV25" s="764"/>
      <c r="BW25" s="764"/>
      <c r="BX25" s="764"/>
      <c r="BY25" s="764"/>
      <c r="BZ25" s="764"/>
    </row>
    <row r="26" spans="1:78" ht="24.95" customHeight="1">
      <c r="A26" s="1163" t="s">
        <v>3664</v>
      </c>
      <c r="B26" s="767" t="s">
        <v>3665</v>
      </c>
      <c r="C26" s="765" t="s">
        <v>1082</v>
      </c>
      <c r="D26" s="765"/>
      <c r="E26" s="766"/>
      <c r="F26" s="764"/>
      <c r="G26" s="764"/>
      <c r="H26" s="764"/>
      <c r="I26" s="764"/>
      <c r="J26" s="764"/>
      <c r="K26" s="764"/>
      <c r="L26" s="764"/>
      <c r="M26" s="764"/>
      <c r="N26" s="764"/>
      <c r="O26" s="764"/>
      <c r="P26" s="764"/>
      <c r="Q26" s="764"/>
      <c r="R26" s="764"/>
      <c r="S26" s="764"/>
      <c r="T26" s="764"/>
      <c r="U26" s="764"/>
      <c r="V26" s="764"/>
      <c r="W26" s="764"/>
      <c r="X26" s="764"/>
      <c r="Y26" s="764"/>
      <c r="Z26" s="764"/>
      <c r="AA26" s="764"/>
      <c r="AB26" s="764"/>
      <c r="AC26" s="764"/>
      <c r="AD26" s="764"/>
      <c r="AE26" s="764"/>
      <c r="AF26" s="764"/>
      <c r="AG26" s="764"/>
      <c r="AH26" s="764"/>
      <c r="AI26" s="764"/>
      <c r="AJ26" s="764"/>
      <c r="AK26" s="764"/>
      <c r="AL26" s="764"/>
      <c r="AM26" s="764"/>
      <c r="AN26" s="764"/>
      <c r="AO26" s="764"/>
      <c r="AP26" s="764"/>
      <c r="AQ26" s="764"/>
      <c r="AR26" s="764"/>
      <c r="AS26" s="764"/>
      <c r="AT26" s="764"/>
      <c r="AU26" s="764"/>
      <c r="AV26" s="764"/>
      <c r="AW26" s="764"/>
      <c r="AX26" s="764"/>
      <c r="AY26" s="764"/>
      <c r="AZ26" s="764"/>
      <c r="BA26" s="764"/>
      <c r="BB26" s="764"/>
      <c r="BC26" s="764"/>
      <c r="BD26" s="764"/>
      <c r="BE26" s="764"/>
      <c r="BF26" s="764"/>
      <c r="BG26" s="764"/>
      <c r="BH26" s="764"/>
      <c r="BI26" s="764"/>
      <c r="BJ26" s="764"/>
      <c r="BK26" s="764"/>
      <c r="BL26" s="764"/>
      <c r="BM26" s="764"/>
      <c r="BN26" s="764"/>
      <c r="BO26" s="764"/>
      <c r="BP26" s="764"/>
      <c r="BQ26" s="764"/>
      <c r="BR26" s="764"/>
      <c r="BS26" s="764"/>
      <c r="BT26" s="764"/>
      <c r="BU26" s="764"/>
      <c r="BV26" s="764"/>
      <c r="BW26" s="764"/>
      <c r="BX26" s="764"/>
      <c r="BY26" s="764"/>
      <c r="BZ26" s="764"/>
    </row>
    <row r="27" spans="1:78" ht="24.95" customHeight="1">
      <c r="A27" s="1163"/>
      <c r="B27" s="767" t="s">
        <v>3666</v>
      </c>
      <c r="C27" s="765" t="s">
        <v>3395</v>
      </c>
      <c r="D27" s="765"/>
      <c r="E27" s="764" t="s">
        <v>3667</v>
      </c>
      <c r="F27" s="764"/>
      <c r="G27" s="764"/>
      <c r="H27" s="764"/>
      <c r="I27" s="764"/>
      <c r="J27" s="764"/>
      <c r="K27" s="764"/>
      <c r="L27" s="764"/>
      <c r="M27" s="766" t="s">
        <v>3668</v>
      </c>
      <c r="N27" s="764"/>
      <c r="O27" s="764"/>
      <c r="P27" s="764"/>
      <c r="Q27" s="764"/>
      <c r="R27" s="764"/>
      <c r="S27" s="764"/>
      <c r="T27" s="764"/>
      <c r="U27" s="764"/>
      <c r="V27" s="764"/>
      <c r="W27" s="764"/>
      <c r="X27" s="764"/>
      <c r="Y27" s="764"/>
      <c r="Z27" s="764" t="s">
        <v>3669</v>
      </c>
      <c r="AA27" s="764"/>
      <c r="AB27" s="764" t="s">
        <v>3670</v>
      </c>
      <c r="AC27" s="764"/>
      <c r="AD27" s="764"/>
      <c r="AE27" s="764"/>
      <c r="AF27" s="764"/>
      <c r="AG27" s="764" t="s">
        <v>3671</v>
      </c>
      <c r="AH27" s="764"/>
      <c r="AI27" s="764"/>
      <c r="AJ27" s="764"/>
      <c r="AK27" s="764"/>
      <c r="AL27" s="764"/>
      <c r="AM27" s="764"/>
      <c r="AN27" s="764"/>
      <c r="AO27" s="766" t="s">
        <v>3672</v>
      </c>
      <c r="AP27" s="764"/>
      <c r="AQ27" s="764"/>
      <c r="AR27" s="764"/>
      <c r="AS27" s="764"/>
      <c r="AT27" s="764"/>
      <c r="AU27" s="764"/>
      <c r="AV27" s="764"/>
      <c r="AW27" s="764"/>
      <c r="AX27" s="764"/>
      <c r="AY27" s="764"/>
      <c r="AZ27" s="764"/>
      <c r="BA27" s="764"/>
      <c r="BB27" s="764"/>
      <c r="BC27" s="764"/>
      <c r="BD27" s="764"/>
      <c r="BE27" s="764"/>
      <c r="BF27" s="764"/>
      <c r="BG27" s="764"/>
      <c r="BH27" s="764"/>
      <c r="BI27" s="764"/>
      <c r="BJ27" s="764"/>
      <c r="BK27" s="764"/>
      <c r="BL27" s="764"/>
      <c r="BM27" s="764"/>
      <c r="BN27" s="764"/>
      <c r="BO27" s="764"/>
      <c r="BP27" s="764"/>
      <c r="BQ27" s="764"/>
      <c r="BR27" s="764"/>
      <c r="BS27" s="764"/>
      <c r="BT27" s="764"/>
      <c r="BU27" s="764"/>
      <c r="BV27" s="764"/>
      <c r="BW27" s="764"/>
      <c r="BX27" s="764"/>
      <c r="BY27" s="764"/>
      <c r="BZ27" s="764"/>
    </row>
    <row r="28" spans="1:78" ht="24.95" customHeight="1">
      <c r="A28" s="1163" t="s">
        <v>3673</v>
      </c>
      <c r="B28" s="767" t="s">
        <v>3674</v>
      </c>
      <c r="C28" s="765" t="s">
        <v>3675</v>
      </c>
      <c r="D28" s="765"/>
      <c r="E28" s="764"/>
      <c r="F28" s="764"/>
      <c r="G28" s="764"/>
      <c r="H28" s="764"/>
      <c r="I28" s="764"/>
      <c r="J28" s="764"/>
      <c r="K28" s="764"/>
      <c r="L28" s="764"/>
      <c r="M28" s="764"/>
      <c r="N28" s="764"/>
      <c r="O28" s="764"/>
      <c r="P28" s="764"/>
      <c r="Q28" s="764"/>
      <c r="R28" s="764"/>
      <c r="S28" s="764"/>
      <c r="T28" s="764"/>
      <c r="U28" s="764"/>
      <c r="V28" s="764"/>
      <c r="W28" s="764"/>
      <c r="X28" s="764"/>
      <c r="Y28" s="764"/>
      <c r="Z28" s="764"/>
      <c r="AA28" s="764"/>
      <c r="AB28" s="764"/>
      <c r="AC28" s="764"/>
      <c r="AD28" s="764"/>
      <c r="AE28" s="764"/>
      <c r="AF28" s="764"/>
      <c r="AG28" s="764"/>
      <c r="AH28" s="764"/>
      <c r="AI28" s="764"/>
      <c r="AJ28" s="764"/>
      <c r="AK28" s="764"/>
      <c r="AL28" s="764"/>
      <c r="AM28" s="764"/>
      <c r="AN28" s="764"/>
      <c r="AO28" s="764"/>
      <c r="AP28" s="764"/>
      <c r="AQ28" s="764"/>
      <c r="AR28" s="764"/>
      <c r="AS28" s="764"/>
      <c r="AT28" s="764"/>
      <c r="AU28" s="764"/>
      <c r="AV28" s="764"/>
      <c r="AW28" s="764" t="s">
        <v>3604</v>
      </c>
      <c r="AX28" s="764"/>
      <c r="AY28" s="764"/>
      <c r="AZ28" s="764"/>
      <c r="BA28" s="764" t="s">
        <v>3676</v>
      </c>
      <c r="BB28" s="764"/>
      <c r="BC28" s="764"/>
      <c r="BD28" s="764"/>
      <c r="BE28" s="764"/>
      <c r="BF28" s="764"/>
      <c r="BG28" s="764"/>
      <c r="BH28" s="764"/>
      <c r="BI28" s="764"/>
      <c r="BJ28" s="764"/>
      <c r="BK28" s="764"/>
      <c r="BL28" s="764"/>
      <c r="BM28" s="764"/>
      <c r="BN28" s="764"/>
      <c r="BO28" s="764"/>
      <c r="BP28" s="764"/>
      <c r="BQ28" s="764"/>
      <c r="BR28" s="764"/>
      <c r="BS28" s="764"/>
      <c r="BT28" s="764"/>
      <c r="BU28" s="764"/>
      <c r="BV28" s="764"/>
      <c r="BW28" s="764"/>
      <c r="BX28" s="764"/>
      <c r="BY28" s="764"/>
      <c r="BZ28" s="764"/>
    </row>
    <row r="29" spans="1:78" ht="24.95" customHeight="1">
      <c r="A29" s="1163"/>
      <c r="B29" s="767" t="s">
        <v>3677</v>
      </c>
      <c r="C29" s="765" t="s">
        <v>3395</v>
      </c>
      <c r="D29" s="765"/>
      <c r="E29" s="764" t="s">
        <v>3678</v>
      </c>
      <c r="F29" s="764"/>
      <c r="G29" s="764"/>
      <c r="H29" s="764"/>
      <c r="I29" s="764"/>
      <c r="J29" s="764"/>
      <c r="K29" s="764"/>
      <c r="L29" s="764"/>
      <c r="M29" s="764"/>
      <c r="N29" s="764"/>
      <c r="O29" s="764"/>
      <c r="P29" s="764"/>
      <c r="Q29" s="764"/>
      <c r="R29" s="764"/>
      <c r="S29" s="764"/>
      <c r="T29" s="764"/>
      <c r="U29" s="764"/>
      <c r="V29" s="764"/>
      <c r="W29" s="764"/>
      <c r="X29" s="764" t="s">
        <v>3679</v>
      </c>
      <c r="Y29" s="764"/>
      <c r="Z29" s="764"/>
      <c r="AA29" s="764"/>
      <c r="AB29" s="764"/>
      <c r="AC29" s="764"/>
      <c r="AD29" s="764" t="s">
        <v>3680</v>
      </c>
      <c r="AE29" s="764"/>
      <c r="AF29" s="764"/>
      <c r="AG29" s="764"/>
      <c r="AH29" s="764" t="s">
        <v>3681</v>
      </c>
      <c r="AI29" s="764"/>
      <c r="AJ29" s="764" t="s">
        <v>3682</v>
      </c>
      <c r="AK29" s="764"/>
      <c r="AL29" s="764"/>
      <c r="AM29" s="764" t="s">
        <v>3683</v>
      </c>
      <c r="AN29" s="764"/>
      <c r="AO29" s="766" t="s">
        <v>3684</v>
      </c>
      <c r="AP29" s="764"/>
      <c r="AQ29" s="764"/>
      <c r="AR29" s="764"/>
      <c r="AS29" s="764"/>
      <c r="AT29" s="764"/>
      <c r="AU29" s="764"/>
      <c r="AV29" s="764"/>
      <c r="AW29" s="764"/>
      <c r="AX29" s="764" t="s">
        <v>3685</v>
      </c>
      <c r="AY29" s="764"/>
      <c r="AZ29" s="764"/>
      <c r="BA29" s="764"/>
      <c r="BB29" s="764"/>
      <c r="BC29" s="764"/>
      <c r="BD29" s="764"/>
      <c r="BE29" s="764"/>
      <c r="BF29" s="764"/>
      <c r="BG29" s="764" t="s">
        <v>3686</v>
      </c>
      <c r="BH29" s="764"/>
      <c r="BI29" s="764"/>
      <c r="BJ29" s="764"/>
      <c r="BK29" s="764"/>
      <c r="BL29" s="764"/>
      <c r="BM29" s="764"/>
      <c r="BN29" s="764"/>
      <c r="BO29" s="764"/>
      <c r="BP29" s="764"/>
      <c r="BQ29" s="764"/>
      <c r="BR29" s="764"/>
      <c r="BS29" s="764"/>
      <c r="BT29" s="764"/>
      <c r="BU29" s="764"/>
      <c r="BV29" s="764"/>
      <c r="BW29" s="764"/>
      <c r="BX29" s="764"/>
      <c r="BY29" s="764"/>
      <c r="BZ29" s="764"/>
    </row>
    <row r="30" spans="1:78" ht="15.75">
      <c r="A30" s="1164" t="s">
        <v>304</v>
      </c>
      <c r="B30" s="1164"/>
      <c r="C30" s="1164"/>
      <c r="D30" s="1164"/>
      <c r="E30" s="1164"/>
      <c r="F30" s="40">
        <f>COUNTIF(F3:F29,"*Audit*")</f>
        <v>0</v>
      </c>
      <c r="G30" s="40">
        <v>1</v>
      </c>
      <c r="H30" s="40">
        <f>COUNTIF(H3:H29,"*Audit*")</f>
        <v>0</v>
      </c>
      <c r="I30" s="40">
        <f>COUNTIF(I3:I29,"*Audit*")</f>
        <v>0</v>
      </c>
      <c r="J30" s="40">
        <f>COUNTIF(J3:J29,"*Audit*")</f>
        <v>0</v>
      </c>
      <c r="K30" s="40">
        <f>COUNTIF(K3:K29,"*Audit*")</f>
        <v>0</v>
      </c>
      <c r="L30" s="40">
        <v>1</v>
      </c>
      <c r="M30" s="40">
        <v>1</v>
      </c>
      <c r="N30" s="40">
        <v>1</v>
      </c>
      <c r="O30" s="40">
        <f>COUNTIF(O3:O29,"*Audit*")</f>
        <v>0</v>
      </c>
      <c r="P30" s="40">
        <f>COUNTIF(P3:P29,"*Audit*")</f>
        <v>0</v>
      </c>
      <c r="Q30" s="40">
        <f>COUNTIF(Q3:Q29,"*Audit*")</f>
        <v>0</v>
      </c>
      <c r="R30" s="40">
        <f>COUNTIF(R3:R29,"*Audit*")</f>
        <v>0</v>
      </c>
      <c r="S30" s="40">
        <f>COUNTIF(S3:S29,"*Audit*")</f>
        <v>0</v>
      </c>
      <c r="T30" s="40">
        <v>1</v>
      </c>
      <c r="U30" s="40">
        <f>COUNTIF(U3:U29,"*Audit*")</f>
        <v>0</v>
      </c>
      <c r="V30" s="40">
        <v>2</v>
      </c>
      <c r="W30" s="40">
        <v>1</v>
      </c>
      <c r="X30" s="40">
        <v>5</v>
      </c>
      <c r="Y30" s="40">
        <v>2</v>
      </c>
      <c r="Z30" s="40">
        <v>1</v>
      </c>
      <c r="AA30" s="40">
        <v>2</v>
      </c>
      <c r="AB30" s="40">
        <v>3</v>
      </c>
      <c r="AC30" s="40">
        <f>COUNTIF(AC3:AC29,"*Audit*")</f>
        <v>0</v>
      </c>
      <c r="AD30" s="40">
        <f>COUNTIF(AD3:AD29,"*Audit*")</f>
        <v>1</v>
      </c>
      <c r="AE30" s="40">
        <f>COUNTIF(AE3:AE29,"*Audit*")</f>
        <v>0</v>
      </c>
      <c r="AF30" s="40">
        <f>COUNTIF(AF3:AF29,"*Audit*")</f>
        <v>0</v>
      </c>
      <c r="AG30" s="40">
        <v>2</v>
      </c>
      <c r="AH30" s="40">
        <v>2</v>
      </c>
      <c r="AI30" s="40">
        <v>2</v>
      </c>
      <c r="AJ30" s="40">
        <f>COUNTIF(AJ3:AJ29,"*Audit*")</f>
        <v>1</v>
      </c>
      <c r="AK30" s="40">
        <v>1</v>
      </c>
      <c r="AL30" s="40">
        <v>2</v>
      </c>
      <c r="AM30" s="40">
        <v>2</v>
      </c>
      <c r="AN30" s="40">
        <v>4</v>
      </c>
      <c r="AO30" s="40">
        <v>5</v>
      </c>
      <c r="AP30" s="40">
        <v>1</v>
      </c>
      <c r="AQ30" s="40">
        <v>1</v>
      </c>
      <c r="AR30" s="40">
        <f>COUNTIF(AR3:AR29,"*Audit*")</f>
        <v>1</v>
      </c>
      <c r="AS30" s="40">
        <v>3</v>
      </c>
      <c r="AT30" s="40">
        <v>2</v>
      </c>
      <c r="AU30" s="40">
        <v>1</v>
      </c>
      <c r="AV30" s="40">
        <v>2</v>
      </c>
      <c r="AW30" s="40">
        <v>2</v>
      </c>
      <c r="AX30" s="40">
        <v>3</v>
      </c>
      <c r="AY30" s="40">
        <v>2</v>
      </c>
      <c r="AZ30" s="40">
        <v>2</v>
      </c>
      <c r="BA30" s="40">
        <v>3</v>
      </c>
      <c r="BB30" s="40">
        <f>COUNTIF(BB3:BB29,"*Audit*")</f>
        <v>0</v>
      </c>
      <c r="BC30" s="40">
        <v>2</v>
      </c>
      <c r="BD30" s="40">
        <f>COUNTIF(BD3:BD29,"*Audit*")</f>
        <v>0</v>
      </c>
      <c r="BE30" s="40">
        <f>COUNTIF(BE3:BE29,"*Audit*")</f>
        <v>0</v>
      </c>
      <c r="BF30" s="40">
        <v>1</v>
      </c>
      <c r="BG30" s="40">
        <f t="shared" ref="BG30:BY30" si="0">COUNTIF(BG3:BG29,"*Audit*")</f>
        <v>0</v>
      </c>
      <c r="BH30" s="40">
        <f t="shared" si="0"/>
        <v>0</v>
      </c>
      <c r="BI30" s="40">
        <f t="shared" si="0"/>
        <v>0</v>
      </c>
      <c r="BJ30" s="40">
        <f t="shared" si="0"/>
        <v>0</v>
      </c>
      <c r="BK30" s="40">
        <f t="shared" si="0"/>
        <v>0</v>
      </c>
      <c r="BL30" s="40">
        <f t="shared" si="0"/>
        <v>0</v>
      </c>
      <c r="BM30" s="40">
        <f t="shared" si="0"/>
        <v>0</v>
      </c>
      <c r="BN30" s="40">
        <f t="shared" si="0"/>
        <v>0</v>
      </c>
      <c r="BO30" s="40">
        <f t="shared" si="0"/>
        <v>0</v>
      </c>
      <c r="BP30" s="40">
        <f t="shared" si="0"/>
        <v>0</v>
      </c>
      <c r="BQ30" s="40">
        <f t="shared" si="0"/>
        <v>0</v>
      </c>
      <c r="BR30" s="40">
        <f t="shared" si="0"/>
        <v>0</v>
      </c>
      <c r="BS30" s="40">
        <f t="shared" si="0"/>
        <v>0</v>
      </c>
      <c r="BT30" s="40">
        <f t="shared" si="0"/>
        <v>0</v>
      </c>
      <c r="BU30" s="40">
        <f t="shared" si="0"/>
        <v>0</v>
      </c>
      <c r="BV30" s="40">
        <f t="shared" si="0"/>
        <v>0</v>
      </c>
      <c r="BW30" s="40">
        <f t="shared" si="0"/>
        <v>0</v>
      </c>
      <c r="BX30" s="40">
        <f t="shared" si="0"/>
        <v>0</v>
      </c>
      <c r="BY30" s="40">
        <f t="shared" si="0"/>
        <v>0</v>
      </c>
    </row>
    <row r="31" spans="1:78" ht="15.75">
      <c r="B31" s="103" t="s">
        <v>3687</v>
      </c>
      <c r="F31" s="40">
        <v>0</v>
      </c>
      <c r="G31" s="40">
        <v>1</v>
      </c>
      <c r="H31" s="40">
        <v>0</v>
      </c>
      <c r="I31" s="40">
        <v>0</v>
      </c>
      <c r="J31" s="40">
        <v>0</v>
      </c>
      <c r="K31" s="40">
        <v>0</v>
      </c>
      <c r="L31" s="40">
        <v>1</v>
      </c>
      <c r="M31" s="40">
        <v>1</v>
      </c>
      <c r="N31" s="40">
        <v>1</v>
      </c>
      <c r="O31" s="40">
        <v>0</v>
      </c>
      <c r="P31" s="40">
        <v>0</v>
      </c>
      <c r="Q31" s="40">
        <v>0</v>
      </c>
      <c r="R31" s="40">
        <v>0</v>
      </c>
      <c r="S31" s="40">
        <v>0</v>
      </c>
      <c r="T31" s="40">
        <v>1</v>
      </c>
      <c r="U31" s="40">
        <v>0</v>
      </c>
      <c r="V31" s="40">
        <v>1</v>
      </c>
      <c r="W31" s="40">
        <v>0</v>
      </c>
      <c r="X31" s="40">
        <v>0</v>
      </c>
      <c r="Y31" s="40">
        <v>0</v>
      </c>
      <c r="Z31" s="40">
        <v>1</v>
      </c>
      <c r="AA31" s="40">
        <v>2</v>
      </c>
      <c r="AB31" s="40">
        <v>1</v>
      </c>
      <c r="AC31" s="40">
        <v>0</v>
      </c>
      <c r="AD31" s="40">
        <v>0</v>
      </c>
      <c r="AE31" s="40">
        <v>0</v>
      </c>
      <c r="AF31" s="40">
        <v>0</v>
      </c>
      <c r="AG31" s="40">
        <v>1</v>
      </c>
      <c r="AH31" s="40">
        <v>1</v>
      </c>
      <c r="AI31" s="40">
        <v>1</v>
      </c>
      <c r="AJ31" s="40">
        <v>1</v>
      </c>
      <c r="AK31" s="40">
        <v>1</v>
      </c>
      <c r="AL31" s="40">
        <v>1</v>
      </c>
      <c r="AM31" s="40">
        <v>1</v>
      </c>
      <c r="AN31" s="40">
        <v>3</v>
      </c>
      <c r="AO31" s="40">
        <v>4</v>
      </c>
      <c r="AP31" s="40">
        <v>1</v>
      </c>
      <c r="AQ31" s="40">
        <v>0</v>
      </c>
      <c r="AR31" s="40">
        <v>1</v>
      </c>
      <c r="AS31" s="40">
        <v>3</v>
      </c>
      <c r="AT31" s="40">
        <v>1</v>
      </c>
      <c r="AU31" s="40">
        <v>1</v>
      </c>
      <c r="AV31" s="40">
        <v>0</v>
      </c>
      <c r="AW31" s="40">
        <v>0</v>
      </c>
      <c r="AX31" s="40">
        <v>1</v>
      </c>
      <c r="AY31" s="40">
        <v>0</v>
      </c>
      <c r="AZ31" s="40">
        <v>1</v>
      </c>
      <c r="BA31" s="40">
        <v>0</v>
      </c>
      <c r="BB31" s="40">
        <v>0</v>
      </c>
      <c r="BC31" s="40">
        <v>1</v>
      </c>
      <c r="BD31" s="40">
        <v>0</v>
      </c>
      <c r="BE31" s="40">
        <v>0</v>
      </c>
      <c r="BF31" s="40">
        <v>1</v>
      </c>
      <c r="BG31" s="40">
        <v>1</v>
      </c>
      <c r="BH31" s="40">
        <v>0</v>
      </c>
    </row>
    <row r="32" spans="1:78" ht="15.75">
      <c r="B32" s="103" t="s">
        <v>3688</v>
      </c>
      <c r="F32" s="763">
        <v>0</v>
      </c>
      <c r="G32" s="763">
        <f>SUM(G31/G30)</f>
        <v>1</v>
      </c>
      <c r="H32" s="763">
        <v>0</v>
      </c>
      <c r="I32" s="763">
        <v>0</v>
      </c>
      <c r="J32" s="763">
        <v>0</v>
      </c>
      <c r="K32" s="763">
        <v>0</v>
      </c>
      <c r="L32" s="763">
        <f t="shared" ref="L32:AD32" si="1">SUM(L31/L30)</f>
        <v>1</v>
      </c>
      <c r="M32" s="763">
        <f t="shared" si="1"/>
        <v>1</v>
      </c>
      <c r="N32" s="763">
        <f t="shared" si="1"/>
        <v>1</v>
      </c>
      <c r="O32" s="763">
        <v>0</v>
      </c>
      <c r="P32" s="763">
        <v>0</v>
      </c>
      <c r="Q32" s="763">
        <v>0</v>
      </c>
      <c r="R32" s="763">
        <v>0</v>
      </c>
      <c r="S32" s="763">
        <v>0</v>
      </c>
      <c r="T32" s="763">
        <f t="shared" si="1"/>
        <v>1</v>
      </c>
      <c r="U32" s="763">
        <v>0</v>
      </c>
      <c r="V32" s="763">
        <f t="shared" si="1"/>
        <v>0.5</v>
      </c>
      <c r="W32" s="763">
        <f t="shared" si="1"/>
        <v>0</v>
      </c>
      <c r="X32" s="763">
        <f t="shared" si="1"/>
        <v>0</v>
      </c>
      <c r="Y32" s="763">
        <f t="shared" si="1"/>
        <v>0</v>
      </c>
      <c r="Z32" s="763">
        <f t="shared" si="1"/>
        <v>1</v>
      </c>
      <c r="AA32" s="763">
        <f t="shared" si="1"/>
        <v>1</v>
      </c>
      <c r="AB32" s="763">
        <f t="shared" si="1"/>
        <v>0.33333333333333331</v>
      </c>
      <c r="AC32" s="763">
        <v>0</v>
      </c>
      <c r="AD32" s="763">
        <f t="shared" si="1"/>
        <v>0</v>
      </c>
      <c r="AE32" s="763">
        <v>0</v>
      </c>
      <c r="AF32" s="763">
        <v>0</v>
      </c>
      <c r="AG32" s="763">
        <f t="shared" ref="AG32:AS32" si="2">SUM(AG31/AG30)</f>
        <v>0.5</v>
      </c>
      <c r="AH32" s="763">
        <f t="shared" si="2"/>
        <v>0.5</v>
      </c>
      <c r="AI32" s="763">
        <f t="shared" si="2"/>
        <v>0.5</v>
      </c>
      <c r="AJ32" s="763">
        <f t="shared" si="2"/>
        <v>1</v>
      </c>
      <c r="AK32" s="763">
        <f t="shared" si="2"/>
        <v>1</v>
      </c>
      <c r="AL32" s="763">
        <f>SUM(AL31/AL30)</f>
        <v>0.5</v>
      </c>
      <c r="AM32" s="763">
        <f t="shared" si="2"/>
        <v>0.5</v>
      </c>
      <c r="AN32" s="763">
        <f t="shared" si="2"/>
        <v>0.75</v>
      </c>
      <c r="AO32" s="763">
        <f t="shared" si="2"/>
        <v>0.8</v>
      </c>
      <c r="AP32" s="763">
        <f t="shared" si="2"/>
        <v>1</v>
      </c>
      <c r="AQ32" s="763">
        <f t="shared" si="2"/>
        <v>0</v>
      </c>
      <c r="AR32" s="763">
        <f t="shared" si="2"/>
        <v>1</v>
      </c>
      <c r="AS32" s="763">
        <f t="shared" si="2"/>
        <v>1</v>
      </c>
      <c r="AT32" s="763">
        <f>SUM(AT31/AT30)</f>
        <v>0.5</v>
      </c>
      <c r="AU32" s="763">
        <f>SUM(AU31/AU30)</f>
        <v>1</v>
      </c>
      <c r="AV32" s="763">
        <f>SUM(AV31/AV30)</f>
        <v>0</v>
      </c>
      <c r="AW32" s="763">
        <f>SUM(AW31/AW30)</f>
        <v>0</v>
      </c>
      <c r="AX32" s="763">
        <f t="shared" ref="AX32:BC32" si="3">SUM(AX31/AX30)</f>
        <v>0.33333333333333331</v>
      </c>
      <c r="AY32" s="763">
        <f t="shared" si="3"/>
        <v>0</v>
      </c>
      <c r="AZ32" s="763">
        <f t="shared" si="3"/>
        <v>0.5</v>
      </c>
      <c r="BA32" s="763">
        <f t="shared" si="3"/>
        <v>0</v>
      </c>
      <c r="BB32" s="763">
        <v>0</v>
      </c>
      <c r="BC32" s="763">
        <f t="shared" si="3"/>
        <v>0.5</v>
      </c>
      <c r="BD32" s="763">
        <v>0</v>
      </c>
      <c r="BE32" s="763">
        <v>0</v>
      </c>
      <c r="BF32" s="763">
        <v>1</v>
      </c>
      <c r="BG32" s="763">
        <v>1</v>
      </c>
      <c r="BH32" s="763">
        <v>1</v>
      </c>
    </row>
    <row r="33" spans="2:60" ht="15.75">
      <c r="B33" s="103" t="s">
        <v>3689</v>
      </c>
      <c r="F33" s="763">
        <f>AVERAGE(E33+F32)</f>
        <v>0</v>
      </c>
      <c r="G33" s="763">
        <f>AVERAGE(G32)</f>
        <v>1</v>
      </c>
      <c r="H33" s="763">
        <f>AVERAGE(G33+H32)</f>
        <v>1</v>
      </c>
      <c r="I33" s="763">
        <f>AVERAGE(H33+I32)</f>
        <v>1</v>
      </c>
      <c r="J33" s="763">
        <f>AVERAGE(I33+J32)</f>
        <v>1</v>
      </c>
      <c r="K33" s="763">
        <f>AVERAGE(J33+K32)</f>
        <v>1</v>
      </c>
      <c r="L33" s="763">
        <f>AVERAGE(K33+L32)/2</f>
        <v>1</v>
      </c>
      <c r="M33" s="763">
        <f>AVERAGE(L33+M32)/2</f>
        <v>1</v>
      </c>
      <c r="N33" s="763">
        <f>AVERAGE(M33+N32)/2</f>
        <v>1</v>
      </c>
      <c r="O33" s="763">
        <f>AVERAGE(N33+O32)</f>
        <v>1</v>
      </c>
      <c r="P33" s="763">
        <f>AVERAGE(O33+P32)</f>
        <v>1</v>
      </c>
      <c r="Q33" s="763">
        <f>AVERAGE(P33+Q32)</f>
        <v>1</v>
      </c>
      <c r="R33" s="763">
        <f>AVERAGE(Q33+R32)</f>
        <v>1</v>
      </c>
      <c r="S33" s="763">
        <f>AVERAGE(R33+S32)</f>
        <v>1</v>
      </c>
      <c r="T33" s="763">
        <f>AVERAGE(S33+T32)/2</f>
        <v>1</v>
      </c>
      <c r="U33" s="763">
        <f>AVERAGE(T33+U32)</f>
        <v>1</v>
      </c>
      <c r="V33" s="763">
        <f>AVERAGE(U33+V32)/2</f>
        <v>0.75</v>
      </c>
      <c r="W33" s="763">
        <f>AVERAGE(V33+W32)</f>
        <v>0.75</v>
      </c>
      <c r="X33" s="763">
        <f>AVERAGE(W33+X32)</f>
        <v>0.75</v>
      </c>
      <c r="Y33" s="763">
        <f>AVERAGE(X33+Y32)</f>
        <v>0.75</v>
      </c>
      <c r="Z33" s="763">
        <f>AVERAGE(Y33+Z32)/2</f>
        <v>0.875</v>
      </c>
      <c r="AA33" s="763">
        <f>AVERAGE(Z33+AA32)/2</f>
        <v>0.9375</v>
      </c>
      <c r="AB33" s="763">
        <f>AVERAGE(AA33+AB32)/2</f>
        <v>0.63541666666666663</v>
      </c>
      <c r="AC33" s="763">
        <f>AVERAGE(AB33+AC32)</f>
        <v>0.63541666666666663</v>
      </c>
      <c r="AD33" s="763">
        <f>AVERAGE(AC33+AD32)</f>
        <v>0.63541666666666663</v>
      </c>
      <c r="AE33" s="763">
        <f>AVERAGE(AD33+AE32)</f>
        <v>0.63541666666666663</v>
      </c>
      <c r="AF33" s="763">
        <f>AVERAGE(AE33+AF32)</f>
        <v>0.63541666666666663</v>
      </c>
      <c r="AG33" s="763">
        <f t="shared" ref="AG33:BH33" si="4">AVERAGE(AF33+AG32)/2</f>
        <v>0.56770833333333326</v>
      </c>
      <c r="AH33" s="763">
        <f t="shared" si="4"/>
        <v>0.53385416666666663</v>
      </c>
      <c r="AI33" s="763">
        <f t="shared" si="4"/>
        <v>0.51692708333333326</v>
      </c>
      <c r="AJ33" s="763">
        <f t="shared" si="4"/>
        <v>0.75846354166666663</v>
      </c>
      <c r="AK33" s="763">
        <f t="shared" si="4"/>
        <v>0.87923177083333326</v>
      </c>
      <c r="AL33" s="763">
        <f t="shared" si="4"/>
        <v>0.68961588541666663</v>
      </c>
      <c r="AM33" s="763">
        <f t="shared" si="4"/>
        <v>0.59480794270833326</v>
      </c>
      <c r="AN33" s="763">
        <f t="shared" si="4"/>
        <v>0.67240397135416663</v>
      </c>
      <c r="AO33" s="763">
        <f t="shared" si="4"/>
        <v>0.73620198567708339</v>
      </c>
      <c r="AP33" s="763">
        <f t="shared" si="4"/>
        <v>0.8681009928385417</v>
      </c>
      <c r="AQ33" s="763">
        <f t="shared" si="4"/>
        <v>0.43405049641927085</v>
      </c>
      <c r="AR33" s="763">
        <f t="shared" si="4"/>
        <v>0.71702524820963542</v>
      </c>
      <c r="AS33" s="763">
        <f t="shared" si="4"/>
        <v>0.85851262410481777</v>
      </c>
      <c r="AT33" s="763">
        <f t="shared" si="4"/>
        <v>0.67925631205240888</v>
      </c>
      <c r="AU33" s="763">
        <f t="shared" si="4"/>
        <v>0.83962815602620444</v>
      </c>
      <c r="AV33" s="763">
        <f t="shared" si="4"/>
        <v>0.41981407801310222</v>
      </c>
      <c r="AW33" s="763">
        <f t="shared" si="4"/>
        <v>0.20990703900655111</v>
      </c>
      <c r="AX33" s="763">
        <f t="shared" si="4"/>
        <v>0.27162018616994221</v>
      </c>
      <c r="AY33" s="763">
        <f t="shared" si="4"/>
        <v>0.13581009308497111</v>
      </c>
      <c r="AZ33" s="763">
        <f t="shared" si="4"/>
        <v>0.31790504654248553</v>
      </c>
      <c r="BA33" s="763">
        <f t="shared" si="4"/>
        <v>0.15895252327124276</v>
      </c>
      <c r="BB33" s="763">
        <f t="shared" si="4"/>
        <v>7.9476261635621381E-2</v>
      </c>
      <c r="BC33" s="763">
        <f t="shared" si="4"/>
        <v>0.28973813081781069</v>
      </c>
      <c r="BD33" s="763">
        <f t="shared" si="4"/>
        <v>0.14486906540890535</v>
      </c>
      <c r="BE33" s="763">
        <f t="shared" si="4"/>
        <v>7.2434532704452673E-2</v>
      </c>
      <c r="BF33" s="763">
        <f t="shared" si="4"/>
        <v>0.53621726635222633</v>
      </c>
      <c r="BG33" s="763">
        <f t="shared" si="4"/>
        <v>0.76810863317611311</v>
      </c>
      <c r="BH33" s="763">
        <f t="shared" si="4"/>
        <v>0.88405431658805655</v>
      </c>
    </row>
    <row r="34" spans="2:60" ht="15.75"/>
  </sheetData>
  <autoFilter ref="A2:BZ33" xr:uid="{29FB0F97-B08C-4F25-9B6F-6CF613D7470E}"/>
  <mergeCells count="18">
    <mergeCell ref="BN1:BY1"/>
    <mergeCell ref="G1:Q1"/>
    <mergeCell ref="R1:AC1"/>
    <mergeCell ref="AD1:AO1"/>
    <mergeCell ref="AP1:BA1"/>
    <mergeCell ref="BB1:BM1"/>
    <mergeCell ref="AA10:AB10"/>
    <mergeCell ref="AA11:AB11"/>
    <mergeCell ref="AY12:AY14"/>
    <mergeCell ref="Y16:Y19"/>
    <mergeCell ref="AN19:AN23"/>
    <mergeCell ref="A1:E1"/>
    <mergeCell ref="A24:A25"/>
    <mergeCell ref="A26:A27"/>
    <mergeCell ref="A28:A29"/>
    <mergeCell ref="A30:E30"/>
    <mergeCell ref="A3:A8"/>
    <mergeCell ref="A9:A23"/>
  </mergeCells>
  <phoneticPr fontId="164" type="noConversion"/>
  <pageMargins left="0.7" right="0.7" top="0.75" bottom="0.75" header="0.3" footer="0.3"/>
  <pageSetup paperSize="8" scale="61" fitToWidth="0" orientation="landscape" verticalDpi="360" r:id="rId1"/>
  <colBreaks count="3" manualBreakCount="3">
    <brk id="29" max="1048575" man="1"/>
    <brk id="41" max="1048575" man="1"/>
    <brk id="53" max="1048575" man="1"/>
  </colBreaks>
  <drawing r:id="rId2"/>
  <legacyDrawing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E99E3A-10A1-454C-97D0-EA97EB2FC0FE}">
  <sheetPr codeName="Sheet52" filterMode="1">
    <tabColor theme="0" tint="-0.34998626667073579"/>
  </sheetPr>
  <dimension ref="A1:M103"/>
  <sheetViews>
    <sheetView topLeftCell="A2" zoomScale="70" zoomScaleNormal="70" workbookViewId="0">
      <pane xSplit="5" ySplit="2" topLeftCell="G74" activePane="bottomRight" state="frozen"/>
      <selection activeCell="B10" sqref="B10"/>
      <selection pane="topRight" activeCell="B10" sqref="B10"/>
      <selection pane="bottomLeft" activeCell="B10" sqref="B10"/>
      <selection pane="bottomRight" activeCell="L115" sqref="L115"/>
    </sheetView>
  </sheetViews>
  <sheetFormatPr defaultColWidth="9.140625" defaultRowHeight="15.75" outlineLevelRow="1"/>
  <cols>
    <col min="1" max="1" width="9.140625" style="616"/>
    <col min="2" max="2" width="31.5703125" style="616" bestFit="1" customWidth="1"/>
    <col min="3" max="3" width="16" style="616" customWidth="1"/>
    <col min="4" max="4" width="15.7109375" style="616" customWidth="1"/>
    <col min="5" max="5" width="75.7109375" style="107" customWidth="1"/>
    <col min="6" max="6" width="58.140625" style="616" bestFit="1" customWidth="1"/>
    <col min="7" max="7" width="15.7109375" style="616" customWidth="1"/>
    <col min="8" max="8" width="32.7109375" style="616" customWidth="1"/>
    <col min="9" max="9" width="15.7109375" style="711" customWidth="1"/>
    <col min="10" max="11" width="15.7109375" style="616" customWidth="1"/>
    <col min="12" max="12" width="75.7109375" style="113" customWidth="1"/>
    <col min="13" max="13" width="9.140625" style="616"/>
    <col min="14" max="16384" width="9.140625" style="107"/>
  </cols>
  <sheetData>
    <row r="1" spans="1:13" ht="180" hidden="1" customHeight="1" outlineLevel="1"/>
    <row r="2" spans="1:13" collapsed="1"/>
    <row r="3" spans="1:13" s="616" customFormat="1" ht="27.75" customHeight="1">
      <c r="A3" s="615" t="s">
        <v>0</v>
      </c>
      <c r="B3" s="615" t="s">
        <v>3690</v>
      </c>
      <c r="C3" s="615" t="s">
        <v>3691</v>
      </c>
      <c r="D3" s="615" t="s">
        <v>3692</v>
      </c>
      <c r="E3" s="615" t="s">
        <v>3693</v>
      </c>
      <c r="F3" s="615" t="s">
        <v>3694</v>
      </c>
      <c r="G3" s="615" t="s">
        <v>3695</v>
      </c>
      <c r="H3" s="615" t="s">
        <v>3696</v>
      </c>
      <c r="I3" s="712" t="s">
        <v>1083</v>
      </c>
      <c r="J3" s="615" t="s">
        <v>27</v>
      </c>
      <c r="K3" s="615" t="s">
        <v>3697</v>
      </c>
      <c r="L3" s="713" t="s">
        <v>1</v>
      </c>
      <c r="M3" s="615" t="s">
        <v>3698</v>
      </c>
    </row>
    <row r="4" spans="1:13" s="616" customFormat="1" ht="126" hidden="1">
      <c r="A4" s="714">
        <f t="shared" ref="A4:A67" si="0">ROW()-3</f>
        <v>1</v>
      </c>
      <c r="B4" s="715" t="s">
        <v>3699</v>
      </c>
      <c r="C4" s="715" t="s">
        <v>3700</v>
      </c>
      <c r="D4" s="715" t="s">
        <v>3701</v>
      </c>
      <c r="E4" s="716" t="s">
        <v>3702</v>
      </c>
      <c r="F4" s="717" t="s">
        <v>3703</v>
      </c>
      <c r="G4" s="718">
        <v>44807</v>
      </c>
      <c r="H4" s="715" t="s">
        <v>3704</v>
      </c>
      <c r="I4" s="718">
        <v>44902</v>
      </c>
      <c r="J4" s="715" t="s">
        <v>1985</v>
      </c>
      <c r="K4" s="715"/>
      <c r="L4" s="719" t="s">
        <v>3705</v>
      </c>
      <c r="M4" s="620" t="s">
        <v>3706</v>
      </c>
    </row>
    <row r="5" spans="1:13" s="616" customFormat="1" ht="126" hidden="1">
      <c r="A5" s="720">
        <f t="shared" si="0"/>
        <v>2</v>
      </c>
      <c r="B5" s="715" t="s">
        <v>3699</v>
      </c>
      <c r="C5" s="715" t="s">
        <v>3700</v>
      </c>
      <c r="D5" s="715" t="s">
        <v>3707</v>
      </c>
      <c r="E5" s="716" t="s">
        <v>3708</v>
      </c>
      <c r="F5" s="717" t="s">
        <v>3703</v>
      </c>
      <c r="G5" s="718">
        <v>44807</v>
      </c>
      <c r="H5" s="715" t="s">
        <v>3704</v>
      </c>
      <c r="I5" s="718">
        <v>44902</v>
      </c>
      <c r="J5" s="715" t="s">
        <v>1985</v>
      </c>
      <c r="K5" s="715"/>
      <c r="L5" s="719" t="s">
        <v>3705</v>
      </c>
      <c r="M5" s="620" t="s">
        <v>3706</v>
      </c>
    </row>
    <row r="6" spans="1:13" s="616" customFormat="1" ht="31.5" hidden="1">
      <c r="A6" s="714">
        <f t="shared" si="0"/>
        <v>3</v>
      </c>
      <c r="B6" s="715" t="s">
        <v>3699</v>
      </c>
      <c r="C6" s="715" t="s">
        <v>3700</v>
      </c>
      <c r="D6" s="715" t="s">
        <v>3709</v>
      </c>
      <c r="E6" s="716" t="s">
        <v>3710</v>
      </c>
      <c r="F6" s="717" t="s">
        <v>3703</v>
      </c>
      <c r="G6" s="718">
        <v>44807</v>
      </c>
      <c r="H6" s="715" t="s">
        <v>3704</v>
      </c>
      <c r="I6" s="718" t="s">
        <v>3711</v>
      </c>
      <c r="J6" s="715" t="s">
        <v>1985</v>
      </c>
      <c r="K6" s="715"/>
      <c r="L6" s="719" t="s">
        <v>3712</v>
      </c>
      <c r="M6" s="620" t="s">
        <v>3706</v>
      </c>
    </row>
    <row r="7" spans="1:13" s="616" customFormat="1" ht="63" hidden="1">
      <c r="A7" s="720">
        <f t="shared" si="0"/>
        <v>4</v>
      </c>
      <c r="B7" s="715" t="s">
        <v>3699</v>
      </c>
      <c r="C7" s="715" t="s">
        <v>3700</v>
      </c>
      <c r="D7" s="715" t="s">
        <v>3713</v>
      </c>
      <c r="E7" s="716" t="s">
        <v>3714</v>
      </c>
      <c r="F7" s="717" t="s">
        <v>3703</v>
      </c>
      <c r="G7" s="718">
        <v>44807</v>
      </c>
      <c r="H7" s="715" t="s">
        <v>3704</v>
      </c>
      <c r="I7" s="718" t="s">
        <v>3715</v>
      </c>
      <c r="J7" s="715" t="s">
        <v>1985</v>
      </c>
      <c r="K7" s="715"/>
      <c r="L7" s="719" t="s">
        <v>3716</v>
      </c>
      <c r="M7" s="620" t="s">
        <v>3706</v>
      </c>
    </row>
    <row r="8" spans="1:13" s="616" customFormat="1" ht="47.25" hidden="1">
      <c r="A8" s="720">
        <f t="shared" si="0"/>
        <v>5</v>
      </c>
      <c r="B8" s="715" t="s">
        <v>3699</v>
      </c>
      <c r="C8" s="715" t="s">
        <v>3700</v>
      </c>
      <c r="D8" s="715" t="s">
        <v>3717</v>
      </c>
      <c r="E8" s="716" t="s">
        <v>3718</v>
      </c>
      <c r="F8" s="717" t="s">
        <v>3703</v>
      </c>
      <c r="G8" s="718">
        <v>44807</v>
      </c>
      <c r="H8" s="715" t="s">
        <v>3704</v>
      </c>
      <c r="I8" s="718" t="s">
        <v>3715</v>
      </c>
      <c r="J8" s="715" t="s">
        <v>1985</v>
      </c>
      <c r="K8" s="715"/>
      <c r="L8" s="719" t="s">
        <v>3719</v>
      </c>
      <c r="M8" s="620" t="s">
        <v>3706</v>
      </c>
    </row>
    <row r="9" spans="1:13" s="616" customFormat="1" ht="31.5" hidden="1">
      <c r="A9" s="720">
        <f t="shared" si="0"/>
        <v>6</v>
      </c>
      <c r="B9" s="715" t="s">
        <v>3699</v>
      </c>
      <c r="C9" s="715" t="s">
        <v>3700</v>
      </c>
      <c r="D9" s="715" t="s">
        <v>3720</v>
      </c>
      <c r="E9" s="716" t="s">
        <v>3721</v>
      </c>
      <c r="F9" s="717" t="s">
        <v>3703</v>
      </c>
      <c r="G9" s="718">
        <v>44807</v>
      </c>
      <c r="H9" s="715" t="s">
        <v>3704</v>
      </c>
      <c r="I9" s="718" t="s">
        <v>3715</v>
      </c>
      <c r="J9" s="715" t="s">
        <v>1985</v>
      </c>
      <c r="K9" s="715"/>
      <c r="L9" s="719" t="s">
        <v>3719</v>
      </c>
      <c r="M9" s="620" t="s">
        <v>3706</v>
      </c>
    </row>
    <row r="10" spans="1:13" s="616" customFormat="1" ht="47.25" hidden="1">
      <c r="A10" s="714">
        <f t="shared" si="0"/>
        <v>7</v>
      </c>
      <c r="B10" s="715" t="s">
        <v>3699</v>
      </c>
      <c r="C10" s="715" t="s">
        <v>3700</v>
      </c>
      <c r="D10" s="715" t="s">
        <v>3722</v>
      </c>
      <c r="E10" s="716" t="s">
        <v>3723</v>
      </c>
      <c r="F10" s="717" t="s">
        <v>3703</v>
      </c>
      <c r="G10" s="718">
        <v>44807</v>
      </c>
      <c r="H10" s="715" t="s">
        <v>3704</v>
      </c>
      <c r="I10" s="718" t="s">
        <v>3724</v>
      </c>
      <c r="J10" s="715" t="s">
        <v>1985</v>
      </c>
      <c r="K10" s="715"/>
      <c r="L10" s="719" t="s">
        <v>3725</v>
      </c>
      <c r="M10" s="620" t="s">
        <v>3706</v>
      </c>
    </row>
    <row r="11" spans="1:13" s="616" customFormat="1" ht="47.25" hidden="1">
      <c r="A11" s="714">
        <f t="shared" si="0"/>
        <v>8</v>
      </c>
      <c r="B11" s="620" t="s">
        <v>3699</v>
      </c>
      <c r="C11" s="620" t="s">
        <v>3700</v>
      </c>
      <c r="D11" s="620" t="s">
        <v>3726</v>
      </c>
      <c r="E11" s="721" t="s">
        <v>3727</v>
      </c>
      <c r="F11" s="722" t="s">
        <v>3703</v>
      </c>
      <c r="G11" s="723">
        <v>44807</v>
      </c>
      <c r="H11" s="620" t="s">
        <v>3704</v>
      </c>
      <c r="I11" s="724" t="s">
        <v>3728</v>
      </c>
      <c r="J11" s="620" t="s">
        <v>1985</v>
      </c>
      <c r="K11" s="620" t="s">
        <v>3706</v>
      </c>
      <c r="L11" s="596" t="s">
        <v>3729</v>
      </c>
      <c r="M11" s="620" t="s">
        <v>3706</v>
      </c>
    </row>
    <row r="12" spans="1:13" s="616" customFormat="1" ht="47.25" hidden="1">
      <c r="A12" s="720">
        <f t="shared" si="0"/>
        <v>9</v>
      </c>
      <c r="B12" s="715" t="s">
        <v>3730</v>
      </c>
      <c r="C12" s="715" t="s">
        <v>3731</v>
      </c>
      <c r="D12" s="715" t="s">
        <v>3732</v>
      </c>
      <c r="E12" s="716" t="s">
        <v>3733</v>
      </c>
      <c r="F12" s="717" t="s">
        <v>3734</v>
      </c>
      <c r="G12" s="718" t="s">
        <v>3735</v>
      </c>
      <c r="H12" s="715" t="s">
        <v>38</v>
      </c>
      <c r="I12" s="718" t="s">
        <v>3736</v>
      </c>
      <c r="J12" s="715" t="s">
        <v>1985</v>
      </c>
      <c r="K12" s="715"/>
      <c r="L12" s="719" t="s">
        <v>3737</v>
      </c>
      <c r="M12" s="620" t="s">
        <v>3706</v>
      </c>
    </row>
    <row r="13" spans="1:13" s="616" customFormat="1" ht="141.75" hidden="1">
      <c r="A13" s="720">
        <f t="shared" si="0"/>
        <v>10</v>
      </c>
      <c r="B13" s="715" t="s">
        <v>3730</v>
      </c>
      <c r="C13" s="715" t="s">
        <v>3731</v>
      </c>
      <c r="D13" s="715" t="s">
        <v>3738</v>
      </c>
      <c r="E13" s="716" t="s">
        <v>3739</v>
      </c>
      <c r="F13" s="717" t="s">
        <v>3734</v>
      </c>
      <c r="G13" s="718" t="s">
        <v>3735</v>
      </c>
      <c r="H13" s="715" t="s">
        <v>38</v>
      </c>
      <c r="I13" s="718" t="s">
        <v>3736</v>
      </c>
      <c r="J13" s="715" t="s">
        <v>1985</v>
      </c>
      <c r="K13" s="715"/>
      <c r="L13" s="719" t="s">
        <v>3737</v>
      </c>
      <c r="M13" s="620" t="s">
        <v>3706</v>
      </c>
    </row>
    <row r="14" spans="1:13" s="616" customFormat="1" ht="47.25" hidden="1">
      <c r="A14" s="720">
        <f t="shared" si="0"/>
        <v>11</v>
      </c>
      <c r="B14" s="715" t="s">
        <v>3730</v>
      </c>
      <c r="C14" s="715" t="s">
        <v>3731</v>
      </c>
      <c r="D14" s="715" t="s">
        <v>3740</v>
      </c>
      <c r="E14" s="716" t="s">
        <v>3741</v>
      </c>
      <c r="F14" s="717" t="s">
        <v>3734</v>
      </c>
      <c r="G14" s="718" t="s">
        <v>3735</v>
      </c>
      <c r="H14" s="715" t="s">
        <v>38</v>
      </c>
      <c r="I14" s="718" t="s">
        <v>3736</v>
      </c>
      <c r="J14" s="715" t="s">
        <v>1985</v>
      </c>
      <c r="K14" s="715"/>
      <c r="L14" s="719" t="s">
        <v>3737</v>
      </c>
      <c r="M14" s="620" t="s">
        <v>3706</v>
      </c>
    </row>
    <row r="15" spans="1:13" s="616" customFormat="1" ht="63" hidden="1">
      <c r="A15" s="720">
        <f t="shared" si="0"/>
        <v>12</v>
      </c>
      <c r="B15" s="715" t="s">
        <v>3730</v>
      </c>
      <c r="C15" s="715" t="s">
        <v>3731</v>
      </c>
      <c r="D15" s="715" t="s">
        <v>3742</v>
      </c>
      <c r="E15" s="716" t="s">
        <v>3743</v>
      </c>
      <c r="F15" s="717" t="s">
        <v>3734</v>
      </c>
      <c r="G15" s="718" t="s">
        <v>3735</v>
      </c>
      <c r="H15" s="715" t="s">
        <v>38</v>
      </c>
      <c r="I15" s="718" t="s">
        <v>3736</v>
      </c>
      <c r="J15" s="715" t="s">
        <v>1985</v>
      </c>
      <c r="K15" s="715"/>
      <c r="L15" s="719" t="s">
        <v>3737</v>
      </c>
      <c r="M15" s="620" t="s">
        <v>3706</v>
      </c>
    </row>
    <row r="16" spans="1:13" s="616" customFormat="1" ht="47.25" hidden="1">
      <c r="A16" s="720">
        <f t="shared" si="0"/>
        <v>13</v>
      </c>
      <c r="B16" s="715" t="s">
        <v>3730</v>
      </c>
      <c r="C16" s="715" t="s">
        <v>3731</v>
      </c>
      <c r="D16" s="715" t="s">
        <v>3744</v>
      </c>
      <c r="E16" s="716" t="s">
        <v>3745</v>
      </c>
      <c r="F16" s="717" t="s">
        <v>3734</v>
      </c>
      <c r="G16" s="718" t="s">
        <v>3735</v>
      </c>
      <c r="H16" s="715" t="s">
        <v>38</v>
      </c>
      <c r="I16" s="718" t="s">
        <v>3736</v>
      </c>
      <c r="J16" s="715" t="s">
        <v>1985</v>
      </c>
      <c r="K16" s="715"/>
      <c r="L16" s="719" t="s">
        <v>3737</v>
      </c>
      <c r="M16" s="620" t="s">
        <v>3706</v>
      </c>
    </row>
    <row r="17" spans="1:13" s="616" customFormat="1" ht="378" hidden="1">
      <c r="A17" s="714">
        <f t="shared" si="0"/>
        <v>14</v>
      </c>
      <c r="B17" s="715" t="s">
        <v>3746</v>
      </c>
      <c r="C17" s="715" t="s">
        <v>3731</v>
      </c>
      <c r="D17" s="715" t="s">
        <v>3701</v>
      </c>
      <c r="E17" s="716" t="s">
        <v>3747</v>
      </c>
      <c r="F17" s="717" t="s">
        <v>3748</v>
      </c>
      <c r="G17" s="718">
        <v>44691</v>
      </c>
      <c r="H17" s="715" t="s">
        <v>3749</v>
      </c>
      <c r="I17" s="718" t="s">
        <v>3750</v>
      </c>
      <c r="J17" s="715" t="s">
        <v>1985</v>
      </c>
      <c r="K17" s="715"/>
      <c r="L17" s="719" t="s">
        <v>3751</v>
      </c>
      <c r="M17" s="620" t="s">
        <v>3706</v>
      </c>
    </row>
    <row r="18" spans="1:13" s="616" customFormat="1" ht="63" hidden="1">
      <c r="A18" s="714">
        <f t="shared" si="0"/>
        <v>15</v>
      </c>
      <c r="B18" s="715" t="s">
        <v>3746</v>
      </c>
      <c r="C18" s="715" t="s">
        <v>3731</v>
      </c>
      <c r="D18" s="715" t="s">
        <v>3709</v>
      </c>
      <c r="E18" s="716" t="s">
        <v>3752</v>
      </c>
      <c r="F18" s="717" t="s">
        <v>3748</v>
      </c>
      <c r="G18" s="718">
        <v>44691</v>
      </c>
      <c r="H18" s="715" t="s">
        <v>3749</v>
      </c>
      <c r="I18" s="718">
        <v>44845</v>
      </c>
      <c r="J18" s="715" t="s">
        <v>1985</v>
      </c>
      <c r="K18" s="715"/>
      <c r="L18" s="719" t="s">
        <v>3753</v>
      </c>
      <c r="M18" s="620" t="s">
        <v>3706</v>
      </c>
    </row>
    <row r="19" spans="1:13" s="616" customFormat="1" ht="94.5" hidden="1">
      <c r="A19" s="720">
        <f t="shared" si="0"/>
        <v>16</v>
      </c>
      <c r="B19" s="715" t="s">
        <v>3746</v>
      </c>
      <c r="C19" s="715" t="s">
        <v>3731</v>
      </c>
      <c r="D19" s="715" t="s">
        <v>3713</v>
      </c>
      <c r="E19" s="716" t="s">
        <v>3754</v>
      </c>
      <c r="F19" s="717" t="s">
        <v>3748</v>
      </c>
      <c r="G19" s="718">
        <v>44691</v>
      </c>
      <c r="H19" s="715" t="s">
        <v>3749</v>
      </c>
      <c r="I19" s="718">
        <v>45056</v>
      </c>
      <c r="J19" s="715" t="s">
        <v>1985</v>
      </c>
      <c r="K19" s="715"/>
      <c r="L19" s="719"/>
      <c r="M19" s="620" t="s">
        <v>3706</v>
      </c>
    </row>
    <row r="20" spans="1:13" s="616" customFormat="1" ht="47.25" hidden="1">
      <c r="A20" s="720">
        <f t="shared" si="0"/>
        <v>17</v>
      </c>
      <c r="B20" s="715" t="s">
        <v>3746</v>
      </c>
      <c r="C20" s="715" t="s">
        <v>3731</v>
      </c>
      <c r="D20" s="715" t="s">
        <v>3717</v>
      </c>
      <c r="E20" s="716" t="s">
        <v>3755</v>
      </c>
      <c r="F20" s="717" t="s">
        <v>3748</v>
      </c>
      <c r="G20" s="718">
        <v>44691</v>
      </c>
      <c r="H20" s="715" t="s">
        <v>3749</v>
      </c>
      <c r="I20" s="718">
        <v>45056</v>
      </c>
      <c r="J20" s="715" t="s">
        <v>1985</v>
      </c>
      <c r="K20" s="715"/>
      <c r="L20" s="719" t="s">
        <v>3756</v>
      </c>
      <c r="M20" s="620" t="s">
        <v>3706</v>
      </c>
    </row>
    <row r="21" spans="1:13" s="616" customFormat="1" ht="63" hidden="1">
      <c r="A21" s="720">
        <f t="shared" si="0"/>
        <v>18</v>
      </c>
      <c r="B21" s="715" t="s">
        <v>3746</v>
      </c>
      <c r="C21" s="715" t="s">
        <v>3731</v>
      </c>
      <c r="D21" s="715" t="s">
        <v>3720</v>
      </c>
      <c r="E21" s="716" t="s">
        <v>3757</v>
      </c>
      <c r="F21" s="717" t="s">
        <v>3748</v>
      </c>
      <c r="G21" s="718">
        <v>44691</v>
      </c>
      <c r="H21" s="715" t="s">
        <v>3749</v>
      </c>
      <c r="I21" s="718" t="s">
        <v>3758</v>
      </c>
      <c r="J21" s="715" t="s">
        <v>1985</v>
      </c>
      <c r="K21" s="715"/>
      <c r="L21" s="719" t="s">
        <v>3759</v>
      </c>
      <c r="M21" s="620" t="s">
        <v>3706</v>
      </c>
    </row>
    <row r="22" spans="1:13" s="616" customFormat="1" ht="31.5" hidden="1">
      <c r="A22" s="720">
        <f t="shared" si="0"/>
        <v>19</v>
      </c>
      <c r="B22" s="715" t="s">
        <v>3760</v>
      </c>
      <c r="C22" s="715" t="s">
        <v>3731</v>
      </c>
      <c r="D22" s="715" t="s">
        <v>3709</v>
      </c>
      <c r="E22" s="716" t="s">
        <v>3761</v>
      </c>
      <c r="F22" s="717" t="s">
        <v>3762</v>
      </c>
      <c r="G22" s="718" t="s">
        <v>3763</v>
      </c>
      <c r="H22" s="715" t="s">
        <v>38</v>
      </c>
      <c r="I22" s="718" t="s">
        <v>3764</v>
      </c>
      <c r="J22" s="715" t="s">
        <v>1985</v>
      </c>
      <c r="K22" s="715"/>
      <c r="L22" s="719" t="s">
        <v>3765</v>
      </c>
      <c r="M22" s="620" t="s">
        <v>3706</v>
      </c>
    </row>
    <row r="23" spans="1:13" s="616" customFormat="1" ht="47.25" hidden="1">
      <c r="A23" s="720">
        <f t="shared" si="0"/>
        <v>20</v>
      </c>
      <c r="B23" s="715" t="s">
        <v>3760</v>
      </c>
      <c r="C23" s="715" t="s">
        <v>3731</v>
      </c>
      <c r="D23" s="715" t="s">
        <v>3713</v>
      </c>
      <c r="E23" s="716" t="s">
        <v>3766</v>
      </c>
      <c r="F23" s="717" t="s">
        <v>3762</v>
      </c>
      <c r="G23" s="718" t="s">
        <v>3763</v>
      </c>
      <c r="H23" s="715" t="s">
        <v>38</v>
      </c>
      <c r="I23" s="718" t="s">
        <v>3767</v>
      </c>
      <c r="J23" s="715" t="s">
        <v>1985</v>
      </c>
      <c r="K23" s="715"/>
      <c r="L23" s="719"/>
      <c r="M23" s="620" t="s">
        <v>3706</v>
      </c>
    </row>
    <row r="24" spans="1:13" s="616" customFormat="1" ht="63" hidden="1">
      <c r="A24" s="720">
        <f t="shared" si="0"/>
        <v>21</v>
      </c>
      <c r="B24" s="715" t="s">
        <v>3768</v>
      </c>
      <c r="C24" s="715" t="s">
        <v>3731</v>
      </c>
      <c r="D24" s="715" t="s">
        <v>3709</v>
      </c>
      <c r="E24" s="716" t="s">
        <v>3769</v>
      </c>
      <c r="F24" s="717" t="s">
        <v>3770</v>
      </c>
      <c r="G24" s="718" t="s">
        <v>3771</v>
      </c>
      <c r="H24" s="715" t="s">
        <v>3772</v>
      </c>
      <c r="I24" s="718" t="s">
        <v>3773</v>
      </c>
      <c r="J24" s="715" t="s">
        <v>1985</v>
      </c>
      <c r="K24" s="715"/>
      <c r="L24" s="719"/>
      <c r="M24" s="620" t="s">
        <v>3706</v>
      </c>
    </row>
    <row r="25" spans="1:13" s="616" customFormat="1" ht="63" hidden="1">
      <c r="A25" s="714">
        <f t="shared" si="0"/>
        <v>22</v>
      </c>
      <c r="B25" s="715" t="s">
        <v>3768</v>
      </c>
      <c r="C25" s="715" t="s">
        <v>3731</v>
      </c>
      <c r="D25" s="715" t="s">
        <v>3713</v>
      </c>
      <c r="E25" s="716" t="s">
        <v>3774</v>
      </c>
      <c r="F25" s="717" t="s">
        <v>3770</v>
      </c>
      <c r="G25" s="718" t="s">
        <v>3771</v>
      </c>
      <c r="H25" s="715" t="s">
        <v>3772</v>
      </c>
      <c r="I25" s="718" t="s">
        <v>3773</v>
      </c>
      <c r="J25" s="715" t="s">
        <v>1985</v>
      </c>
      <c r="K25" s="715"/>
      <c r="L25" s="719"/>
      <c r="M25" s="620" t="s">
        <v>3706</v>
      </c>
    </row>
    <row r="26" spans="1:13" s="616" customFormat="1" ht="47.25" hidden="1">
      <c r="A26" s="720">
        <f t="shared" si="0"/>
        <v>23</v>
      </c>
      <c r="B26" s="715" t="s">
        <v>3768</v>
      </c>
      <c r="C26" s="715" t="s">
        <v>3731</v>
      </c>
      <c r="D26" s="715" t="s">
        <v>3717</v>
      </c>
      <c r="E26" s="716" t="s">
        <v>3775</v>
      </c>
      <c r="F26" s="717" t="s">
        <v>3770</v>
      </c>
      <c r="G26" s="718" t="s">
        <v>3771</v>
      </c>
      <c r="H26" s="715" t="s">
        <v>3772</v>
      </c>
      <c r="I26" s="718" t="s">
        <v>3773</v>
      </c>
      <c r="J26" s="715" t="s">
        <v>1985</v>
      </c>
      <c r="K26" s="715"/>
      <c r="L26" s="719"/>
      <c r="M26" s="620" t="s">
        <v>3706</v>
      </c>
    </row>
    <row r="27" spans="1:13" s="616" customFormat="1" ht="141.75" hidden="1">
      <c r="A27" s="714">
        <f t="shared" si="0"/>
        <v>24</v>
      </c>
      <c r="B27" s="715" t="s">
        <v>3768</v>
      </c>
      <c r="C27" s="715" t="s">
        <v>3731</v>
      </c>
      <c r="D27" s="715" t="s">
        <v>3720</v>
      </c>
      <c r="E27" s="716" t="s">
        <v>3776</v>
      </c>
      <c r="F27" s="717" t="s">
        <v>3770</v>
      </c>
      <c r="G27" s="718" t="s">
        <v>3771</v>
      </c>
      <c r="H27" s="715" t="s">
        <v>3772</v>
      </c>
      <c r="I27" s="718" t="s">
        <v>3773</v>
      </c>
      <c r="J27" s="715" t="s">
        <v>1985</v>
      </c>
      <c r="K27" s="715"/>
      <c r="L27" s="719"/>
      <c r="M27" s="620" t="s">
        <v>3706</v>
      </c>
    </row>
    <row r="28" spans="1:13" s="616" customFormat="1" ht="173.25" hidden="1">
      <c r="A28" s="714">
        <f t="shared" si="0"/>
        <v>25</v>
      </c>
      <c r="B28" s="715" t="s">
        <v>3777</v>
      </c>
      <c r="C28" s="715" t="s">
        <v>3731</v>
      </c>
      <c r="D28" s="715" t="s">
        <v>3701</v>
      </c>
      <c r="E28" s="716" t="s">
        <v>3778</v>
      </c>
      <c r="F28" s="717" t="s">
        <v>3779</v>
      </c>
      <c r="G28" s="718" t="s">
        <v>3780</v>
      </c>
      <c r="H28" s="715" t="s">
        <v>3704</v>
      </c>
      <c r="I28" s="718" t="s">
        <v>3781</v>
      </c>
      <c r="J28" s="715" t="s">
        <v>1985</v>
      </c>
      <c r="K28" s="715"/>
      <c r="L28" s="719" t="s">
        <v>3782</v>
      </c>
      <c r="M28" s="620" t="s">
        <v>3706</v>
      </c>
    </row>
    <row r="29" spans="1:13" s="616" customFormat="1" ht="63" hidden="1">
      <c r="A29" s="714">
        <f t="shared" si="0"/>
        <v>26</v>
      </c>
      <c r="B29" s="715" t="s">
        <v>3777</v>
      </c>
      <c r="C29" s="715" t="s">
        <v>3731</v>
      </c>
      <c r="D29" s="715" t="s">
        <v>3709</v>
      </c>
      <c r="E29" s="716" t="s">
        <v>3783</v>
      </c>
      <c r="F29" s="717" t="s">
        <v>3779</v>
      </c>
      <c r="G29" s="718" t="s">
        <v>3780</v>
      </c>
      <c r="H29" s="715" t="s">
        <v>3784</v>
      </c>
      <c r="I29" s="718" t="s">
        <v>3785</v>
      </c>
      <c r="J29" s="715" t="s">
        <v>1985</v>
      </c>
      <c r="K29" s="715"/>
      <c r="L29" s="719" t="s">
        <v>3786</v>
      </c>
      <c r="M29" s="620" t="s">
        <v>3706</v>
      </c>
    </row>
    <row r="30" spans="1:13" s="616" customFormat="1" ht="31.5" hidden="1">
      <c r="A30" s="714">
        <f t="shared" si="0"/>
        <v>27</v>
      </c>
      <c r="B30" s="715" t="s">
        <v>3777</v>
      </c>
      <c r="C30" s="715" t="s">
        <v>3731</v>
      </c>
      <c r="D30" s="715" t="s">
        <v>3713</v>
      </c>
      <c r="E30" s="716" t="s">
        <v>3787</v>
      </c>
      <c r="F30" s="717" t="s">
        <v>3779</v>
      </c>
      <c r="G30" s="718" t="s">
        <v>3780</v>
      </c>
      <c r="H30" s="715" t="s">
        <v>3784</v>
      </c>
      <c r="I30" s="718" t="s">
        <v>3785</v>
      </c>
      <c r="J30" s="715" t="s">
        <v>1985</v>
      </c>
      <c r="K30" s="715"/>
      <c r="L30" s="719" t="s">
        <v>3788</v>
      </c>
      <c r="M30" s="620" t="s">
        <v>3706</v>
      </c>
    </row>
    <row r="31" spans="1:13" s="616" customFormat="1" ht="47.25" hidden="1">
      <c r="A31" s="714">
        <f t="shared" si="0"/>
        <v>28</v>
      </c>
      <c r="B31" s="715" t="s">
        <v>3777</v>
      </c>
      <c r="C31" s="715" t="s">
        <v>3731</v>
      </c>
      <c r="D31" s="715" t="s">
        <v>3717</v>
      </c>
      <c r="E31" s="716" t="s">
        <v>3789</v>
      </c>
      <c r="F31" s="717" t="s">
        <v>3779</v>
      </c>
      <c r="G31" s="718" t="s">
        <v>3780</v>
      </c>
      <c r="H31" s="715" t="s">
        <v>3784</v>
      </c>
      <c r="I31" s="718" t="s">
        <v>3785</v>
      </c>
      <c r="J31" s="715" t="s">
        <v>1985</v>
      </c>
      <c r="K31" s="715"/>
      <c r="L31" s="719" t="s">
        <v>3790</v>
      </c>
      <c r="M31" s="620" t="s">
        <v>3706</v>
      </c>
    </row>
    <row r="32" spans="1:13" s="616" customFormat="1" ht="78.75" hidden="1">
      <c r="A32" s="714">
        <f t="shared" si="0"/>
        <v>29</v>
      </c>
      <c r="B32" s="715" t="s">
        <v>3777</v>
      </c>
      <c r="C32" s="715" t="s">
        <v>3731</v>
      </c>
      <c r="D32" s="715" t="s">
        <v>3720</v>
      </c>
      <c r="E32" s="716" t="s">
        <v>3791</v>
      </c>
      <c r="F32" s="717" t="s">
        <v>3779</v>
      </c>
      <c r="G32" s="718" t="s">
        <v>3780</v>
      </c>
      <c r="H32" s="715" t="s">
        <v>3784</v>
      </c>
      <c r="I32" s="718" t="s">
        <v>3785</v>
      </c>
      <c r="J32" s="715" t="s">
        <v>1985</v>
      </c>
      <c r="K32" s="715"/>
      <c r="L32" s="719" t="s">
        <v>3792</v>
      </c>
      <c r="M32" s="620" t="s">
        <v>3706</v>
      </c>
    </row>
    <row r="33" spans="1:13" s="616" customFormat="1" ht="94.5" hidden="1">
      <c r="A33" s="714">
        <f t="shared" si="0"/>
        <v>30</v>
      </c>
      <c r="B33" s="620" t="s">
        <v>3793</v>
      </c>
      <c r="C33" s="620" t="s">
        <v>3731</v>
      </c>
      <c r="D33" s="620" t="s">
        <v>3709</v>
      </c>
      <c r="E33" s="721" t="s">
        <v>3794</v>
      </c>
      <c r="F33" s="722" t="s">
        <v>3795</v>
      </c>
      <c r="G33" s="723">
        <v>44724</v>
      </c>
      <c r="H33" s="620" t="s">
        <v>31</v>
      </c>
      <c r="I33" s="724" t="s">
        <v>3728</v>
      </c>
      <c r="J33" s="620" t="s">
        <v>1985</v>
      </c>
      <c r="K33" s="620" t="s">
        <v>3706</v>
      </c>
      <c r="L33" s="596" t="s">
        <v>3796</v>
      </c>
      <c r="M33" s="620" t="s">
        <v>3706</v>
      </c>
    </row>
    <row r="34" spans="1:13" s="616" customFormat="1" ht="94.5" hidden="1">
      <c r="A34" s="714">
        <f t="shared" si="0"/>
        <v>31</v>
      </c>
      <c r="B34" s="715" t="s">
        <v>3797</v>
      </c>
      <c r="C34" s="715" t="s">
        <v>3731</v>
      </c>
      <c r="D34" s="715" t="s">
        <v>3701</v>
      </c>
      <c r="E34" s="716" t="s">
        <v>3798</v>
      </c>
      <c r="F34" s="717" t="s">
        <v>3799</v>
      </c>
      <c r="G34" s="718" t="s">
        <v>3800</v>
      </c>
      <c r="H34" s="715" t="s">
        <v>3801</v>
      </c>
      <c r="I34" s="718" t="s">
        <v>3802</v>
      </c>
      <c r="J34" s="715" t="s">
        <v>1985</v>
      </c>
      <c r="K34" s="715"/>
      <c r="L34" s="719" t="s">
        <v>3803</v>
      </c>
      <c r="M34" s="620" t="s">
        <v>3706</v>
      </c>
    </row>
    <row r="35" spans="1:13" s="616" customFormat="1" ht="63" hidden="1">
      <c r="A35" s="714">
        <f t="shared" si="0"/>
        <v>32</v>
      </c>
      <c r="B35" s="715" t="s">
        <v>3797</v>
      </c>
      <c r="C35" s="715" t="s">
        <v>3731</v>
      </c>
      <c r="D35" s="715" t="s">
        <v>3709</v>
      </c>
      <c r="E35" s="716" t="s">
        <v>3804</v>
      </c>
      <c r="F35" s="717" t="s">
        <v>3799</v>
      </c>
      <c r="G35" s="718" t="s">
        <v>3800</v>
      </c>
      <c r="H35" s="715" t="s">
        <v>3801</v>
      </c>
      <c r="I35" s="718" t="s">
        <v>3802</v>
      </c>
      <c r="J35" s="715" t="s">
        <v>1985</v>
      </c>
      <c r="K35" s="715"/>
      <c r="L35" s="719" t="s">
        <v>3805</v>
      </c>
      <c r="M35" s="620" t="s">
        <v>3706</v>
      </c>
    </row>
    <row r="36" spans="1:13" s="616" customFormat="1" ht="31.5" hidden="1">
      <c r="A36" s="714">
        <f t="shared" si="0"/>
        <v>33</v>
      </c>
      <c r="B36" s="715" t="s">
        <v>3797</v>
      </c>
      <c r="C36" s="715" t="s">
        <v>3731</v>
      </c>
      <c r="D36" s="715" t="s">
        <v>3713</v>
      </c>
      <c r="E36" s="716" t="s">
        <v>3806</v>
      </c>
      <c r="F36" s="717" t="s">
        <v>3799</v>
      </c>
      <c r="G36" s="718" t="s">
        <v>3800</v>
      </c>
      <c r="H36" s="715" t="s">
        <v>3807</v>
      </c>
      <c r="I36" s="718" t="s">
        <v>3808</v>
      </c>
      <c r="J36" s="715" t="s">
        <v>1985</v>
      </c>
      <c r="K36" s="715"/>
      <c r="L36" s="719" t="s">
        <v>3809</v>
      </c>
      <c r="M36" s="620" t="s">
        <v>3706</v>
      </c>
    </row>
    <row r="37" spans="1:13" s="616" customFormat="1" ht="126" hidden="1">
      <c r="A37" s="714">
        <f t="shared" si="0"/>
        <v>34</v>
      </c>
      <c r="B37" s="715" t="s">
        <v>3797</v>
      </c>
      <c r="C37" s="715" t="s">
        <v>3731</v>
      </c>
      <c r="D37" s="715" t="s">
        <v>3717</v>
      </c>
      <c r="E37" s="716" t="s">
        <v>3810</v>
      </c>
      <c r="F37" s="717" t="s">
        <v>3799</v>
      </c>
      <c r="G37" s="718" t="s">
        <v>3800</v>
      </c>
      <c r="H37" s="715" t="s">
        <v>3807</v>
      </c>
      <c r="I37" s="718" t="s">
        <v>3808</v>
      </c>
      <c r="J37" s="715" t="s">
        <v>1985</v>
      </c>
      <c r="K37" s="715"/>
      <c r="L37" s="719" t="s">
        <v>3809</v>
      </c>
      <c r="M37" s="620" t="s">
        <v>3706</v>
      </c>
    </row>
    <row r="38" spans="1:13" s="616" customFormat="1" ht="63" hidden="1">
      <c r="A38" s="714">
        <f t="shared" si="0"/>
        <v>35</v>
      </c>
      <c r="B38" s="715" t="s">
        <v>3797</v>
      </c>
      <c r="C38" s="715" t="s">
        <v>3731</v>
      </c>
      <c r="D38" s="715" t="s">
        <v>3720</v>
      </c>
      <c r="E38" s="716" t="s">
        <v>3811</v>
      </c>
      <c r="F38" s="717" t="s">
        <v>3799</v>
      </c>
      <c r="G38" s="718" t="s">
        <v>3800</v>
      </c>
      <c r="H38" s="715" t="s">
        <v>3807</v>
      </c>
      <c r="I38" s="718" t="s">
        <v>3808</v>
      </c>
      <c r="J38" s="715" t="s">
        <v>1985</v>
      </c>
      <c r="K38" s="715"/>
      <c r="L38" s="719" t="s">
        <v>3809</v>
      </c>
      <c r="M38" s="620" t="s">
        <v>3706</v>
      </c>
    </row>
    <row r="39" spans="1:13" s="616" customFormat="1" ht="126" hidden="1">
      <c r="A39" s="714">
        <f t="shared" si="0"/>
        <v>36</v>
      </c>
      <c r="B39" s="715" t="s">
        <v>3812</v>
      </c>
      <c r="C39" s="715" t="s">
        <v>3731</v>
      </c>
      <c r="D39" s="715" t="s">
        <v>3709</v>
      </c>
      <c r="E39" s="716" t="s">
        <v>3813</v>
      </c>
      <c r="F39" s="717" t="s">
        <v>3814</v>
      </c>
      <c r="G39" s="718">
        <v>45266</v>
      </c>
      <c r="H39" s="715" t="s">
        <v>3815</v>
      </c>
      <c r="I39" s="718" t="s">
        <v>3816</v>
      </c>
      <c r="J39" s="715" t="s">
        <v>1985</v>
      </c>
      <c r="K39" s="715"/>
      <c r="L39" s="719" t="s">
        <v>3817</v>
      </c>
      <c r="M39" s="620" t="s">
        <v>3706</v>
      </c>
    </row>
    <row r="40" spans="1:13" s="616" customFormat="1" ht="63" hidden="1">
      <c r="A40" s="714">
        <f t="shared" si="0"/>
        <v>37</v>
      </c>
      <c r="B40" s="715" t="s">
        <v>3812</v>
      </c>
      <c r="C40" s="715" t="s">
        <v>3731</v>
      </c>
      <c r="D40" s="715" t="s">
        <v>3713</v>
      </c>
      <c r="E40" s="716" t="s">
        <v>3818</v>
      </c>
      <c r="F40" s="717" t="s">
        <v>3814</v>
      </c>
      <c r="G40" s="718">
        <v>45266</v>
      </c>
      <c r="H40" s="715" t="s">
        <v>3815</v>
      </c>
      <c r="I40" s="718" t="s">
        <v>3816</v>
      </c>
      <c r="J40" s="715" t="s">
        <v>1985</v>
      </c>
      <c r="K40" s="715"/>
      <c r="L40" s="719" t="s">
        <v>3817</v>
      </c>
      <c r="M40" s="620" t="s">
        <v>3706</v>
      </c>
    </row>
    <row r="41" spans="1:13" s="616" customFormat="1" ht="94.5" hidden="1">
      <c r="A41" s="714">
        <f t="shared" si="0"/>
        <v>38</v>
      </c>
      <c r="B41" s="714" t="s">
        <v>3819</v>
      </c>
      <c r="C41" s="715" t="s">
        <v>3731</v>
      </c>
      <c r="D41" s="620" t="s">
        <v>3709</v>
      </c>
      <c r="E41" s="725" t="s">
        <v>3820</v>
      </c>
      <c r="F41" s="726" t="s">
        <v>3821</v>
      </c>
      <c r="G41" s="727" t="s">
        <v>3822</v>
      </c>
      <c r="H41" s="714" t="s">
        <v>3823</v>
      </c>
      <c r="I41" s="727">
        <v>45210</v>
      </c>
      <c r="J41" s="714" t="s">
        <v>1985</v>
      </c>
      <c r="K41" s="714"/>
      <c r="L41" s="728" t="s">
        <v>3824</v>
      </c>
      <c r="M41" s="620" t="s">
        <v>1016</v>
      </c>
    </row>
    <row r="42" spans="1:13" ht="78.75" hidden="1">
      <c r="A42" s="714">
        <f t="shared" si="0"/>
        <v>39</v>
      </c>
      <c r="B42" s="714" t="s">
        <v>3819</v>
      </c>
      <c r="C42" s="715" t="s">
        <v>3731</v>
      </c>
      <c r="D42" s="620" t="s">
        <v>3713</v>
      </c>
      <c r="E42" s="729" t="s">
        <v>3825</v>
      </c>
      <c r="F42" s="726" t="s">
        <v>3821</v>
      </c>
      <c r="G42" s="727" t="s">
        <v>3822</v>
      </c>
      <c r="H42" s="714" t="s">
        <v>3826</v>
      </c>
      <c r="I42" s="727">
        <v>45192</v>
      </c>
      <c r="J42" s="714" t="s">
        <v>1985</v>
      </c>
      <c r="K42" s="714"/>
      <c r="L42" s="730" t="s">
        <v>31</v>
      </c>
      <c r="M42" s="620" t="s">
        <v>1016</v>
      </c>
    </row>
    <row r="43" spans="1:13" ht="63" hidden="1">
      <c r="A43" s="714">
        <f t="shared" si="0"/>
        <v>40</v>
      </c>
      <c r="B43" s="714" t="s">
        <v>3819</v>
      </c>
      <c r="C43" s="715" t="s">
        <v>3731</v>
      </c>
      <c r="D43" s="620" t="s">
        <v>3717</v>
      </c>
      <c r="E43" s="729" t="s">
        <v>3827</v>
      </c>
      <c r="F43" s="726" t="s">
        <v>3821</v>
      </c>
      <c r="G43" s="727" t="s">
        <v>3822</v>
      </c>
      <c r="H43" s="714" t="s">
        <v>3826</v>
      </c>
      <c r="I43" s="727">
        <v>45192</v>
      </c>
      <c r="J43" s="714" t="s">
        <v>1985</v>
      </c>
      <c r="K43" s="714"/>
      <c r="L43" s="730" t="s">
        <v>31</v>
      </c>
      <c r="M43" s="620" t="s">
        <v>1016</v>
      </c>
    </row>
    <row r="44" spans="1:13" ht="110.25" hidden="1">
      <c r="A44" s="714">
        <f t="shared" si="0"/>
        <v>41</v>
      </c>
      <c r="B44" s="714" t="s">
        <v>3819</v>
      </c>
      <c r="C44" s="715" t="s">
        <v>3731</v>
      </c>
      <c r="D44" s="620" t="s">
        <v>3720</v>
      </c>
      <c r="E44" s="729" t="s">
        <v>3828</v>
      </c>
      <c r="F44" s="726" t="s">
        <v>3821</v>
      </c>
      <c r="G44" s="727" t="s">
        <v>3822</v>
      </c>
      <c r="H44" s="714" t="s">
        <v>3823</v>
      </c>
      <c r="I44" s="727">
        <v>45196</v>
      </c>
      <c r="J44" s="714" t="s">
        <v>1985</v>
      </c>
      <c r="K44" s="714"/>
      <c r="L44" s="730" t="s">
        <v>3829</v>
      </c>
      <c r="M44" s="620" t="s">
        <v>1016</v>
      </c>
    </row>
    <row r="45" spans="1:13" ht="135" hidden="1">
      <c r="A45" s="714">
        <f t="shared" si="0"/>
        <v>42</v>
      </c>
      <c r="B45" s="714" t="s">
        <v>3797</v>
      </c>
      <c r="C45" s="715" t="s">
        <v>3731</v>
      </c>
      <c r="D45" s="714" t="s">
        <v>3709</v>
      </c>
      <c r="E45" s="729" t="s">
        <v>3830</v>
      </c>
      <c r="F45" s="726" t="s">
        <v>3831</v>
      </c>
      <c r="G45" s="727">
        <v>43901</v>
      </c>
      <c r="H45" s="714" t="s">
        <v>3832</v>
      </c>
      <c r="I45" s="727">
        <v>45322</v>
      </c>
      <c r="J45" s="714" t="s">
        <v>1985</v>
      </c>
      <c r="K45" s="714"/>
      <c r="L45" s="731" t="s">
        <v>3833</v>
      </c>
      <c r="M45" s="620" t="s">
        <v>1016</v>
      </c>
    </row>
    <row r="46" spans="1:13" ht="47.45" hidden="1" customHeight="1">
      <c r="A46" s="714">
        <f t="shared" si="0"/>
        <v>43</v>
      </c>
      <c r="B46" s="714" t="s">
        <v>3797</v>
      </c>
      <c r="C46" s="715" t="s">
        <v>3731</v>
      </c>
      <c r="D46" s="714" t="s">
        <v>3713</v>
      </c>
      <c r="E46" s="729" t="s">
        <v>3834</v>
      </c>
      <c r="F46" s="726" t="s">
        <v>3831</v>
      </c>
      <c r="G46" s="727">
        <v>43901</v>
      </c>
      <c r="H46" s="714" t="s">
        <v>3832</v>
      </c>
      <c r="I46" s="727">
        <v>45250</v>
      </c>
      <c r="J46" s="714" t="s">
        <v>1985</v>
      </c>
      <c r="K46" s="714"/>
      <c r="L46" s="730" t="s">
        <v>3835</v>
      </c>
      <c r="M46" s="620" t="s">
        <v>1016</v>
      </c>
    </row>
    <row r="47" spans="1:13" ht="94.5" hidden="1">
      <c r="A47" s="714">
        <f t="shared" si="0"/>
        <v>44</v>
      </c>
      <c r="B47" s="714" t="s">
        <v>3797</v>
      </c>
      <c r="C47" s="715" t="s">
        <v>3731</v>
      </c>
      <c r="D47" s="714" t="s">
        <v>3717</v>
      </c>
      <c r="E47" s="729" t="s">
        <v>3836</v>
      </c>
      <c r="F47" s="726" t="s">
        <v>3831</v>
      </c>
      <c r="G47" s="727">
        <v>43901</v>
      </c>
      <c r="H47" s="714" t="s">
        <v>3832</v>
      </c>
      <c r="I47" s="727">
        <v>45250</v>
      </c>
      <c r="J47" s="714" t="s">
        <v>1985</v>
      </c>
      <c r="K47" s="714"/>
      <c r="L47" s="732" t="s">
        <v>3837</v>
      </c>
      <c r="M47" s="620" t="s">
        <v>1016</v>
      </c>
    </row>
    <row r="48" spans="1:13" ht="94.5" hidden="1">
      <c r="A48" s="714">
        <f t="shared" si="0"/>
        <v>45</v>
      </c>
      <c r="B48" s="714" t="s">
        <v>3797</v>
      </c>
      <c r="C48" s="715" t="s">
        <v>3731</v>
      </c>
      <c r="D48" s="714" t="s">
        <v>3720</v>
      </c>
      <c r="E48" s="729" t="s">
        <v>3838</v>
      </c>
      <c r="F48" s="726" t="s">
        <v>3831</v>
      </c>
      <c r="G48" s="727">
        <v>43901</v>
      </c>
      <c r="H48" s="714" t="s">
        <v>3832</v>
      </c>
      <c r="I48" s="727">
        <v>45250</v>
      </c>
      <c r="J48" s="714" t="s">
        <v>1985</v>
      </c>
      <c r="K48" s="714"/>
      <c r="L48" s="732" t="s">
        <v>3839</v>
      </c>
      <c r="M48" s="620" t="s">
        <v>1016</v>
      </c>
    </row>
    <row r="49" spans="1:13" ht="63" hidden="1">
      <c r="A49" s="714">
        <f t="shared" si="0"/>
        <v>46</v>
      </c>
      <c r="B49" s="714" t="s">
        <v>3797</v>
      </c>
      <c r="C49" s="715" t="s">
        <v>3731</v>
      </c>
      <c r="D49" s="714" t="s">
        <v>3722</v>
      </c>
      <c r="E49" s="729" t="s">
        <v>3840</v>
      </c>
      <c r="F49" s="726" t="s">
        <v>3831</v>
      </c>
      <c r="G49" s="727">
        <v>43901</v>
      </c>
      <c r="H49" s="714" t="s">
        <v>3832</v>
      </c>
      <c r="I49" s="727">
        <v>45250</v>
      </c>
      <c r="J49" s="714" t="s">
        <v>1985</v>
      </c>
      <c r="K49" s="714"/>
      <c r="L49" s="730" t="s">
        <v>3841</v>
      </c>
      <c r="M49" s="620" t="s">
        <v>1016</v>
      </c>
    </row>
    <row r="50" spans="1:13" ht="63" hidden="1">
      <c r="A50" s="714">
        <f t="shared" si="0"/>
        <v>47</v>
      </c>
      <c r="B50" s="733" t="s">
        <v>3797</v>
      </c>
      <c r="C50" s="734" t="s">
        <v>3731</v>
      </c>
      <c r="D50" s="733" t="s">
        <v>3726</v>
      </c>
      <c r="E50" s="735" t="s">
        <v>3842</v>
      </c>
      <c r="F50" s="736" t="s">
        <v>3831</v>
      </c>
      <c r="G50" s="737">
        <v>43901</v>
      </c>
      <c r="H50" s="733" t="s">
        <v>3832</v>
      </c>
      <c r="I50" s="727">
        <v>45250</v>
      </c>
      <c r="J50" s="733" t="s">
        <v>1985</v>
      </c>
      <c r="K50" s="733"/>
      <c r="L50" s="738" t="s">
        <v>3843</v>
      </c>
      <c r="M50" s="739" t="s">
        <v>1016</v>
      </c>
    </row>
    <row r="51" spans="1:13" ht="100.5" hidden="1" customHeight="1">
      <c r="A51" s="740">
        <f t="shared" si="0"/>
        <v>48</v>
      </c>
      <c r="B51" s="162" t="s">
        <v>3844</v>
      </c>
      <c r="C51" s="162" t="s">
        <v>3845</v>
      </c>
      <c r="D51" s="162" t="s">
        <v>3701</v>
      </c>
      <c r="E51" s="171" t="s">
        <v>3846</v>
      </c>
      <c r="F51" s="741" t="s">
        <v>3847</v>
      </c>
      <c r="G51" s="162" t="s">
        <v>3848</v>
      </c>
      <c r="H51" s="620" t="s">
        <v>3704</v>
      </c>
      <c r="I51" s="742" t="s">
        <v>3849</v>
      </c>
      <c r="J51" s="162" t="s">
        <v>1985</v>
      </c>
      <c r="K51" s="162" t="s">
        <v>3850</v>
      </c>
      <c r="L51" s="161" t="s">
        <v>3851</v>
      </c>
      <c r="M51" s="160" t="s">
        <v>3706</v>
      </c>
    </row>
    <row r="52" spans="1:13" ht="110.25" hidden="1">
      <c r="A52" s="740">
        <f t="shared" si="0"/>
        <v>49</v>
      </c>
      <c r="B52" s="162" t="s">
        <v>3844</v>
      </c>
      <c r="C52" s="162" t="s">
        <v>3845</v>
      </c>
      <c r="D52" s="160" t="s">
        <v>3709</v>
      </c>
      <c r="E52" s="159" t="s">
        <v>3852</v>
      </c>
      <c r="F52" s="741" t="s">
        <v>3847</v>
      </c>
      <c r="G52" s="162" t="s">
        <v>3848</v>
      </c>
      <c r="H52" s="620" t="s">
        <v>3704</v>
      </c>
      <c r="I52" s="742">
        <v>45361</v>
      </c>
      <c r="J52" s="162" t="s">
        <v>1985</v>
      </c>
      <c r="K52" s="162" t="s">
        <v>3850</v>
      </c>
      <c r="L52" s="161" t="s">
        <v>3853</v>
      </c>
      <c r="M52" s="160" t="s">
        <v>3706</v>
      </c>
    </row>
    <row r="53" spans="1:13" ht="252" hidden="1">
      <c r="A53" s="740">
        <f t="shared" si="0"/>
        <v>50</v>
      </c>
      <c r="B53" s="162" t="s">
        <v>3844</v>
      </c>
      <c r="C53" s="162" t="s">
        <v>3845</v>
      </c>
      <c r="D53" s="160" t="s">
        <v>3713</v>
      </c>
      <c r="E53" s="159" t="s">
        <v>3854</v>
      </c>
      <c r="F53" s="741" t="s">
        <v>3847</v>
      </c>
      <c r="G53" s="162" t="s">
        <v>3848</v>
      </c>
      <c r="H53" s="620" t="s">
        <v>3704</v>
      </c>
      <c r="I53" s="742" t="s">
        <v>38</v>
      </c>
      <c r="J53" s="162" t="s">
        <v>1001</v>
      </c>
      <c r="K53" s="162" t="s">
        <v>3855</v>
      </c>
      <c r="L53" s="161" t="s">
        <v>3856</v>
      </c>
      <c r="M53" s="160" t="s">
        <v>3706</v>
      </c>
    </row>
    <row r="54" spans="1:13" ht="126" hidden="1">
      <c r="A54" s="740">
        <f t="shared" si="0"/>
        <v>51</v>
      </c>
      <c r="B54" s="162" t="s">
        <v>3844</v>
      </c>
      <c r="C54" s="162" t="s">
        <v>3845</v>
      </c>
      <c r="D54" s="160" t="s">
        <v>3717</v>
      </c>
      <c r="E54" s="159" t="s">
        <v>3857</v>
      </c>
      <c r="F54" s="741" t="s">
        <v>3847</v>
      </c>
      <c r="G54" s="162" t="s">
        <v>3848</v>
      </c>
      <c r="H54" s="620" t="s">
        <v>3704</v>
      </c>
      <c r="I54" s="742">
        <v>45361</v>
      </c>
      <c r="J54" s="162" t="s">
        <v>1985</v>
      </c>
      <c r="K54" s="162" t="s">
        <v>3858</v>
      </c>
      <c r="L54" s="161" t="s">
        <v>3859</v>
      </c>
      <c r="M54" s="160" t="s">
        <v>3706</v>
      </c>
    </row>
    <row r="55" spans="1:13" ht="126" hidden="1">
      <c r="A55" s="740">
        <f t="shared" si="0"/>
        <v>52</v>
      </c>
      <c r="B55" s="162" t="s">
        <v>3844</v>
      </c>
      <c r="C55" s="162" t="s">
        <v>3845</v>
      </c>
      <c r="D55" s="160" t="s">
        <v>3720</v>
      </c>
      <c r="E55" s="159" t="s">
        <v>3860</v>
      </c>
      <c r="F55" s="741" t="s">
        <v>3847</v>
      </c>
      <c r="G55" s="162" t="s">
        <v>3848</v>
      </c>
      <c r="H55" s="620" t="s">
        <v>3704</v>
      </c>
      <c r="I55" s="742" t="s">
        <v>38</v>
      </c>
      <c r="J55" s="162" t="s">
        <v>1001</v>
      </c>
      <c r="K55" s="162" t="s">
        <v>3861</v>
      </c>
      <c r="L55" s="743" t="s">
        <v>3862</v>
      </c>
      <c r="M55" s="160" t="s">
        <v>3706</v>
      </c>
    </row>
    <row r="56" spans="1:13" ht="110.25" hidden="1">
      <c r="A56" s="740">
        <f t="shared" si="0"/>
        <v>53</v>
      </c>
      <c r="B56" s="162" t="s">
        <v>3844</v>
      </c>
      <c r="C56" s="162" t="s">
        <v>3845</v>
      </c>
      <c r="D56" s="160" t="s">
        <v>3722</v>
      </c>
      <c r="E56" s="159" t="s">
        <v>3863</v>
      </c>
      <c r="F56" s="741" t="s">
        <v>3847</v>
      </c>
      <c r="G56" s="162" t="s">
        <v>3848</v>
      </c>
      <c r="H56" s="620" t="s">
        <v>3704</v>
      </c>
      <c r="I56" s="742" t="s">
        <v>3864</v>
      </c>
      <c r="J56" s="162" t="s">
        <v>1985</v>
      </c>
      <c r="K56" s="162" t="s">
        <v>3250</v>
      </c>
      <c r="L56" s="161" t="s">
        <v>3865</v>
      </c>
      <c r="M56" s="160" t="s">
        <v>3706</v>
      </c>
    </row>
    <row r="57" spans="1:13" ht="126" hidden="1">
      <c r="A57" s="714">
        <f t="shared" si="0"/>
        <v>54</v>
      </c>
      <c r="B57" s="714" t="s">
        <v>3746</v>
      </c>
      <c r="C57" s="715" t="s">
        <v>3731</v>
      </c>
      <c r="D57" s="714" t="s">
        <v>3709</v>
      </c>
      <c r="E57" s="729" t="s">
        <v>3866</v>
      </c>
      <c r="F57" s="726" t="s">
        <v>3867</v>
      </c>
      <c r="G57" s="727">
        <v>45084</v>
      </c>
      <c r="H57" s="714" t="s">
        <v>3868</v>
      </c>
      <c r="I57" s="727" t="s">
        <v>3869</v>
      </c>
      <c r="J57" s="714" t="s">
        <v>1985</v>
      </c>
      <c r="K57" s="714" t="s">
        <v>3870</v>
      </c>
      <c r="L57" s="732" t="s">
        <v>3871</v>
      </c>
      <c r="M57" s="620" t="s">
        <v>3706</v>
      </c>
    </row>
    <row r="58" spans="1:13" ht="126" hidden="1">
      <c r="A58" s="714">
        <f t="shared" si="0"/>
        <v>55</v>
      </c>
      <c r="B58" s="714" t="s">
        <v>3746</v>
      </c>
      <c r="C58" s="715" t="s">
        <v>3731</v>
      </c>
      <c r="D58" s="714" t="s">
        <v>3713</v>
      </c>
      <c r="E58" s="729" t="s">
        <v>3872</v>
      </c>
      <c r="F58" s="726" t="s">
        <v>3867</v>
      </c>
      <c r="G58" s="727">
        <v>45084</v>
      </c>
      <c r="H58" s="714" t="s">
        <v>3868</v>
      </c>
      <c r="I58" s="727">
        <v>45087</v>
      </c>
      <c r="J58" s="714" t="s">
        <v>1985</v>
      </c>
      <c r="K58" s="714" t="s">
        <v>3870</v>
      </c>
      <c r="L58" s="732" t="s">
        <v>3873</v>
      </c>
      <c r="M58" s="620" t="s">
        <v>3706</v>
      </c>
    </row>
    <row r="59" spans="1:13" ht="393.75" hidden="1">
      <c r="A59" s="740">
        <f t="shared" si="0"/>
        <v>56</v>
      </c>
      <c r="B59" s="162" t="s">
        <v>3746</v>
      </c>
      <c r="C59" s="162" t="s">
        <v>3731</v>
      </c>
      <c r="D59" s="714" t="s">
        <v>3717</v>
      </c>
      <c r="E59" s="729" t="s">
        <v>3874</v>
      </c>
      <c r="F59" s="741" t="s">
        <v>3867</v>
      </c>
      <c r="G59" s="162">
        <v>45084</v>
      </c>
      <c r="H59" s="162" t="s">
        <v>3868</v>
      </c>
      <c r="I59" s="742">
        <v>45357</v>
      </c>
      <c r="J59" s="162" t="s">
        <v>1985</v>
      </c>
      <c r="K59" s="162" t="s">
        <v>3870</v>
      </c>
      <c r="L59" s="161" t="s">
        <v>3875</v>
      </c>
      <c r="M59" s="160" t="s">
        <v>3706</v>
      </c>
    </row>
    <row r="60" spans="1:13" ht="110.25" hidden="1">
      <c r="A60" s="740">
        <f t="shared" si="0"/>
        <v>57</v>
      </c>
      <c r="B60" s="162" t="s">
        <v>3746</v>
      </c>
      <c r="C60" s="162" t="s">
        <v>3731</v>
      </c>
      <c r="D60" s="160" t="s">
        <v>3720</v>
      </c>
      <c r="E60" s="159" t="s">
        <v>3876</v>
      </c>
      <c r="F60" s="741" t="s">
        <v>3867</v>
      </c>
      <c r="G60" s="162">
        <v>45084</v>
      </c>
      <c r="H60" s="162" t="s">
        <v>3868</v>
      </c>
      <c r="I60" s="742">
        <v>45357</v>
      </c>
      <c r="J60" s="162" t="s">
        <v>1985</v>
      </c>
      <c r="K60" s="162" t="s">
        <v>3706</v>
      </c>
      <c r="L60" s="161" t="s">
        <v>3875</v>
      </c>
      <c r="M60" s="160" t="s">
        <v>3706</v>
      </c>
    </row>
    <row r="61" spans="1:13" ht="267.75" hidden="1">
      <c r="A61" s="714">
        <f t="shared" si="0"/>
        <v>58</v>
      </c>
      <c r="B61" s="714" t="s">
        <v>3746</v>
      </c>
      <c r="C61" s="715" t="s">
        <v>3731</v>
      </c>
      <c r="D61" s="714" t="s">
        <v>3722</v>
      </c>
      <c r="E61" s="729" t="s">
        <v>3877</v>
      </c>
      <c r="F61" s="726" t="s">
        <v>3867</v>
      </c>
      <c r="G61" s="727">
        <v>45084</v>
      </c>
      <c r="H61" s="714" t="s">
        <v>3868</v>
      </c>
      <c r="I61" s="727">
        <v>45087</v>
      </c>
      <c r="J61" s="714" t="s">
        <v>1985</v>
      </c>
      <c r="K61" s="714" t="s">
        <v>3870</v>
      </c>
      <c r="L61" s="732" t="s">
        <v>3878</v>
      </c>
      <c r="M61" s="620"/>
    </row>
    <row r="62" spans="1:13" ht="104.25" hidden="1" customHeight="1">
      <c r="A62" s="740">
        <f t="shared" si="0"/>
        <v>59</v>
      </c>
      <c r="B62" s="714" t="s">
        <v>3879</v>
      </c>
      <c r="C62" s="160" t="s">
        <v>3731</v>
      </c>
      <c r="D62" s="160" t="s">
        <v>3880</v>
      </c>
      <c r="E62" s="159" t="s">
        <v>3881</v>
      </c>
      <c r="F62" s="741" t="s">
        <v>3882</v>
      </c>
      <c r="G62" s="744">
        <v>45398</v>
      </c>
      <c r="H62" s="160" t="s">
        <v>3883</v>
      </c>
      <c r="I62" s="744">
        <v>45419</v>
      </c>
      <c r="J62" s="160" t="s">
        <v>1985</v>
      </c>
      <c r="K62" s="160" t="s">
        <v>1045</v>
      </c>
      <c r="L62" s="158"/>
      <c r="M62" s="160" t="s">
        <v>1016</v>
      </c>
    </row>
    <row r="63" spans="1:13" ht="94.5" hidden="1">
      <c r="A63" s="740">
        <f t="shared" si="0"/>
        <v>60</v>
      </c>
      <c r="B63" s="714" t="s">
        <v>3879</v>
      </c>
      <c r="C63" s="160" t="s">
        <v>3731</v>
      </c>
      <c r="D63" s="160" t="s">
        <v>3884</v>
      </c>
      <c r="E63" s="159" t="s">
        <v>3885</v>
      </c>
      <c r="F63" s="741" t="s">
        <v>3882</v>
      </c>
      <c r="G63" s="744">
        <v>45398</v>
      </c>
      <c r="H63" s="160" t="s">
        <v>3883</v>
      </c>
      <c r="I63" s="744">
        <v>45473</v>
      </c>
      <c r="J63" s="160" t="s">
        <v>1985</v>
      </c>
      <c r="K63" s="160" t="s">
        <v>1045</v>
      </c>
      <c r="L63" s="158"/>
      <c r="M63" s="160" t="s">
        <v>1016</v>
      </c>
    </row>
    <row r="64" spans="1:13" ht="110.25" hidden="1">
      <c r="A64" s="740">
        <f t="shared" si="0"/>
        <v>61</v>
      </c>
      <c r="B64" s="714" t="s">
        <v>3879</v>
      </c>
      <c r="C64" s="160" t="s">
        <v>3731</v>
      </c>
      <c r="D64" s="160" t="s">
        <v>3886</v>
      </c>
      <c r="E64" s="159" t="s">
        <v>3887</v>
      </c>
      <c r="F64" s="741" t="s">
        <v>3882</v>
      </c>
      <c r="G64" s="744">
        <v>45398</v>
      </c>
      <c r="H64" s="160" t="s">
        <v>3883</v>
      </c>
      <c r="I64" s="744">
        <v>45455</v>
      </c>
      <c r="J64" s="160" t="s">
        <v>1985</v>
      </c>
      <c r="K64" s="160" t="s">
        <v>1045</v>
      </c>
      <c r="L64" s="158"/>
      <c r="M64" s="160" t="s">
        <v>1016</v>
      </c>
    </row>
    <row r="65" spans="1:13" ht="110.25" hidden="1">
      <c r="A65" s="740">
        <f t="shared" si="0"/>
        <v>62</v>
      </c>
      <c r="B65" s="714" t="s">
        <v>3879</v>
      </c>
      <c r="C65" s="160" t="s">
        <v>3731</v>
      </c>
      <c r="D65" s="160" t="s">
        <v>3888</v>
      </c>
      <c r="E65" s="159" t="s">
        <v>3889</v>
      </c>
      <c r="F65" s="741" t="s">
        <v>3882</v>
      </c>
      <c r="G65" s="744">
        <v>45398</v>
      </c>
      <c r="H65" s="160" t="s">
        <v>3883</v>
      </c>
      <c r="I65" s="744">
        <v>45419</v>
      </c>
      <c r="J65" s="160" t="s">
        <v>1985</v>
      </c>
      <c r="K65" s="160" t="s">
        <v>1045</v>
      </c>
      <c r="L65" s="158"/>
      <c r="M65" s="160" t="s">
        <v>1016</v>
      </c>
    </row>
    <row r="66" spans="1:13" ht="110.25" hidden="1">
      <c r="A66" s="740">
        <f t="shared" si="0"/>
        <v>63</v>
      </c>
      <c r="B66" s="714" t="s">
        <v>3879</v>
      </c>
      <c r="C66" s="160" t="s">
        <v>3731</v>
      </c>
      <c r="D66" s="160" t="s">
        <v>3890</v>
      </c>
      <c r="E66" s="159" t="s">
        <v>3891</v>
      </c>
      <c r="F66" s="741" t="s">
        <v>3882</v>
      </c>
      <c r="G66" s="744">
        <v>45398</v>
      </c>
      <c r="H66" s="160" t="s">
        <v>3883</v>
      </c>
      <c r="I66" s="744">
        <v>45428</v>
      </c>
      <c r="J66" s="160" t="s">
        <v>1985</v>
      </c>
      <c r="K66" s="160" t="s">
        <v>1045</v>
      </c>
      <c r="L66" s="158"/>
      <c r="M66" s="160" t="s">
        <v>1016</v>
      </c>
    </row>
    <row r="67" spans="1:13" ht="47.25" hidden="1">
      <c r="A67" s="740">
        <f t="shared" si="0"/>
        <v>64</v>
      </c>
      <c r="B67" s="714" t="s">
        <v>3879</v>
      </c>
      <c r="C67" s="160" t="s">
        <v>3731</v>
      </c>
      <c r="D67" s="160" t="s">
        <v>3892</v>
      </c>
      <c r="E67" s="159" t="s">
        <v>3893</v>
      </c>
      <c r="F67" s="741" t="s">
        <v>3882</v>
      </c>
      <c r="G67" s="744">
        <v>45398</v>
      </c>
      <c r="H67" s="160" t="s">
        <v>3883</v>
      </c>
      <c r="I67" s="744" t="s">
        <v>148</v>
      </c>
      <c r="J67" s="160" t="s">
        <v>1985</v>
      </c>
      <c r="K67" s="160" t="s">
        <v>148</v>
      </c>
      <c r="L67" s="158" t="s">
        <v>3894</v>
      </c>
      <c r="M67" s="160" t="s">
        <v>1016</v>
      </c>
    </row>
    <row r="68" spans="1:13" ht="141.75" hidden="1">
      <c r="A68" s="740">
        <f t="shared" ref="A68:A103" si="1">ROW()-3</f>
        <v>65</v>
      </c>
      <c r="B68" s="160" t="s">
        <v>3895</v>
      </c>
      <c r="C68" s="160" t="s">
        <v>3700</v>
      </c>
      <c r="D68" s="160" t="s">
        <v>3709</v>
      </c>
      <c r="E68" s="159" t="s">
        <v>3896</v>
      </c>
      <c r="F68" s="741" t="s">
        <v>3897</v>
      </c>
      <c r="G68" s="744">
        <v>45389</v>
      </c>
      <c r="H68" s="620" t="s">
        <v>3704</v>
      </c>
      <c r="I68" s="744">
        <v>45528</v>
      </c>
      <c r="J68" s="160" t="s">
        <v>1985</v>
      </c>
      <c r="K68" s="160" t="s">
        <v>3898</v>
      </c>
      <c r="L68" s="745" t="s">
        <v>3899</v>
      </c>
      <c r="M68" s="160" t="s">
        <v>3706</v>
      </c>
    </row>
    <row r="69" spans="1:13" ht="189" hidden="1">
      <c r="A69" s="740">
        <f t="shared" si="1"/>
        <v>66</v>
      </c>
      <c r="B69" s="160" t="s">
        <v>3895</v>
      </c>
      <c r="C69" s="160" t="s">
        <v>3700</v>
      </c>
      <c r="D69" s="160" t="s">
        <v>3713</v>
      </c>
      <c r="E69" s="159" t="s">
        <v>3900</v>
      </c>
      <c r="F69" s="741" t="s">
        <v>3897</v>
      </c>
      <c r="G69" s="744">
        <v>45389</v>
      </c>
      <c r="H69" s="620" t="s">
        <v>3704</v>
      </c>
      <c r="I69" s="744" t="s">
        <v>38</v>
      </c>
      <c r="J69" s="160" t="s">
        <v>1001</v>
      </c>
      <c r="K69" s="160" t="s">
        <v>3250</v>
      </c>
      <c r="L69" s="746" t="s">
        <v>3901</v>
      </c>
      <c r="M69" s="160" t="s">
        <v>3706</v>
      </c>
    </row>
    <row r="70" spans="1:13" ht="47.25" hidden="1">
      <c r="A70" s="740">
        <f t="shared" si="1"/>
        <v>67</v>
      </c>
      <c r="B70" s="160" t="s">
        <v>3902</v>
      </c>
      <c r="C70" s="160" t="s">
        <v>3731</v>
      </c>
      <c r="D70" s="160" t="s">
        <v>3903</v>
      </c>
      <c r="E70" s="159" t="s">
        <v>3904</v>
      </c>
      <c r="F70" s="741" t="s">
        <v>3905</v>
      </c>
      <c r="G70" s="744">
        <v>45455</v>
      </c>
      <c r="H70" s="160" t="s">
        <v>3906</v>
      </c>
      <c r="I70" s="744">
        <v>45518</v>
      </c>
      <c r="J70" s="160" t="s">
        <v>1985</v>
      </c>
      <c r="K70" s="160" t="s">
        <v>1150</v>
      </c>
      <c r="L70" s="158" t="s">
        <v>3907</v>
      </c>
      <c r="M70" s="160" t="s">
        <v>1150</v>
      </c>
    </row>
    <row r="71" spans="1:13" ht="94.5" hidden="1">
      <c r="A71" s="740">
        <f t="shared" si="1"/>
        <v>68</v>
      </c>
      <c r="B71" s="160" t="s">
        <v>3908</v>
      </c>
      <c r="C71" s="160" t="s">
        <v>3731</v>
      </c>
      <c r="D71" s="160" t="s">
        <v>3709</v>
      </c>
      <c r="E71" s="171" t="s">
        <v>3909</v>
      </c>
      <c r="F71" s="741" t="s">
        <v>3910</v>
      </c>
      <c r="G71" s="744" t="s">
        <v>3911</v>
      </c>
      <c r="H71" s="741" t="s">
        <v>3912</v>
      </c>
      <c r="I71" s="744" t="s">
        <v>38</v>
      </c>
      <c r="J71" s="160" t="s">
        <v>1001</v>
      </c>
      <c r="K71" s="160" t="s">
        <v>38</v>
      </c>
      <c r="L71" s="158"/>
      <c r="M71" s="160" t="s">
        <v>3913</v>
      </c>
    </row>
    <row r="72" spans="1:13" ht="94.5" hidden="1">
      <c r="A72" s="740">
        <f t="shared" si="1"/>
        <v>69</v>
      </c>
      <c r="B72" s="160" t="s">
        <v>3908</v>
      </c>
      <c r="C72" s="160" t="s">
        <v>3731</v>
      </c>
      <c r="D72" s="160" t="s">
        <v>3713</v>
      </c>
      <c r="E72" s="171" t="s">
        <v>3914</v>
      </c>
      <c r="F72" s="741" t="s">
        <v>3910</v>
      </c>
      <c r="G72" s="744" t="s">
        <v>3911</v>
      </c>
      <c r="H72" s="741" t="s">
        <v>3912</v>
      </c>
      <c r="I72" s="744" t="s">
        <v>38</v>
      </c>
      <c r="J72" s="160" t="s">
        <v>1001</v>
      </c>
      <c r="K72" s="160" t="s">
        <v>38</v>
      </c>
      <c r="L72" s="158"/>
      <c r="M72" s="160" t="s">
        <v>3913</v>
      </c>
    </row>
    <row r="73" spans="1:13" ht="94.5" hidden="1">
      <c r="A73" s="740">
        <f t="shared" si="1"/>
        <v>70</v>
      </c>
      <c r="B73" s="160" t="s">
        <v>3908</v>
      </c>
      <c r="C73" s="160" t="s">
        <v>3731</v>
      </c>
      <c r="D73" s="160" t="s">
        <v>3717</v>
      </c>
      <c r="E73" s="171" t="s">
        <v>3915</v>
      </c>
      <c r="F73" s="741" t="s">
        <v>3910</v>
      </c>
      <c r="G73" s="744" t="s">
        <v>3911</v>
      </c>
      <c r="H73" s="741" t="s">
        <v>3912</v>
      </c>
      <c r="I73" s="744" t="s">
        <v>38</v>
      </c>
      <c r="J73" s="160" t="s">
        <v>1001</v>
      </c>
      <c r="K73" s="160" t="s">
        <v>38</v>
      </c>
      <c r="L73" s="158"/>
      <c r="M73" s="160" t="s">
        <v>3913</v>
      </c>
    </row>
    <row r="74" spans="1:13" ht="110.25">
      <c r="A74" s="740">
        <f t="shared" si="1"/>
        <v>71</v>
      </c>
      <c r="B74" s="160" t="s">
        <v>3916</v>
      </c>
      <c r="C74" s="160" t="s">
        <v>3731</v>
      </c>
      <c r="D74" s="160" t="s">
        <v>3701</v>
      </c>
      <c r="E74" s="159" t="s">
        <v>3917</v>
      </c>
      <c r="F74" s="741" t="s">
        <v>3918</v>
      </c>
      <c r="G74" s="744" t="s">
        <v>3919</v>
      </c>
      <c r="H74" s="741" t="s">
        <v>3920</v>
      </c>
      <c r="I74" s="744" t="s">
        <v>38</v>
      </c>
      <c r="J74" s="160" t="s">
        <v>1001</v>
      </c>
      <c r="K74" s="160" t="s">
        <v>38</v>
      </c>
      <c r="L74" s="158"/>
      <c r="M74" s="160" t="s">
        <v>3706</v>
      </c>
    </row>
    <row r="75" spans="1:13" ht="252">
      <c r="A75" s="740">
        <f t="shared" si="1"/>
        <v>72</v>
      </c>
      <c r="B75" s="160" t="s">
        <v>3916</v>
      </c>
      <c r="C75" s="160" t="s">
        <v>3731</v>
      </c>
      <c r="D75" s="160" t="s">
        <v>3707</v>
      </c>
      <c r="E75" s="159" t="s">
        <v>3921</v>
      </c>
      <c r="F75" s="741" t="s">
        <v>3918</v>
      </c>
      <c r="G75" s="744" t="s">
        <v>3919</v>
      </c>
      <c r="H75" s="741" t="s">
        <v>3920</v>
      </c>
      <c r="I75" s="744" t="s">
        <v>38</v>
      </c>
      <c r="J75" s="160" t="s">
        <v>1001</v>
      </c>
      <c r="K75" s="160" t="s">
        <v>38</v>
      </c>
      <c r="L75" s="158"/>
      <c r="M75" s="160" t="s">
        <v>3706</v>
      </c>
    </row>
    <row r="76" spans="1:13" ht="252" hidden="1">
      <c r="A76" s="740">
        <f t="shared" si="1"/>
        <v>73</v>
      </c>
      <c r="B76" s="160" t="s">
        <v>3916</v>
      </c>
      <c r="C76" s="160" t="s">
        <v>3731</v>
      </c>
      <c r="D76" s="160" t="s">
        <v>3922</v>
      </c>
      <c r="E76" s="159" t="s">
        <v>3923</v>
      </c>
      <c r="F76" s="741" t="s">
        <v>3918</v>
      </c>
      <c r="G76" s="744" t="s">
        <v>3919</v>
      </c>
      <c r="H76" s="741" t="s">
        <v>3920</v>
      </c>
      <c r="I76" s="744">
        <v>45867</v>
      </c>
      <c r="J76" s="160" t="s">
        <v>1985</v>
      </c>
      <c r="K76" s="160" t="s">
        <v>3924</v>
      </c>
      <c r="L76" s="158" t="s">
        <v>3925</v>
      </c>
      <c r="M76" s="160" t="s">
        <v>3706</v>
      </c>
    </row>
    <row r="77" spans="1:13" ht="173.25" hidden="1">
      <c r="A77" s="740">
        <f t="shared" si="1"/>
        <v>74</v>
      </c>
      <c r="B77" s="160" t="s">
        <v>3916</v>
      </c>
      <c r="C77" s="160" t="s">
        <v>3731</v>
      </c>
      <c r="D77" s="160" t="s">
        <v>3709</v>
      </c>
      <c r="E77" s="159" t="s">
        <v>3926</v>
      </c>
      <c r="F77" s="741" t="s">
        <v>3918</v>
      </c>
      <c r="G77" s="744" t="s">
        <v>3919</v>
      </c>
      <c r="H77" s="741" t="s">
        <v>3920</v>
      </c>
      <c r="I77" s="744">
        <v>45859</v>
      </c>
      <c r="J77" s="160" t="s">
        <v>1985</v>
      </c>
      <c r="K77" s="160" t="s">
        <v>3927</v>
      </c>
      <c r="L77" s="158" t="s">
        <v>3928</v>
      </c>
      <c r="M77" s="160" t="s">
        <v>3706</v>
      </c>
    </row>
    <row r="78" spans="1:13" ht="204.75" hidden="1">
      <c r="A78" s="740">
        <f t="shared" si="1"/>
        <v>75</v>
      </c>
      <c r="B78" s="160" t="s">
        <v>3916</v>
      </c>
      <c r="C78" s="160" t="s">
        <v>3731</v>
      </c>
      <c r="D78" s="160" t="s">
        <v>3713</v>
      </c>
      <c r="E78" s="159" t="s">
        <v>3929</v>
      </c>
      <c r="F78" s="741" t="s">
        <v>3918</v>
      </c>
      <c r="G78" s="744" t="s">
        <v>3919</v>
      </c>
      <c r="H78" s="741" t="s">
        <v>3920</v>
      </c>
      <c r="I78" s="744" t="s">
        <v>38</v>
      </c>
      <c r="J78" s="160" t="s">
        <v>1001</v>
      </c>
      <c r="K78" s="160" t="s">
        <v>38</v>
      </c>
      <c r="L78" s="158"/>
      <c r="M78" s="160" t="s">
        <v>3706</v>
      </c>
    </row>
    <row r="79" spans="1:13" ht="173.25" hidden="1">
      <c r="A79" s="740">
        <f t="shared" si="1"/>
        <v>76</v>
      </c>
      <c r="B79" s="160" t="s">
        <v>3916</v>
      </c>
      <c r="C79" s="160" t="s">
        <v>3731</v>
      </c>
      <c r="D79" s="160" t="s">
        <v>3717</v>
      </c>
      <c r="E79" s="159" t="s">
        <v>3930</v>
      </c>
      <c r="F79" s="741" t="s">
        <v>3918</v>
      </c>
      <c r="G79" s="744" t="s">
        <v>3919</v>
      </c>
      <c r="H79" s="741" t="s">
        <v>3920</v>
      </c>
      <c r="I79" s="744" t="s">
        <v>38</v>
      </c>
      <c r="J79" s="160" t="s">
        <v>1001</v>
      </c>
      <c r="K79" s="160" t="s">
        <v>38</v>
      </c>
      <c r="L79" s="158"/>
      <c r="M79" s="160" t="s">
        <v>3706</v>
      </c>
    </row>
    <row r="80" spans="1:13" ht="110.25" hidden="1">
      <c r="A80" s="740">
        <f t="shared" si="1"/>
        <v>77</v>
      </c>
      <c r="B80" s="160" t="s">
        <v>3916</v>
      </c>
      <c r="C80" s="160" t="s">
        <v>3731</v>
      </c>
      <c r="D80" s="160" t="s">
        <v>3720</v>
      </c>
      <c r="E80" s="159" t="s">
        <v>3931</v>
      </c>
      <c r="F80" s="741" t="s">
        <v>3918</v>
      </c>
      <c r="G80" s="744" t="s">
        <v>3919</v>
      </c>
      <c r="H80" s="741" t="s">
        <v>3920</v>
      </c>
      <c r="I80" s="744" t="s">
        <v>38</v>
      </c>
      <c r="J80" s="160" t="s">
        <v>1001</v>
      </c>
      <c r="K80" s="160" t="s">
        <v>38</v>
      </c>
      <c r="L80" s="158"/>
      <c r="M80" s="160" t="s">
        <v>3706</v>
      </c>
    </row>
    <row r="81" spans="1:13" ht="204.75" hidden="1">
      <c r="A81" s="740">
        <f t="shared" si="1"/>
        <v>78</v>
      </c>
      <c r="B81" s="160" t="s">
        <v>3932</v>
      </c>
      <c r="C81" s="160" t="s">
        <v>3731</v>
      </c>
      <c r="D81" s="160" t="s">
        <v>3709</v>
      </c>
      <c r="E81" s="159" t="s">
        <v>3933</v>
      </c>
      <c r="F81" s="741" t="s">
        <v>3934</v>
      </c>
      <c r="G81" s="160" t="s">
        <v>3935</v>
      </c>
      <c r="H81" s="741" t="s">
        <v>3936</v>
      </c>
      <c r="I81" s="744" t="s">
        <v>3937</v>
      </c>
      <c r="J81" s="160" t="s">
        <v>1985</v>
      </c>
      <c r="K81" s="160" t="s">
        <v>3938</v>
      </c>
      <c r="L81" s="158" t="s">
        <v>3939</v>
      </c>
      <c r="M81" s="160" t="s">
        <v>3706</v>
      </c>
    </row>
    <row r="82" spans="1:13" ht="409.5" hidden="1">
      <c r="A82" s="740">
        <f t="shared" si="1"/>
        <v>79</v>
      </c>
      <c r="B82" s="160" t="s">
        <v>3932</v>
      </c>
      <c r="C82" s="160" t="s">
        <v>3731</v>
      </c>
      <c r="D82" s="160" t="s">
        <v>3713</v>
      </c>
      <c r="E82" s="159" t="s">
        <v>3940</v>
      </c>
      <c r="F82" s="741" t="s">
        <v>3934</v>
      </c>
      <c r="G82" s="160" t="s">
        <v>3935</v>
      </c>
      <c r="H82" s="741" t="s">
        <v>3936</v>
      </c>
      <c r="I82" s="744" t="s">
        <v>3937</v>
      </c>
      <c r="J82" s="160" t="s">
        <v>1985</v>
      </c>
      <c r="K82" s="160" t="s">
        <v>3938</v>
      </c>
      <c r="L82" s="158" t="s">
        <v>3941</v>
      </c>
      <c r="M82" s="160" t="s">
        <v>3706</v>
      </c>
    </row>
    <row r="83" spans="1:13" hidden="1">
      <c r="A83" s="740">
        <f t="shared" si="1"/>
        <v>80</v>
      </c>
      <c r="B83" s="160"/>
      <c r="C83" s="160"/>
      <c r="D83" s="160"/>
      <c r="E83" s="159"/>
      <c r="F83" s="160"/>
      <c r="G83" s="160"/>
      <c r="H83" s="160"/>
      <c r="I83" s="744"/>
      <c r="J83" s="160"/>
      <c r="K83" s="160"/>
      <c r="L83" s="158"/>
      <c r="M83" s="160"/>
    </row>
    <row r="84" spans="1:13" hidden="1">
      <c r="A84" s="740">
        <f t="shared" si="1"/>
        <v>81</v>
      </c>
      <c r="B84" s="160"/>
      <c r="C84" s="160"/>
      <c r="D84" s="160"/>
      <c r="E84" s="159"/>
      <c r="F84" s="160"/>
      <c r="G84" s="160"/>
      <c r="H84" s="160"/>
      <c r="I84" s="744"/>
      <c r="J84" s="160"/>
      <c r="K84" s="160"/>
      <c r="L84" s="158"/>
      <c r="M84" s="160"/>
    </row>
    <row r="85" spans="1:13" hidden="1">
      <c r="A85" s="740">
        <f t="shared" si="1"/>
        <v>82</v>
      </c>
      <c r="B85" s="160"/>
      <c r="C85" s="160"/>
      <c r="D85" s="160"/>
      <c r="E85" s="159"/>
      <c r="F85" s="160"/>
      <c r="G85" s="160"/>
      <c r="H85" s="160"/>
      <c r="I85" s="744"/>
      <c r="J85" s="160"/>
      <c r="K85" s="160"/>
      <c r="L85" s="158"/>
      <c r="M85" s="160"/>
    </row>
    <row r="86" spans="1:13" hidden="1">
      <c r="A86" s="740">
        <f t="shared" si="1"/>
        <v>83</v>
      </c>
      <c r="B86" s="160"/>
      <c r="C86" s="160"/>
      <c r="D86" s="160"/>
      <c r="E86" s="159"/>
      <c r="F86" s="160"/>
      <c r="G86" s="160"/>
      <c r="H86" s="160"/>
      <c r="I86" s="744"/>
      <c r="J86" s="160"/>
      <c r="K86" s="160"/>
      <c r="L86" s="158"/>
      <c r="M86" s="160"/>
    </row>
    <row r="87" spans="1:13" hidden="1">
      <c r="A87" s="740">
        <f t="shared" si="1"/>
        <v>84</v>
      </c>
      <c r="B87" s="160"/>
      <c r="C87" s="160"/>
      <c r="D87" s="160"/>
      <c r="E87" s="159"/>
      <c r="F87" s="160"/>
      <c r="G87" s="160"/>
      <c r="H87" s="160"/>
      <c r="I87" s="744"/>
      <c r="J87" s="160"/>
      <c r="K87" s="160"/>
      <c r="L87" s="158"/>
      <c r="M87" s="160"/>
    </row>
    <row r="88" spans="1:13" hidden="1">
      <c r="A88" s="740">
        <f t="shared" si="1"/>
        <v>85</v>
      </c>
      <c r="B88" s="160"/>
      <c r="C88" s="160"/>
      <c r="D88" s="160"/>
      <c r="E88" s="159"/>
      <c r="F88" s="160"/>
      <c r="G88" s="160"/>
      <c r="H88" s="160"/>
      <c r="I88" s="744"/>
      <c r="J88" s="160"/>
      <c r="K88" s="160"/>
      <c r="L88" s="158"/>
      <c r="M88" s="160"/>
    </row>
    <row r="89" spans="1:13" hidden="1">
      <c r="A89" s="740">
        <f t="shared" si="1"/>
        <v>86</v>
      </c>
      <c r="B89" s="160"/>
      <c r="C89" s="160"/>
      <c r="D89" s="160"/>
      <c r="E89" s="159"/>
      <c r="F89" s="160"/>
      <c r="G89" s="160"/>
      <c r="H89" s="160"/>
      <c r="I89" s="744"/>
      <c r="J89" s="160"/>
      <c r="K89" s="160"/>
      <c r="L89" s="158"/>
      <c r="M89" s="160"/>
    </row>
    <row r="90" spans="1:13" hidden="1">
      <c r="A90" s="740">
        <f t="shared" si="1"/>
        <v>87</v>
      </c>
      <c r="B90" s="160"/>
      <c r="C90" s="160"/>
      <c r="D90" s="160"/>
      <c r="E90" s="159"/>
      <c r="F90" s="160"/>
      <c r="G90" s="160"/>
      <c r="H90" s="160"/>
      <c r="I90" s="744"/>
      <c r="J90" s="160"/>
      <c r="K90" s="160"/>
      <c r="L90" s="158"/>
      <c r="M90" s="160"/>
    </row>
    <row r="91" spans="1:13" hidden="1">
      <c r="A91" s="740">
        <f t="shared" si="1"/>
        <v>88</v>
      </c>
      <c r="B91" s="160"/>
      <c r="C91" s="160"/>
      <c r="D91" s="160"/>
      <c r="E91" s="159"/>
      <c r="F91" s="160"/>
      <c r="G91" s="160"/>
      <c r="H91" s="160"/>
      <c r="I91" s="744"/>
      <c r="J91" s="160"/>
      <c r="K91" s="160"/>
      <c r="L91" s="158"/>
      <c r="M91" s="160"/>
    </row>
    <row r="92" spans="1:13" hidden="1">
      <c r="A92" s="740">
        <f t="shared" si="1"/>
        <v>89</v>
      </c>
      <c r="B92" s="160"/>
      <c r="C92" s="160"/>
      <c r="D92" s="160"/>
      <c r="E92" s="159"/>
      <c r="F92" s="160"/>
      <c r="G92" s="160"/>
      <c r="H92" s="160"/>
      <c r="I92" s="744"/>
      <c r="J92" s="160"/>
      <c r="K92" s="160"/>
      <c r="L92" s="158"/>
      <c r="M92" s="160"/>
    </row>
    <row r="93" spans="1:13" hidden="1">
      <c r="A93" s="740">
        <f t="shared" si="1"/>
        <v>90</v>
      </c>
      <c r="B93" s="160"/>
      <c r="C93" s="160"/>
      <c r="D93" s="160"/>
      <c r="E93" s="159"/>
      <c r="F93" s="160"/>
      <c r="G93" s="160"/>
      <c r="H93" s="160"/>
      <c r="I93" s="744"/>
      <c r="J93" s="160"/>
      <c r="K93" s="160"/>
      <c r="L93" s="158"/>
      <c r="M93" s="160"/>
    </row>
    <row r="94" spans="1:13" hidden="1">
      <c r="A94" s="740">
        <f t="shared" si="1"/>
        <v>91</v>
      </c>
      <c r="B94" s="160"/>
      <c r="C94" s="160"/>
      <c r="D94" s="160"/>
      <c r="E94" s="159"/>
      <c r="F94" s="160"/>
      <c r="G94" s="160"/>
      <c r="H94" s="160"/>
      <c r="I94" s="744"/>
      <c r="J94" s="160"/>
      <c r="K94" s="160"/>
      <c r="L94" s="158"/>
      <c r="M94" s="160"/>
    </row>
    <row r="95" spans="1:13" hidden="1">
      <c r="A95" s="740">
        <f t="shared" si="1"/>
        <v>92</v>
      </c>
      <c r="B95" s="160"/>
      <c r="C95" s="160"/>
      <c r="D95" s="160"/>
      <c r="E95" s="159"/>
      <c r="F95" s="160"/>
      <c r="G95" s="160"/>
      <c r="H95" s="160"/>
      <c r="I95" s="744"/>
      <c r="J95" s="160"/>
      <c r="K95" s="160"/>
      <c r="L95" s="158"/>
      <c r="M95" s="160"/>
    </row>
    <row r="96" spans="1:13" hidden="1">
      <c r="A96" s="740">
        <f t="shared" si="1"/>
        <v>93</v>
      </c>
      <c r="B96" s="160"/>
      <c r="C96" s="160"/>
      <c r="D96" s="160"/>
      <c r="E96" s="159"/>
      <c r="F96" s="160"/>
      <c r="G96" s="160"/>
      <c r="H96" s="160"/>
      <c r="I96" s="744"/>
      <c r="J96" s="160"/>
      <c r="K96" s="160"/>
      <c r="L96" s="158"/>
      <c r="M96" s="160"/>
    </row>
    <row r="97" spans="1:13" hidden="1">
      <c r="A97" s="740">
        <f t="shared" si="1"/>
        <v>94</v>
      </c>
      <c r="B97" s="160"/>
      <c r="C97" s="160"/>
      <c r="D97" s="160"/>
      <c r="E97" s="159"/>
      <c r="F97" s="160"/>
      <c r="G97" s="160"/>
      <c r="H97" s="160"/>
      <c r="I97" s="744"/>
      <c r="J97" s="160"/>
      <c r="K97" s="160"/>
      <c r="L97" s="158"/>
      <c r="M97" s="160"/>
    </row>
    <row r="98" spans="1:13" hidden="1">
      <c r="A98" s="740">
        <f t="shared" si="1"/>
        <v>95</v>
      </c>
      <c r="B98" s="160"/>
      <c r="C98" s="160"/>
      <c r="D98" s="160"/>
      <c r="E98" s="159"/>
      <c r="F98" s="160"/>
      <c r="G98" s="160"/>
      <c r="H98" s="160"/>
      <c r="I98" s="744"/>
      <c r="J98" s="160"/>
      <c r="K98" s="160"/>
      <c r="L98" s="158"/>
      <c r="M98" s="160"/>
    </row>
    <row r="99" spans="1:13" hidden="1">
      <c r="A99" s="740">
        <f t="shared" si="1"/>
        <v>96</v>
      </c>
      <c r="B99" s="160"/>
      <c r="C99" s="160"/>
      <c r="D99" s="160"/>
      <c r="E99" s="159"/>
      <c r="F99" s="160"/>
      <c r="G99" s="160"/>
      <c r="H99" s="160"/>
      <c r="I99" s="744"/>
      <c r="J99" s="160"/>
      <c r="K99" s="160"/>
      <c r="L99" s="158"/>
      <c r="M99" s="160"/>
    </row>
    <row r="100" spans="1:13" hidden="1">
      <c r="A100" s="740">
        <f t="shared" si="1"/>
        <v>97</v>
      </c>
      <c r="B100" s="160"/>
      <c r="C100" s="160"/>
      <c r="D100" s="160"/>
      <c r="E100" s="159"/>
      <c r="F100" s="160"/>
      <c r="G100" s="160"/>
      <c r="H100" s="160"/>
      <c r="I100" s="744"/>
      <c r="J100" s="160"/>
      <c r="K100" s="160"/>
      <c r="L100" s="158"/>
      <c r="M100" s="160"/>
    </row>
    <row r="101" spans="1:13" hidden="1">
      <c r="A101" s="740">
        <f t="shared" si="1"/>
        <v>98</v>
      </c>
      <c r="B101" s="160"/>
      <c r="C101" s="160"/>
      <c r="D101" s="160"/>
      <c r="E101" s="159"/>
      <c r="F101" s="160"/>
      <c r="G101" s="160"/>
      <c r="H101" s="160"/>
      <c r="I101" s="744"/>
      <c r="J101" s="160"/>
      <c r="K101" s="160"/>
      <c r="L101" s="158"/>
      <c r="M101" s="160"/>
    </row>
    <row r="102" spans="1:13" hidden="1">
      <c r="A102" s="740">
        <f t="shared" si="1"/>
        <v>99</v>
      </c>
      <c r="B102" s="160"/>
      <c r="C102" s="160"/>
      <c r="D102" s="160"/>
      <c r="E102" s="159"/>
      <c r="F102" s="160"/>
      <c r="G102" s="160"/>
      <c r="H102" s="160"/>
      <c r="I102" s="744"/>
      <c r="J102" s="160"/>
      <c r="K102" s="160"/>
      <c r="L102" s="158"/>
      <c r="M102" s="160"/>
    </row>
    <row r="103" spans="1:13" hidden="1">
      <c r="A103" s="740">
        <f t="shared" si="1"/>
        <v>100</v>
      </c>
      <c r="B103" s="160"/>
      <c r="C103" s="160"/>
      <c r="D103" s="160"/>
      <c r="E103" s="159"/>
      <c r="F103" s="160"/>
      <c r="G103" s="160"/>
      <c r="H103" s="160"/>
      <c r="I103" s="744"/>
      <c r="J103" s="160"/>
      <c r="K103" s="160"/>
      <c r="L103" s="158"/>
      <c r="M103" s="160"/>
    </row>
  </sheetData>
  <autoFilter ref="A3:L103" xr:uid="{09CFF1DE-2DED-4FA1-AECC-45ADD77B15D0}">
    <filterColumn colId="3">
      <filters>
        <filter val="NCR01"/>
        <filter val="NCR02"/>
      </filters>
    </filterColumn>
    <filterColumn colId="9">
      <filters blank="1">
        <filter val="Open"/>
      </filters>
    </filterColumn>
  </autoFilter>
  <phoneticPr fontId="164" type="noConversion"/>
  <conditionalFormatting sqref="A4:M999">
    <cfRule type="expression" dxfId="105" priority="1">
      <formula>($J4)="Open"</formula>
    </cfRule>
    <cfRule type="expression" dxfId="104" priority="2">
      <formula>($J4)="Closed"</formula>
    </cfRule>
  </conditionalFormatting>
  <hyperlinks>
    <hyperlink ref="F24" r:id="rId1" display="https://ca1.aconex.com/ViewDoc?trackingid=271341877551634206&amp;projectid=1879053289&amp;cversion=1&amp;tab=0" xr:uid="{D8DE6524-7397-4E0A-9588-29E2737F0011}"/>
    <hyperlink ref="F22" r:id="rId2" display="https://ca1.aconex.com/ViewDoc?trackingid=271341877551634205&amp;projectid=1879053289&amp;cversion=1&amp;tab=0" xr:uid="{063BDE02-6E7E-4C95-A4A1-99F3AFE4B051}"/>
    <hyperlink ref="F23" r:id="rId3" display="https://ca1.aconex.com/ViewDoc?trackingid=271341877551634205&amp;projectid=1879053289&amp;cversion=1&amp;tab=0" xr:uid="{FEAD78F6-AB77-4C40-8D83-18FEA7E9E6D0}"/>
    <hyperlink ref="F25:F27" r:id="rId4" display="https://ca1.aconex.com/ViewDoc?trackingid=271341877551634206&amp;projectid=1879053289&amp;cversion=1&amp;tab=0" xr:uid="{D5D5A5CD-EF4C-45D1-AFF9-BF763D72C84C}"/>
    <hyperlink ref="F28" r:id="rId5" display="https://ca1.aconex.com/ViewDoc?trackingid=271341877551634207&amp;projectid=1879053289&amp;cversion=1&amp;tab=0" xr:uid="{8C58ED32-20AD-48C3-8703-9296FB90C429}"/>
    <hyperlink ref="F29" r:id="rId6" display="https://ca1.aconex.com/ViewDoc?trackingid=271341877551634207&amp;projectid=1879053289&amp;cversion=1&amp;tab=0" xr:uid="{B9FB4B45-333D-4CCF-9EA0-CA5810875DE8}"/>
    <hyperlink ref="F30" r:id="rId7" display="https://ca1.aconex.com/ViewDoc?trackingid=271341877551634207&amp;projectid=1879053289&amp;cversion=1&amp;tab=0" xr:uid="{D7DF57DF-58B5-498D-AAE5-FA419C99EBDA}"/>
    <hyperlink ref="F31" r:id="rId8" display="https://ca1.aconex.com/ViewDoc?trackingid=271341877551634207&amp;projectid=1879053289&amp;cversion=1&amp;tab=0" xr:uid="{EF8B298B-23B4-49C1-A134-0F2405E92DC1}"/>
    <hyperlink ref="F32" r:id="rId9" display="https://ca1.aconex.com/ViewDoc?trackingid=271341877551634207&amp;projectid=1879053289&amp;cversion=1&amp;tab=0" xr:uid="{C968AF6D-EBB9-4E0B-957C-7D3FE1AFA59F}"/>
    <hyperlink ref="F33" r:id="rId10" display="https://ca1.aconex.com/ViewDoc?trackingid=271341877551634209&amp;projectid=1879053289&amp;cversion=1&amp;tab=0" xr:uid="{863061CD-7499-4B5D-8D3B-88357BCC218A}"/>
    <hyperlink ref="F17" r:id="rId11" display="https://ca1.aconex.com/ViewDoc?trackingid=271341877551634200&amp;projectid=1879053289&amp;cversion=1&amp;tab=0" xr:uid="{161E9F78-B3C5-43B5-BF2A-BF9A2A0D2859}"/>
    <hyperlink ref="F18" r:id="rId12" display="https://ca1.aconex.com/ViewDoc?trackingid=271341877551634200&amp;projectid=1879053289&amp;cversion=1&amp;tab=0" xr:uid="{DDD0AA6F-C522-4680-8129-E4660DA5F787}"/>
    <hyperlink ref="F19" r:id="rId13" display="https://ca1.aconex.com/ViewDoc?trackingid=271341877551634200&amp;projectid=1879053289&amp;cversion=1&amp;tab=0" xr:uid="{EE5FE9BE-6F57-45F3-880C-5A647345DB98}"/>
    <hyperlink ref="F20" r:id="rId14" display="https://ca1.aconex.com/ViewDoc?trackingid=271341877551634200&amp;projectid=1879053289&amp;cversion=1&amp;tab=0" xr:uid="{5AC2653D-92F8-4CE0-8921-02BCC1C092CC}"/>
    <hyperlink ref="F21" r:id="rId15" display="https://ca1.aconex.com/ViewDoc?trackingid=271341877551634200&amp;projectid=1879053289&amp;cversion=1&amp;tab=0" xr:uid="{FD43524C-E2BB-4CB0-A014-B7868C30977E}"/>
    <hyperlink ref="F12" r:id="rId16" display="https://ca1.aconex.com/ViewDoc?trackingid=271341877551634201&amp;projectid=1879053289&amp;cversion=1&amp;tab=0" xr:uid="{F5EB0791-7880-45BB-936A-BC43FA4B26AF}"/>
    <hyperlink ref="F13:F16" r:id="rId17" display="https://ca1.aconex.com/ViewDoc?trackingid=271341877551634201&amp;projectid=1879053289&amp;cversion=1&amp;tab=0" xr:uid="{2059C1C8-1DB9-486A-A924-2334B5015B1A}"/>
    <hyperlink ref="F4" r:id="rId18" display="https://ca1.aconex.com/ViewDoc?trackingid=271341877551634199&amp;projectid=1879053289&amp;cversion=1&amp;tab=0" xr:uid="{1736DDE0-AB4E-4B1F-B0DB-3F1A92C2176F}"/>
    <hyperlink ref="F5:F11" r:id="rId19" display="https://ca1.aconex.com/ViewDoc?trackingid=271341877551634199&amp;projectid=1879053289&amp;cversion=1&amp;tab=0" xr:uid="{2175A3CD-92AA-4FD9-8E7D-D8750149996C}"/>
    <hyperlink ref="F41" r:id="rId20" xr:uid="{11041327-A710-4951-9F4E-5CD781B74BE8}"/>
    <hyperlink ref="F42:F44" r:id="rId21" display="HL-DEV-EMPL-QMT-RPT-00017 (1.0) - HLEXTAUD-0008 " xr:uid="{95852FF3-3251-451A-8F1F-799CCF03A439}"/>
    <hyperlink ref="F45" r:id="rId22" xr:uid="{A4AFC8A6-0CB8-489A-A2BA-2F36873DA09E}"/>
    <hyperlink ref="F46:F50" r:id="rId23" display="HL-DEV-EMPL-QMT-RPT-00018 (1.0) - HLEXTAUD-0009" xr:uid="{1342FC2F-C564-488C-B80D-ECC3796DE4A6}"/>
    <hyperlink ref="F34" r:id="rId24" display="https://ca1.aconex.com/ViewDoc?trackingid=271341877551639537&amp;projectid=1879053289&amp;cversion=1&amp;tab=0" xr:uid="{055ECCC3-0E5F-4268-888F-46107458AF38}"/>
    <hyperlink ref="F35:F38" r:id="rId25" display="https://ca1.aconex.com/ViewDoc?trackingid=271341877551639537&amp;projectid=1879053289&amp;cversion=1&amp;tab=0" xr:uid="{3549CE2F-9263-4E80-BF7D-CE6A1D61ABD3}"/>
    <hyperlink ref="F39" r:id="rId26" display="https://ca1.aconex.com/ViewDoc?trackingid=271341877551639539&amp;projectid=1879053289&amp;cversion=1&amp;tab=0" xr:uid="{7C1FAE25-C681-412B-A2ED-47C0607AC681}"/>
    <hyperlink ref="F40" r:id="rId27" display="https://ca1.aconex.com/ViewDoc?trackingid=271341877551639539&amp;projectid=1879053289&amp;cversion=1&amp;tab=0" xr:uid="{27AB9A91-2A3D-433D-99D9-04B99B00E629}"/>
    <hyperlink ref="F51" r:id="rId28" xr:uid="{35FC5C4A-2A9B-43C6-82F3-B1E16719AB50}"/>
    <hyperlink ref="F52" r:id="rId29" xr:uid="{6D10067F-30F3-4A36-B1E0-7E0D0FEDB060}"/>
    <hyperlink ref="F53" r:id="rId30" xr:uid="{C88F9EE1-57E7-49A5-830A-A5945419A78B}"/>
    <hyperlink ref="F54" r:id="rId31" xr:uid="{9ACE8153-4EE3-4FFC-8AF6-4A921547488F}"/>
    <hyperlink ref="F55" r:id="rId32" xr:uid="{F09B9A55-2B13-4D37-A3B5-207865DADCDE}"/>
    <hyperlink ref="F56" r:id="rId33" xr:uid="{80504E7C-811E-4E31-988E-3DF149F94F61}"/>
    <hyperlink ref="F57" r:id="rId34" xr:uid="{4138EDC6-A237-4FD7-91C2-8EF37577D378}"/>
    <hyperlink ref="F58:F61" r:id="rId35" display="HLEXTAUD-0006_x000a_HL-DEV-EMPL-QMT-RPT-00016" xr:uid="{170C6598-D234-4E20-9C34-68BF168DA2EE}"/>
    <hyperlink ref="F68" r:id="rId36" xr:uid="{C7B6D15C-0B63-4E3F-A641-E10517764AFC}"/>
    <hyperlink ref="F69" r:id="rId37" xr:uid="{B7948594-3A0A-48E3-A5A3-9C3100E11DC3}"/>
    <hyperlink ref="L68" r:id="rId38" xr:uid="{CAF1994E-BAE1-4883-952C-E7CCD5F7A44F}"/>
    <hyperlink ref="F62" r:id="rId39" xr:uid="{AD25A249-4751-411F-B0B7-F0C4828F954A}"/>
    <hyperlink ref="F63" r:id="rId40" xr:uid="{15749108-A95D-49BB-8412-F860D68BF09F}"/>
    <hyperlink ref="F64" r:id="rId41" xr:uid="{4152DA1D-A2E4-45D9-88F8-F700EDBAE48E}"/>
    <hyperlink ref="F65" r:id="rId42" xr:uid="{5BFF1ADB-320C-4FB1-A13A-BE3103150F43}"/>
    <hyperlink ref="F66" r:id="rId43" xr:uid="{97EF56BD-EA03-4C29-A678-311DFFA01E28}"/>
    <hyperlink ref="F67" r:id="rId44" xr:uid="{1F8F3F7F-16B9-48EC-AF48-C66363B886D2}"/>
    <hyperlink ref="F70" r:id="rId45" xr:uid="{4303EFB3-6EF0-4A23-9FBB-03DF37DCA44A}"/>
    <hyperlink ref="H71" r:id="rId46" xr:uid="{05870D22-2CBB-4888-A32A-2AD7C2119F99}"/>
    <hyperlink ref="H72" r:id="rId47" xr:uid="{1B0A6820-0AA5-4D99-80A8-0E71F08251FA}"/>
    <hyperlink ref="H73" r:id="rId48" xr:uid="{9137CB79-CCB7-4E64-A882-792BE29A0432}"/>
    <hyperlink ref="F71" r:id="rId49" xr:uid="{B5BEA663-8DD3-43CC-ACDD-B06DB8C29148}"/>
    <hyperlink ref="F72" r:id="rId50" xr:uid="{75C49EFD-0CB1-491D-B92A-8C78F298FAEF}"/>
    <hyperlink ref="F73" r:id="rId51" xr:uid="{6351CFC6-B762-4E44-BAFC-5E7B2C82A650}"/>
    <hyperlink ref="H74" r:id="rId52" xr:uid="{40A982E7-FCC2-433C-84D6-145AE0A386E7}"/>
    <hyperlink ref="H75" r:id="rId53" xr:uid="{B7EEFFAD-0B41-4D7C-A09E-4C2C6667B391}"/>
    <hyperlink ref="H76" r:id="rId54" xr:uid="{B248008E-8FA4-4647-A9A1-3F85DDCF8183}"/>
    <hyperlink ref="H77" r:id="rId55" xr:uid="{2659C1DE-0EF6-412A-8D1A-D0839113E133}"/>
    <hyperlink ref="H78" r:id="rId56" xr:uid="{9F70C805-C736-41DE-ACF2-2B67E6B82D21}"/>
    <hyperlink ref="H79" r:id="rId57" xr:uid="{53A30533-9407-4607-AC66-492F2BE757C2}"/>
    <hyperlink ref="H80" r:id="rId58" xr:uid="{43044F5D-C3DE-4B05-8F78-5ADE7AA08D03}"/>
    <hyperlink ref="H81" r:id="rId59" xr:uid="{CA021F96-5294-4D04-842C-1D163C7C752C}"/>
    <hyperlink ref="H82" r:id="rId60" xr:uid="{71867FD3-1971-4285-B067-EC9093864D1C}"/>
    <hyperlink ref="F74" r:id="rId61" xr:uid="{A285B8E1-999C-4D7F-A805-D124E66BF9D1}"/>
    <hyperlink ref="F75:F80" r:id="rId62" display="HLEXTAUD-0013_x000a_HL-DEV-EMPL-QMT-RPT-00028" xr:uid="{F13C927B-E8F5-4AA6-B636-CB87050E28F4}"/>
    <hyperlink ref="F81" r:id="rId63" xr:uid="{698272FC-A18E-4A53-B3BB-BF447B8E0DE1}"/>
    <hyperlink ref="F82" r:id="rId64" xr:uid="{55DC53E8-792A-4E8C-AB0B-66756EEBC369}"/>
  </hyperlinks>
  <pageMargins left="0.7" right="0.7" top="0.75" bottom="0.75" header="0.3" footer="0.3"/>
  <drawing r:id="rId6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D16EF-C190-47C2-A061-E0D356C2C879}">
  <sheetPr codeName="Sheet53">
    <tabColor theme="0" tint="-0.34998626667073579"/>
  </sheetPr>
  <dimension ref="A1:X26"/>
  <sheetViews>
    <sheetView zoomScale="85" zoomScaleNormal="85" workbookViewId="0">
      <pane xSplit="5" ySplit="1" topLeftCell="N13" activePane="bottomRight" state="frozen"/>
      <selection activeCell="B10" sqref="B10"/>
      <selection pane="topRight" activeCell="B10" sqref="B10"/>
      <selection pane="bottomLeft" activeCell="B10" sqref="B10"/>
      <selection pane="bottomRight" activeCell="X24" sqref="X24"/>
    </sheetView>
  </sheetViews>
  <sheetFormatPr defaultColWidth="8.7109375" defaultRowHeight="15.75"/>
  <cols>
    <col min="1" max="1" width="6.42578125" style="1" bestFit="1" customWidth="1"/>
    <col min="2" max="2" width="22" style="1" customWidth="1"/>
    <col min="3" max="3" width="23.7109375" style="1" customWidth="1"/>
    <col min="4" max="4" width="21.28515625" style="1" customWidth="1"/>
    <col min="5" max="5" width="38.85546875" style="107" customWidth="1"/>
    <col min="6" max="6" width="27.42578125" style="1" bestFit="1" customWidth="1"/>
    <col min="7" max="7" width="27.42578125" style="1" customWidth="1"/>
    <col min="8" max="8" width="16.42578125" style="747" customWidth="1"/>
    <col min="9" max="9" width="30.85546875" style="107" customWidth="1"/>
    <col min="10" max="10" width="22.5703125" style="616" customWidth="1"/>
    <col min="11" max="11" width="16.42578125" style="33" customWidth="1"/>
    <col min="12" max="12" width="38.7109375" style="107" customWidth="1"/>
    <col min="13" max="13" width="33.7109375" style="1" customWidth="1"/>
    <col min="14" max="14" width="20.85546875" style="1" customWidth="1"/>
    <col min="15" max="18" width="8.7109375" style="1"/>
    <col min="19" max="19" width="2" style="769" customWidth="1"/>
    <col min="20" max="21" width="8.7109375" style="1"/>
    <col min="22" max="22" width="8.5703125" style="1" bestFit="1" customWidth="1"/>
    <col min="23" max="23" width="24.140625" style="1" bestFit="1" customWidth="1"/>
    <col min="24" max="24" width="44.85546875" style="1" bestFit="1" customWidth="1"/>
    <col min="25" max="16384" width="8.7109375" style="1"/>
  </cols>
  <sheetData>
    <row r="1" spans="1:24" s="148" customFormat="1" ht="27.95" customHeight="1">
      <c r="A1" s="38" t="s">
        <v>0</v>
      </c>
      <c r="B1" s="38" t="s">
        <v>3307</v>
      </c>
      <c r="C1" s="38" t="s">
        <v>3308</v>
      </c>
      <c r="D1" s="38" t="s">
        <v>3309</v>
      </c>
      <c r="E1" s="37" t="s">
        <v>2437</v>
      </c>
      <c r="F1" s="38" t="s">
        <v>3310</v>
      </c>
      <c r="G1" s="38" t="s">
        <v>3311</v>
      </c>
      <c r="H1" s="749" t="s">
        <v>3312</v>
      </c>
      <c r="I1" s="37" t="s">
        <v>3313</v>
      </c>
      <c r="J1" s="37" t="s">
        <v>640</v>
      </c>
      <c r="K1" s="38" t="s">
        <v>3314</v>
      </c>
      <c r="L1" s="37" t="s">
        <v>3315</v>
      </c>
      <c r="M1" s="38" t="s">
        <v>307</v>
      </c>
      <c r="S1" s="768"/>
      <c r="V1" s="704" t="s">
        <v>3394</v>
      </c>
      <c r="W1" s="704" t="s">
        <v>3393</v>
      </c>
      <c r="X1" s="704" t="s">
        <v>27</v>
      </c>
    </row>
    <row r="2" spans="1:24" ht="31.5">
      <c r="A2" s="32">
        <v>1</v>
      </c>
      <c r="B2" s="554" t="s">
        <v>3316</v>
      </c>
      <c r="C2" s="750" t="s">
        <v>3942</v>
      </c>
      <c r="D2" s="554" t="s">
        <v>2436</v>
      </c>
      <c r="E2" s="721" t="s">
        <v>3317</v>
      </c>
      <c r="F2" s="554" t="s">
        <v>3318</v>
      </c>
      <c r="G2" s="554" t="s">
        <v>38</v>
      </c>
      <c r="H2" s="751" t="s">
        <v>3319</v>
      </c>
      <c r="I2" s="752" t="s">
        <v>3320</v>
      </c>
      <c r="J2" s="753" t="s">
        <v>3943</v>
      </c>
      <c r="K2" s="32" t="s">
        <v>1001</v>
      </c>
      <c r="L2" s="721"/>
      <c r="M2" s="554"/>
      <c r="V2" s="703" t="s">
        <v>3406</v>
      </c>
      <c r="W2" s="702" t="s">
        <v>3412</v>
      </c>
      <c r="X2" s="709" t="s">
        <v>3411</v>
      </c>
    </row>
    <row r="3" spans="1:24" ht="31.5">
      <c r="A3" s="32">
        <v>2</v>
      </c>
      <c r="B3" s="554" t="s">
        <v>3321</v>
      </c>
      <c r="C3" s="554" t="s">
        <v>2436</v>
      </c>
      <c r="D3" s="554" t="s">
        <v>2436</v>
      </c>
      <c r="E3" s="721" t="s">
        <v>3317</v>
      </c>
      <c r="F3" s="554" t="s">
        <v>3318</v>
      </c>
      <c r="G3" s="554" t="s">
        <v>38</v>
      </c>
      <c r="H3" s="751" t="s">
        <v>3319</v>
      </c>
      <c r="I3" s="752" t="s">
        <v>3322</v>
      </c>
      <c r="J3" s="753" t="s">
        <v>3944</v>
      </c>
      <c r="K3" s="32" t="s">
        <v>1001</v>
      </c>
      <c r="L3" s="721"/>
      <c r="M3" s="554"/>
      <c r="V3" s="708" t="s">
        <v>3406</v>
      </c>
      <c r="W3" s="707" t="s">
        <v>3410</v>
      </c>
      <c r="X3" s="707" t="s">
        <v>3409</v>
      </c>
    </row>
    <row r="4" spans="1:24" ht="38.25" customHeight="1">
      <c r="A4" s="32">
        <v>3</v>
      </c>
      <c r="B4" s="554" t="s">
        <v>1544</v>
      </c>
      <c r="C4" s="554" t="s">
        <v>2436</v>
      </c>
      <c r="D4" s="554" t="s">
        <v>2436</v>
      </c>
      <c r="E4" s="721" t="s">
        <v>3323</v>
      </c>
      <c r="F4" s="554" t="s">
        <v>3318</v>
      </c>
      <c r="G4" s="554" t="s">
        <v>38</v>
      </c>
      <c r="H4" s="751" t="s">
        <v>3319</v>
      </c>
      <c r="I4" s="752" t="s">
        <v>3945</v>
      </c>
      <c r="J4" s="753" t="s">
        <v>3946</v>
      </c>
      <c r="K4" s="32" t="s">
        <v>1001</v>
      </c>
      <c r="L4" s="721"/>
      <c r="M4" s="554"/>
      <c r="V4" s="706" t="s">
        <v>3406</v>
      </c>
      <c r="W4" s="705" t="s">
        <v>3408</v>
      </c>
      <c r="X4" s="705" t="s">
        <v>3407</v>
      </c>
    </row>
    <row r="5" spans="1:24" ht="31.5">
      <c r="A5" s="32">
        <v>4</v>
      </c>
      <c r="B5" s="554" t="s">
        <v>3324</v>
      </c>
      <c r="C5" s="554" t="s">
        <v>2436</v>
      </c>
      <c r="D5" s="554" t="s">
        <v>2436</v>
      </c>
      <c r="E5" s="721" t="s">
        <v>3325</v>
      </c>
      <c r="F5" s="554" t="s">
        <v>3318</v>
      </c>
      <c r="G5" s="554" t="s">
        <v>38</v>
      </c>
      <c r="H5" s="751" t="s">
        <v>3319</v>
      </c>
      <c r="I5" s="752" t="s">
        <v>3326</v>
      </c>
      <c r="J5" s="753" t="s">
        <v>3947</v>
      </c>
      <c r="K5" s="32" t="s">
        <v>1001</v>
      </c>
      <c r="L5" s="721"/>
      <c r="M5" s="554"/>
      <c r="V5" s="703" t="s">
        <v>3406</v>
      </c>
      <c r="W5" s="702" t="s">
        <v>3405</v>
      </c>
      <c r="X5" s="702" t="s">
        <v>3404</v>
      </c>
    </row>
    <row r="6" spans="1:24" ht="31.5">
      <c r="A6" s="32">
        <v>5</v>
      </c>
      <c r="B6" s="554" t="s">
        <v>3327</v>
      </c>
      <c r="C6" s="554" t="s">
        <v>3328</v>
      </c>
      <c r="D6" s="554" t="s">
        <v>2436</v>
      </c>
      <c r="E6" s="721" t="s">
        <v>3329</v>
      </c>
      <c r="F6" s="554" t="s">
        <v>3318</v>
      </c>
      <c r="G6" s="554" t="s">
        <v>38</v>
      </c>
      <c r="H6" s="751" t="s">
        <v>3319</v>
      </c>
      <c r="I6" s="754" t="s">
        <v>3330</v>
      </c>
      <c r="J6" s="755" t="s">
        <v>148</v>
      </c>
      <c r="K6" s="32" t="s">
        <v>1001</v>
      </c>
      <c r="L6" s="721"/>
      <c r="M6" s="554"/>
      <c r="V6" s="706" t="s">
        <v>3397</v>
      </c>
      <c r="W6" s="705" t="s">
        <v>3403</v>
      </c>
      <c r="X6" s="705" t="s">
        <v>3395</v>
      </c>
    </row>
    <row r="7" spans="1:24" ht="31.5">
      <c r="A7" s="32">
        <v>6</v>
      </c>
      <c r="B7" s="554" t="s">
        <v>3331</v>
      </c>
      <c r="C7" s="554" t="s">
        <v>3328</v>
      </c>
      <c r="D7" s="554" t="s">
        <v>2436</v>
      </c>
      <c r="E7" s="721" t="s">
        <v>3329</v>
      </c>
      <c r="F7" s="554" t="s">
        <v>3318</v>
      </c>
      <c r="G7" s="554" t="s">
        <v>38</v>
      </c>
      <c r="H7" s="751" t="s">
        <v>3319</v>
      </c>
      <c r="I7" s="754" t="s">
        <v>3330</v>
      </c>
      <c r="J7" s="755" t="s">
        <v>148</v>
      </c>
      <c r="K7" s="32" t="s">
        <v>1001</v>
      </c>
      <c r="L7" s="721"/>
      <c r="M7" s="554"/>
      <c r="V7" s="706" t="s">
        <v>3397</v>
      </c>
      <c r="W7" s="705" t="s">
        <v>3402</v>
      </c>
      <c r="X7" s="705" t="s">
        <v>3395</v>
      </c>
    </row>
    <row r="8" spans="1:24" ht="182.25" customHeight="1">
      <c r="A8" s="32">
        <v>7</v>
      </c>
      <c r="B8" s="554" t="s">
        <v>3305</v>
      </c>
      <c r="C8" s="554" t="s">
        <v>3303</v>
      </c>
      <c r="D8" s="554" t="s">
        <v>3303</v>
      </c>
      <c r="E8" s="721" t="s">
        <v>3332</v>
      </c>
      <c r="F8" s="554" t="s">
        <v>3333</v>
      </c>
      <c r="G8" s="554" t="s">
        <v>3334</v>
      </c>
      <c r="H8" s="751" t="s">
        <v>3319</v>
      </c>
      <c r="I8" s="754" t="s">
        <v>3330</v>
      </c>
      <c r="J8" s="755" t="s">
        <v>148</v>
      </c>
      <c r="K8" s="32" t="s">
        <v>1001</v>
      </c>
      <c r="L8" s="721" t="s">
        <v>3335</v>
      </c>
      <c r="M8" s="761" t="s">
        <v>3948</v>
      </c>
      <c r="V8" s="706" t="s">
        <v>3397</v>
      </c>
      <c r="W8" s="705" t="s">
        <v>3401</v>
      </c>
      <c r="X8" s="705" t="s">
        <v>3400</v>
      </c>
    </row>
    <row r="9" spans="1:24" ht="159" customHeight="1">
      <c r="A9" s="32">
        <v>8</v>
      </c>
      <c r="B9" s="554" t="s">
        <v>3306</v>
      </c>
      <c r="C9" s="554" t="s">
        <v>3303</v>
      </c>
      <c r="D9" s="554" t="s">
        <v>3303</v>
      </c>
      <c r="E9" s="721" t="s">
        <v>3336</v>
      </c>
      <c r="F9" s="554" t="s">
        <v>3333</v>
      </c>
      <c r="G9" s="554" t="s">
        <v>3334</v>
      </c>
      <c r="H9" s="751" t="s">
        <v>3319</v>
      </c>
      <c r="I9" s="754" t="s">
        <v>3330</v>
      </c>
      <c r="J9" s="755" t="s">
        <v>148</v>
      </c>
      <c r="K9" s="32" t="s">
        <v>1001</v>
      </c>
      <c r="L9" s="596" t="s">
        <v>3335</v>
      </c>
      <c r="M9" s="762" t="s">
        <v>3948</v>
      </c>
      <c r="V9" s="703" t="s">
        <v>3397</v>
      </c>
      <c r="W9" s="702" t="s">
        <v>3399</v>
      </c>
      <c r="X9" s="702" t="s">
        <v>3395</v>
      </c>
    </row>
    <row r="10" spans="1:24" ht="67.5" customHeight="1">
      <c r="A10" s="32">
        <v>9</v>
      </c>
      <c r="B10" s="554" t="s">
        <v>3337</v>
      </c>
      <c r="C10" s="554" t="s">
        <v>3303</v>
      </c>
      <c r="D10" s="554" t="s">
        <v>3303</v>
      </c>
      <c r="E10" s="756" t="s">
        <v>38</v>
      </c>
      <c r="F10" s="757" t="s">
        <v>3330</v>
      </c>
      <c r="G10" s="757" t="s">
        <v>3330</v>
      </c>
      <c r="H10" s="751" t="s">
        <v>31</v>
      </c>
      <c r="I10" s="754" t="s">
        <v>3330</v>
      </c>
      <c r="J10" s="755" t="s">
        <v>148</v>
      </c>
      <c r="K10" s="32" t="s">
        <v>1001</v>
      </c>
      <c r="L10" s="721" t="s">
        <v>3338</v>
      </c>
      <c r="M10" s="554"/>
      <c r="V10" s="703" t="s">
        <v>3397</v>
      </c>
      <c r="W10" s="702" t="s">
        <v>3398</v>
      </c>
      <c r="X10" s="702" t="s">
        <v>3395</v>
      </c>
    </row>
    <row r="11" spans="1:24" ht="75.75" customHeight="1">
      <c r="A11" s="32">
        <v>10</v>
      </c>
      <c r="B11" s="554" t="s">
        <v>3339</v>
      </c>
      <c r="C11" s="554" t="s">
        <v>2725</v>
      </c>
      <c r="D11" s="554" t="s">
        <v>2725</v>
      </c>
      <c r="E11" s="721" t="s">
        <v>3340</v>
      </c>
      <c r="F11" s="554" t="s">
        <v>3341</v>
      </c>
      <c r="G11" s="554" t="s">
        <v>3342</v>
      </c>
      <c r="H11" s="751" t="s">
        <v>3319</v>
      </c>
      <c r="I11" s="752" t="s">
        <v>3949</v>
      </c>
      <c r="J11" s="755" t="s">
        <v>148</v>
      </c>
      <c r="K11" s="32" t="s">
        <v>1001</v>
      </c>
      <c r="L11" s="721" t="s">
        <v>3343</v>
      </c>
      <c r="M11" s="554"/>
      <c r="V11" s="703" t="s">
        <v>3397</v>
      </c>
      <c r="W11" s="702" t="s">
        <v>3396</v>
      </c>
      <c r="X11" s="702" t="s">
        <v>3395</v>
      </c>
    </row>
    <row r="12" spans="1:24" ht="78.75" customHeight="1">
      <c r="A12" s="32">
        <v>11</v>
      </c>
      <c r="B12" s="554" t="s">
        <v>3344</v>
      </c>
      <c r="C12" s="554" t="s">
        <v>2725</v>
      </c>
      <c r="D12" s="554" t="s">
        <v>2725</v>
      </c>
      <c r="E12" s="721" t="s">
        <v>3345</v>
      </c>
      <c r="F12" s="554" t="s">
        <v>3341</v>
      </c>
      <c r="G12" s="554" t="s">
        <v>3342</v>
      </c>
      <c r="H12" s="751" t="s">
        <v>3319</v>
      </c>
      <c r="I12" s="754" t="s">
        <v>3950</v>
      </c>
      <c r="J12" s="753" t="s">
        <v>38</v>
      </c>
      <c r="K12" s="32" t="s">
        <v>1001</v>
      </c>
      <c r="L12" s="721" t="s">
        <v>3343</v>
      </c>
      <c r="M12" s="554"/>
      <c r="V12"/>
      <c r="W12"/>
      <c r="X12"/>
    </row>
    <row r="13" spans="1:24" ht="94.5">
      <c r="A13" s="32">
        <v>12</v>
      </c>
      <c r="B13" s="554" t="s">
        <v>3346</v>
      </c>
      <c r="C13" s="554" t="s">
        <v>3347</v>
      </c>
      <c r="D13" s="554" t="s">
        <v>3347</v>
      </c>
      <c r="E13" s="721" t="s">
        <v>3348</v>
      </c>
      <c r="F13" s="554" t="s">
        <v>3349</v>
      </c>
      <c r="G13" s="554" t="s">
        <v>38</v>
      </c>
      <c r="H13" s="751" t="s">
        <v>3319</v>
      </c>
      <c r="I13" s="754" t="s">
        <v>3330</v>
      </c>
      <c r="J13" s="755" t="s">
        <v>148</v>
      </c>
      <c r="K13" s="32" t="s">
        <v>1001</v>
      </c>
      <c r="L13" s="721" t="s">
        <v>3350</v>
      </c>
      <c r="M13" s="554"/>
      <c r="V13" s="704" t="s">
        <v>3394</v>
      </c>
      <c r="W13" s="704" t="s">
        <v>3393</v>
      </c>
      <c r="X13" s="704" t="s">
        <v>27</v>
      </c>
    </row>
    <row r="14" spans="1:24" ht="47.25">
      <c r="A14" s="32">
        <v>13</v>
      </c>
      <c r="B14" s="554" t="s">
        <v>3351</v>
      </c>
      <c r="C14" s="554" t="s">
        <v>3304</v>
      </c>
      <c r="D14" s="554" t="s">
        <v>3304</v>
      </c>
      <c r="E14" s="721" t="s">
        <v>3352</v>
      </c>
      <c r="F14" s="554" t="s">
        <v>31</v>
      </c>
      <c r="G14" s="554" t="s">
        <v>31</v>
      </c>
      <c r="H14" s="751" t="s">
        <v>31</v>
      </c>
      <c r="I14" s="754" t="s">
        <v>3330</v>
      </c>
      <c r="J14" s="755" t="s">
        <v>148</v>
      </c>
      <c r="K14" s="32" t="s">
        <v>1001</v>
      </c>
      <c r="L14" s="721" t="s">
        <v>3353</v>
      </c>
      <c r="M14" s="554"/>
      <c r="V14" s="703" t="s">
        <v>3382</v>
      </c>
      <c r="W14" s="702" t="s">
        <v>3392</v>
      </c>
      <c r="X14" s="702" t="s">
        <v>3391</v>
      </c>
    </row>
    <row r="15" spans="1:24" ht="29.1" customHeight="1">
      <c r="A15" s="32">
        <v>14</v>
      </c>
      <c r="B15" s="554" t="s">
        <v>3354</v>
      </c>
      <c r="C15" s="554" t="s">
        <v>3355</v>
      </c>
      <c r="D15" s="554" t="s">
        <v>3355</v>
      </c>
      <c r="E15" s="721" t="s">
        <v>3356</v>
      </c>
      <c r="F15" s="554" t="s">
        <v>3357</v>
      </c>
      <c r="G15" s="554"/>
      <c r="H15" s="758">
        <v>45898</v>
      </c>
      <c r="I15" s="754" t="s">
        <v>3330</v>
      </c>
      <c r="J15" s="755"/>
      <c r="K15" s="32" t="s">
        <v>1001</v>
      </c>
      <c r="L15" s="721"/>
      <c r="M15" s="554"/>
      <c r="V15" s="703" t="s">
        <v>3382</v>
      </c>
      <c r="W15" s="702" t="s">
        <v>3390</v>
      </c>
      <c r="X15" s="702" t="s">
        <v>3389</v>
      </c>
    </row>
    <row r="16" spans="1:24" ht="29.1" customHeight="1">
      <c r="A16" s="32">
        <v>15</v>
      </c>
      <c r="B16" s="554" t="s">
        <v>3358</v>
      </c>
      <c r="C16" s="554" t="s">
        <v>3951</v>
      </c>
      <c r="D16" s="554" t="s">
        <v>1045</v>
      </c>
      <c r="E16" s="721" t="s">
        <v>3360</v>
      </c>
      <c r="F16" s="554" t="s">
        <v>3361</v>
      </c>
      <c r="G16" s="554" t="s">
        <v>38</v>
      </c>
      <c r="H16" s="758">
        <v>45904</v>
      </c>
      <c r="I16" s="752" t="s">
        <v>3362</v>
      </c>
      <c r="J16" s="753" t="s">
        <v>3952</v>
      </c>
      <c r="K16" s="32" t="s">
        <v>1001</v>
      </c>
      <c r="L16" s="721"/>
      <c r="M16" s="759"/>
      <c r="V16" s="703" t="s">
        <v>3382</v>
      </c>
      <c r="W16" s="702" t="s">
        <v>3388</v>
      </c>
      <c r="X16" s="702" t="s">
        <v>3387</v>
      </c>
    </row>
    <row r="17" spans="1:24" ht="45">
      <c r="A17" s="32">
        <v>16</v>
      </c>
      <c r="B17" s="760" t="s">
        <v>3953</v>
      </c>
      <c r="C17" s="760" t="s">
        <v>3359</v>
      </c>
      <c r="D17" s="760" t="s">
        <v>3359</v>
      </c>
      <c r="E17" s="750" t="s">
        <v>3954</v>
      </c>
      <c r="F17" s="554" t="s">
        <v>38</v>
      </c>
      <c r="G17" s="554" t="s">
        <v>38</v>
      </c>
      <c r="H17" s="751" t="s">
        <v>38</v>
      </c>
      <c r="I17" s="721" t="s">
        <v>3330</v>
      </c>
      <c r="J17" s="620" t="s">
        <v>148</v>
      </c>
      <c r="K17" s="32" t="s">
        <v>1001</v>
      </c>
      <c r="L17" s="721"/>
      <c r="M17" s="554"/>
      <c r="N17" s="748" t="s">
        <v>3955</v>
      </c>
      <c r="V17" s="703" t="s">
        <v>3382</v>
      </c>
      <c r="W17" s="702" t="s">
        <v>3386</v>
      </c>
      <c r="X17" s="702" t="s">
        <v>3385</v>
      </c>
    </row>
    <row r="18" spans="1:24" ht="31.5">
      <c r="A18" s="32">
        <v>17</v>
      </c>
      <c r="B18" s="554" t="s">
        <v>3956</v>
      </c>
      <c r="C18" s="554" t="s">
        <v>3957</v>
      </c>
      <c r="D18" s="554" t="s">
        <v>1045</v>
      </c>
      <c r="E18" s="721" t="s">
        <v>3958</v>
      </c>
      <c r="F18" s="554" t="s">
        <v>38</v>
      </c>
      <c r="G18" s="554" t="s">
        <v>38</v>
      </c>
      <c r="H18" s="751" t="s">
        <v>38</v>
      </c>
      <c r="I18" s="721" t="s">
        <v>3330</v>
      </c>
      <c r="J18" s="620" t="s">
        <v>148</v>
      </c>
      <c r="K18" s="32" t="s">
        <v>3314</v>
      </c>
      <c r="L18" s="721"/>
      <c r="M18" s="554"/>
      <c r="N18" s="1" t="s">
        <v>3959</v>
      </c>
      <c r="V18" s="703" t="s">
        <v>3382</v>
      </c>
      <c r="W18" s="702" t="s">
        <v>3384</v>
      </c>
      <c r="X18" s="702" t="s">
        <v>3383</v>
      </c>
    </row>
    <row r="19" spans="1:24" ht="45">
      <c r="V19" s="703" t="s">
        <v>3382</v>
      </c>
      <c r="W19" s="702" t="s">
        <v>3381</v>
      </c>
      <c r="X19" s="702" t="s">
        <v>3380</v>
      </c>
    </row>
    <row r="20" spans="1:24" ht="30">
      <c r="V20" s="703" t="s">
        <v>3375</v>
      </c>
      <c r="W20" s="702" t="s">
        <v>3379</v>
      </c>
      <c r="X20" s="702" t="s">
        <v>3378</v>
      </c>
    </row>
    <row r="21" spans="1:24" ht="30">
      <c r="V21" s="703" t="s">
        <v>3375</v>
      </c>
      <c r="W21" s="702" t="s">
        <v>3377</v>
      </c>
      <c r="X21" s="702" t="s">
        <v>3376</v>
      </c>
    </row>
    <row r="22" spans="1:24" ht="30">
      <c r="V22" s="703" t="s">
        <v>3375</v>
      </c>
      <c r="W22" s="702" t="s">
        <v>3374</v>
      </c>
      <c r="X22" s="702" t="s">
        <v>3373</v>
      </c>
    </row>
    <row r="23" spans="1:24" ht="60">
      <c r="V23" s="703" t="s">
        <v>3365</v>
      </c>
      <c r="W23" s="702" t="s">
        <v>3372</v>
      </c>
      <c r="X23" s="702" t="s">
        <v>3371</v>
      </c>
    </row>
    <row r="24" spans="1:24" ht="60">
      <c r="V24" s="703" t="s">
        <v>3368</v>
      </c>
      <c r="W24" s="702" t="s">
        <v>3370</v>
      </c>
      <c r="X24" s="702" t="s">
        <v>3369</v>
      </c>
    </row>
    <row r="25" spans="1:24" ht="60">
      <c r="V25" s="703" t="s">
        <v>3368</v>
      </c>
      <c r="W25" s="702" t="s">
        <v>3367</v>
      </c>
      <c r="X25" s="702" t="s">
        <v>3366</v>
      </c>
    </row>
    <row r="26" spans="1:24" ht="60">
      <c r="V26" s="703" t="s">
        <v>3365</v>
      </c>
      <c r="W26" s="702" t="s">
        <v>3364</v>
      </c>
      <c r="X26" s="702" t="s">
        <v>3363</v>
      </c>
    </row>
  </sheetData>
  <autoFilter ref="A1:N1" xr:uid="{3416C49A-6472-41BE-A72F-7F6F4BA7BB82}"/>
  <phoneticPr fontId="164" type="noConversion"/>
  <conditionalFormatting sqref="H2:H1048576">
    <cfRule type="cellIs" dxfId="103" priority="1" operator="lessThanOrEqual">
      <formula>#REF!</formula>
    </cfRule>
    <cfRule type="cellIs" dxfId="102" priority="2" operator="greaterThan">
      <formula>#REF!</formula>
    </cfRule>
  </conditionalFormatting>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137F9-F658-4120-AD7E-E56123AE92BE}">
  <sheetPr codeName="Sheet39">
    <tabColor theme="7" tint="0.59999389629810485"/>
  </sheetPr>
  <dimension ref="A1"/>
  <sheetViews>
    <sheetView view="pageBreakPreview" zoomScaleNormal="100" zoomScaleSheetLayoutView="100" workbookViewId="0">
      <selection activeCell="E16" sqref="E16"/>
    </sheetView>
  </sheetViews>
  <sheetFormatPr defaultRowHeight="15.75"/>
  <sheetData/>
  <phoneticPr fontId="164" type="noConversion"/>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7A541-C617-4864-8EC2-EA3972621BB7}">
  <sheetPr codeName="Sheet47">
    <tabColor theme="7" tint="0.59999389629810485"/>
  </sheetPr>
  <dimension ref="B7"/>
  <sheetViews>
    <sheetView view="pageBreakPreview" zoomScaleNormal="100" zoomScaleSheetLayoutView="100" workbookViewId="0">
      <selection activeCell="Q24" sqref="Q24"/>
    </sheetView>
  </sheetViews>
  <sheetFormatPr defaultRowHeight="15.75"/>
  <sheetData>
    <row r="7" spans="2:2">
      <c r="B7" t="s">
        <v>4195</v>
      </c>
    </row>
  </sheetData>
  <phoneticPr fontId="164" type="noConversion"/>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3A0DB-A7CF-4063-9A0B-EF1AD4235A40}">
  <sheetPr codeName="Sheet58">
    <tabColor rgb="FFFF0000"/>
  </sheetPr>
  <dimension ref="E2:BQ44"/>
  <sheetViews>
    <sheetView topLeftCell="O1" zoomScale="55" zoomScaleNormal="55" workbookViewId="0">
      <selection activeCell="AR22" sqref="AR22"/>
    </sheetView>
  </sheetViews>
  <sheetFormatPr defaultRowHeight="15.75"/>
  <cols>
    <col min="5" max="5" width="14.42578125" bestFit="1" customWidth="1"/>
    <col min="6" max="6" width="16" bestFit="1" customWidth="1"/>
    <col min="7" max="7" width="21.42578125" bestFit="1" customWidth="1"/>
    <col min="8" max="8" width="20" bestFit="1" customWidth="1"/>
    <col min="13" max="13" width="14.42578125" bestFit="1" customWidth="1"/>
    <col min="14" max="14" width="15.140625" bestFit="1" customWidth="1"/>
    <col min="15" max="15" width="20.42578125" bestFit="1" customWidth="1"/>
    <col min="16" max="16" width="19.140625" bestFit="1" customWidth="1"/>
    <col min="21" max="21" width="14.42578125" bestFit="1" customWidth="1"/>
    <col min="22" max="22" width="18.85546875" bestFit="1" customWidth="1"/>
    <col min="23" max="23" width="17.42578125" bestFit="1" customWidth="1"/>
    <col min="24" max="24" width="21.140625" bestFit="1" customWidth="1"/>
    <col min="25" max="25" width="19.5703125" bestFit="1" customWidth="1"/>
    <col min="26" max="26" width="16.140625" bestFit="1" customWidth="1"/>
    <col min="27" max="27" width="17.28515625" bestFit="1" customWidth="1"/>
    <col min="30" max="30" width="14.42578125" bestFit="1" customWidth="1"/>
    <col min="31" max="31" width="17.42578125" bestFit="1" customWidth="1"/>
    <col min="32" max="32" width="18.85546875" bestFit="1" customWidth="1"/>
    <col min="33" max="33" width="17.28515625" bestFit="1" customWidth="1"/>
    <col min="34" max="34" width="16.140625" bestFit="1" customWidth="1"/>
    <col min="35" max="36" width="18" bestFit="1" customWidth="1"/>
    <col min="41" max="41" width="18.5703125" bestFit="1" customWidth="1"/>
    <col min="42" max="42" width="16.85546875" bestFit="1" customWidth="1"/>
    <col min="43" max="43" width="10.7109375" bestFit="1" customWidth="1"/>
    <col min="44" max="44" width="18.28515625" bestFit="1" customWidth="1"/>
    <col min="45" max="45" width="7.7109375" bestFit="1" customWidth="1"/>
    <col min="46" max="46" width="12" bestFit="1" customWidth="1"/>
    <col min="47" max="47" width="11.5703125" bestFit="1" customWidth="1"/>
    <col min="48" max="48" width="15.5703125" bestFit="1" customWidth="1"/>
    <col min="49" max="49" width="10.7109375" bestFit="1" customWidth="1"/>
    <col min="65" max="65" width="14.42578125" bestFit="1" customWidth="1"/>
    <col min="66" max="66" width="25" bestFit="1" customWidth="1"/>
    <col min="67" max="67" width="25.140625" bestFit="1" customWidth="1"/>
    <col min="68" max="69" width="27" bestFit="1" customWidth="1"/>
    <col min="70" max="70" width="19.42578125" bestFit="1" customWidth="1"/>
  </cols>
  <sheetData>
    <row r="2" spans="5:69" ht="19.5">
      <c r="E2" s="805" t="s">
        <v>4044</v>
      </c>
      <c r="M2" s="76" t="s">
        <v>308</v>
      </c>
      <c r="U2" s="76" t="s">
        <v>2465</v>
      </c>
      <c r="AD2" s="76" t="s">
        <v>2434</v>
      </c>
      <c r="AO2" s="76" t="s">
        <v>4069</v>
      </c>
      <c r="BM2" s="76" t="s">
        <v>4072</v>
      </c>
    </row>
    <row r="3" spans="5:69">
      <c r="E3" s="75" t="s">
        <v>53</v>
      </c>
      <c r="F3" t="s">
        <v>4043</v>
      </c>
      <c r="G3" t="s">
        <v>2393</v>
      </c>
      <c r="H3" t="s">
        <v>2394</v>
      </c>
      <c r="M3" s="75" t="s">
        <v>53</v>
      </c>
      <c r="N3" t="s">
        <v>4045</v>
      </c>
      <c r="O3" t="s">
        <v>2387</v>
      </c>
      <c r="P3" t="s">
        <v>2388</v>
      </c>
      <c r="U3" s="75" t="s">
        <v>53</v>
      </c>
      <c r="V3" t="s">
        <v>2391</v>
      </c>
      <c r="W3" t="s">
        <v>2392</v>
      </c>
      <c r="X3" t="s">
        <v>4059</v>
      </c>
      <c r="Y3" t="s">
        <v>4060</v>
      </c>
      <c r="Z3" t="s">
        <v>4049</v>
      </c>
      <c r="AA3" t="s">
        <v>4050</v>
      </c>
      <c r="AD3" s="75" t="s">
        <v>53</v>
      </c>
      <c r="AE3" t="s">
        <v>2390</v>
      </c>
      <c r="AF3" t="s">
        <v>2389</v>
      </c>
      <c r="AG3" t="s">
        <v>4071</v>
      </c>
      <c r="AH3" t="s">
        <v>4070</v>
      </c>
      <c r="AP3" s="75" t="s">
        <v>52</v>
      </c>
      <c r="BM3" s="75" t="s">
        <v>53</v>
      </c>
      <c r="BN3" t="s">
        <v>4080</v>
      </c>
      <c r="BO3" t="s">
        <v>4081</v>
      </c>
      <c r="BP3" t="s">
        <v>4082</v>
      </c>
      <c r="BQ3" t="s">
        <v>4083</v>
      </c>
    </row>
    <row r="4" spans="5:69">
      <c r="E4" s="74" t="s">
        <v>54</v>
      </c>
      <c r="M4" s="74" t="s">
        <v>54</v>
      </c>
      <c r="U4" s="74" t="s">
        <v>54</v>
      </c>
      <c r="AA4" s="807"/>
      <c r="AD4" s="74" t="s">
        <v>54</v>
      </c>
      <c r="AG4" s="807"/>
      <c r="AO4" s="75" t="s">
        <v>306</v>
      </c>
      <c r="AP4" t="s">
        <v>54</v>
      </c>
      <c r="BM4" s="74" t="s">
        <v>54</v>
      </c>
    </row>
    <row r="5" spans="5:69">
      <c r="AO5" s="74" t="s">
        <v>4061</v>
      </c>
      <c r="AP5" s="808"/>
    </row>
    <row r="6" spans="5:69">
      <c r="AO6" s="74" t="s">
        <v>4062</v>
      </c>
      <c r="AP6" s="808"/>
    </row>
    <row r="7" spans="5:69">
      <c r="AO7" s="74" t="s">
        <v>4063</v>
      </c>
      <c r="AP7" s="808"/>
    </row>
    <row r="8" spans="5:69">
      <c r="AO8" s="74" t="s">
        <v>4064</v>
      </c>
      <c r="AP8" s="808"/>
    </row>
    <row r="9" spans="5:69">
      <c r="AO9" s="74" t="s">
        <v>4065</v>
      </c>
      <c r="AP9" s="808"/>
    </row>
    <row r="10" spans="5:69">
      <c r="AO10" s="74" t="s">
        <v>4066</v>
      </c>
      <c r="AP10" s="808"/>
    </row>
    <row r="11" spans="5:69">
      <c r="AO11" s="74" t="s">
        <v>4067</v>
      </c>
      <c r="AP11" s="808"/>
    </row>
    <row r="12" spans="5:69">
      <c r="AO12" s="74" t="s">
        <v>4068</v>
      </c>
      <c r="AP12" s="808"/>
    </row>
    <row r="13" spans="5:69">
      <c r="AO13" s="74" t="s">
        <v>4204</v>
      </c>
      <c r="AP13" s="808"/>
    </row>
    <row r="14" spans="5:69">
      <c r="AO14" s="74" t="s">
        <v>4205</v>
      </c>
      <c r="AP14" s="808"/>
    </row>
    <row r="31" spans="5:69" s="1" customFormat="1" ht="21.75" thickBot="1">
      <c r="E31" s="809" t="s">
        <v>2790</v>
      </c>
      <c r="F31" s="809"/>
      <c r="G31" s="810"/>
      <c r="H31" s="810"/>
      <c r="I31" s="811"/>
      <c r="J31" s="811"/>
      <c r="K31" s="812"/>
      <c r="L31" s="811"/>
      <c r="M31" s="811"/>
      <c r="N31" s="811"/>
      <c r="O31" s="811"/>
      <c r="P31" s="811"/>
      <c r="Q31" s="812"/>
      <c r="R31" s="811"/>
      <c r="S31" s="811"/>
      <c r="T31" s="811"/>
      <c r="U31" s="811"/>
      <c r="V31" s="811"/>
      <c r="W31" s="811"/>
      <c r="X31" s="812"/>
      <c r="Y31" s="811"/>
      <c r="Z31" s="811"/>
      <c r="AA31" s="811"/>
      <c r="AB31" s="811"/>
      <c r="AC31" s="811"/>
      <c r="AD31" s="811"/>
      <c r="AE31" s="811"/>
      <c r="AF31" s="811"/>
      <c r="AG31" s="811"/>
      <c r="AH31" s="811"/>
      <c r="AI31" s="811"/>
      <c r="AJ31" s="811"/>
      <c r="AK31" s="811"/>
      <c r="AL31" s="811"/>
      <c r="AM31" s="811"/>
      <c r="AN31" s="811"/>
      <c r="AW31" s="811"/>
      <c r="AX31" s="811"/>
      <c r="AY31" s="811"/>
      <c r="AZ31" s="811"/>
      <c r="BA31" s="811"/>
      <c r="BB31" s="811"/>
      <c r="BC31" s="811"/>
      <c r="BD31" s="811"/>
      <c r="BE31" s="811"/>
      <c r="BF31" s="811"/>
      <c r="BG31" s="811"/>
      <c r="BH31" s="811"/>
      <c r="BI31" s="811"/>
      <c r="BJ31" s="811"/>
      <c r="BK31" s="811"/>
      <c r="BL31" s="811"/>
      <c r="BM31" s="811"/>
      <c r="BN31" s="811"/>
      <c r="BO31" s="811"/>
      <c r="BP31" s="811"/>
      <c r="BQ31" s="811"/>
    </row>
    <row r="34" spans="5:31">
      <c r="E34" t="s">
        <v>4039</v>
      </c>
      <c r="F34">
        <f>GETPIVOTDATA("Sum of PQP_Total",$E$3)</f>
        <v>0</v>
      </c>
      <c r="M34" s="64" t="s">
        <v>4041</v>
      </c>
      <c r="N34">
        <f>GETPIVOTDATA("Sum of ITP_Total",$M$3)</f>
        <v>0</v>
      </c>
      <c r="U34" t="s">
        <v>4042</v>
      </c>
      <c r="V34">
        <f>GETPIVOTDATA("Sum of OBS_Total",$U$3)</f>
        <v>0</v>
      </c>
      <c r="AD34" t="s">
        <v>4038</v>
      </c>
      <c r="AE34">
        <f>GETPIVOTDATA("Sum of NCR_Total",$AD$3)</f>
        <v>0</v>
      </c>
    </row>
    <row r="35" spans="5:31">
      <c r="E35" t="s">
        <v>2379</v>
      </c>
      <c r="F35">
        <f>GETPIVOTDATA("Sum of PQP_Submission",$E$3)</f>
        <v>0</v>
      </c>
      <c r="M35" s="64" t="s">
        <v>2381</v>
      </c>
      <c r="N35">
        <f>GETPIVOTDATA("Sum of ITP_Submission",$M$3)</f>
        <v>0</v>
      </c>
      <c r="O35" s="806" t="e">
        <f>N35/N34</f>
        <v>#DIV/0!</v>
      </c>
      <c r="U35" t="s">
        <v>2385</v>
      </c>
      <c r="V35">
        <f>GETPIVOTDATA("Sum of OBS_Opening",$U$3)</f>
        <v>0</v>
      </c>
      <c r="AD35" t="s">
        <v>2383</v>
      </c>
      <c r="AE35">
        <f>GETPIVOTDATA("Sum of NCR_Opening",$AD$3)</f>
        <v>0</v>
      </c>
    </row>
    <row r="36" spans="5:31">
      <c r="E36" t="s">
        <v>2380</v>
      </c>
      <c r="F36">
        <f>GETPIVOTDATA("Sum of PQP_Approved",$E$3)</f>
        <v>0</v>
      </c>
      <c r="M36" s="64" t="s">
        <v>2382</v>
      </c>
      <c r="N36">
        <f>GETPIVOTDATA("Sum of ITP_Approved",$M$3)</f>
        <v>0</v>
      </c>
      <c r="U36" t="s">
        <v>2386</v>
      </c>
      <c r="V36">
        <f>GETPIVOTDATA("Sum of OBS_Closed",$U$3)</f>
        <v>0</v>
      </c>
      <c r="AD36" t="s">
        <v>2384</v>
      </c>
      <c r="AE36">
        <f>GETPIVOTDATA("Sum of NCR_Closed",$AD$3)</f>
        <v>0</v>
      </c>
    </row>
    <row r="37" spans="5:31">
      <c r="M37" s="33" t="s">
        <v>305</v>
      </c>
      <c r="N37" s="806" t="e">
        <f>N36/N34</f>
        <v>#DIV/0!</v>
      </c>
    </row>
    <row r="38" spans="5:31">
      <c r="E38" t="s">
        <v>309</v>
      </c>
      <c r="F38" s="49" t="str">
        <f>IF(F36=1,"Approved",IF(F36&gt;1, F36/F34, "Not Approved yet"))</f>
        <v>Not Approved yet</v>
      </c>
    </row>
    <row r="39" spans="5:31">
      <c r="M39" s="33" t="s">
        <v>4046</v>
      </c>
      <c r="N39">
        <f>IFERROR((N36/N34)*180,0)</f>
        <v>0</v>
      </c>
    </row>
    <row r="40" spans="5:31">
      <c r="O40" s="33" t="s">
        <v>4047</v>
      </c>
    </row>
    <row r="41" spans="5:31">
      <c r="M41" s="33" t="s">
        <v>311</v>
      </c>
      <c r="N41" s="33" t="s">
        <v>312</v>
      </c>
      <c r="O41" s="1">
        <v>40</v>
      </c>
      <c r="P41" t="s">
        <v>2378</v>
      </c>
    </row>
    <row r="42" spans="5:31">
      <c r="M42" s="1">
        <v>0</v>
      </c>
      <c r="N42" s="1">
        <v>0</v>
      </c>
      <c r="O42" s="1">
        <v>40</v>
      </c>
      <c r="P42" t="s">
        <v>2378</v>
      </c>
    </row>
    <row r="43" spans="5:31">
      <c r="M43" s="65">
        <f>-COS(RADIANS(N39))</f>
        <v>-1</v>
      </c>
      <c r="N43" s="65">
        <f>SIN(RADIANS(N39))</f>
        <v>0</v>
      </c>
      <c r="O43" s="1">
        <v>20</v>
      </c>
      <c r="P43" t="s">
        <v>2378</v>
      </c>
    </row>
    <row r="44" spans="5:31">
      <c r="O44" s="1">
        <v>100</v>
      </c>
      <c r="P44" t="s">
        <v>4048</v>
      </c>
    </row>
  </sheetData>
  <phoneticPr fontId="164" type="noConversion"/>
  <pageMargins left="0.7" right="0.7" top="0.75" bottom="0.75" header="0.3" footer="0.3"/>
  <drawing r:id="rId7"/>
  <extLst>
    <ext xmlns:x14="http://schemas.microsoft.com/office/spreadsheetml/2009/9/main" uri="{A8765BA9-456A-4dab-B4F3-ACF838C121DE}">
      <x14:slicerList>
        <x14:slicer r:id="rId8"/>
      </x14:slicerList>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DD7ACD-1081-494C-98F2-A336CE46764E}">
  <sheetPr codeName="Sheet13">
    <tabColor theme="0" tint="-0.34998626667073579"/>
  </sheetPr>
  <dimension ref="A1:C7"/>
  <sheetViews>
    <sheetView workbookViewId="0">
      <selection activeCell="L33" sqref="L33"/>
    </sheetView>
  </sheetViews>
  <sheetFormatPr defaultRowHeight="15.75"/>
  <cols>
    <col min="1" max="1" width="10.5703125" customWidth="1"/>
    <col min="2" max="2" width="21.42578125" customWidth="1"/>
    <col min="3" max="3" width="28.5703125" customWidth="1"/>
  </cols>
  <sheetData>
    <row r="1" spans="1:3">
      <c r="A1" s="599" t="s">
        <v>0</v>
      </c>
      <c r="B1" s="839" t="s">
        <v>986</v>
      </c>
      <c r="C1" s="839" t="s">
        <v>2437</v>
      </c>
    </row>
    <row r="2" spans="1:3">
      <c r="A2" s="616">
        <v>1</v>
      </c>
      <c r="B2" s="113" t="s">
        <v>2435</v>
      </c>
      <c r="C2" s="113" t="s">
        <v>2826</v>
      </c>
    </row>
    <row r="3" spans="1:3">
      <c r="A3" s="616">
        <v>2</v>
      </c>
      <c r="B3" s="113" t="s">
        <v>1161</v>
      </c>
      <c r="C3" s="113" t="s">
        <v>2846</v>
      </c>
    </row>
    <row r="4" spans="1:3">
      <c r="A4" s="616">
        <v>3</v>
      </c>
      <c r="B4" s="113" t="s">
        <v>2725</v>
      </c>
      <c r="C4" s="113" t="s">
        <v>2825</v>
      </c>
    </row>
    <row r="5" spans="1:3">
      <c r="A5" s="616">
        <v>4</v>
      </c>
      <c r="B5" s="113" t="s">
        <v>1454</v>
      </c>
      <c r="C5" s="113" t="s">
        <v>2847</v>
      </c>
    </row>
    <row r="6" spans="1:3">
      <c r="A6" s="616">
        <v>5</v>
      </c>
      <c r="B6" s="113" t="s">
        <v>1045</v>
      </c>
      <c r="C6" s="113" t="s">
        <v>2848</v>
      </c>
    </row>
    <row r="7" spans="1:3">
      <c r="A7" s="616">
        <v>6</v>
      </c>
      <c r="B7" s="113" t="s">
        <v>2397</v>
      </c>
      <c r="C7" s="799" t="s">
        <v>2849</v>
      </c>
    </row>
  </sheetData>
  <phoneticPr fontId="164" type="noConversion"/>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783EA-2682-4591-AD09-F98D94E87834}">
  <sheetPr codeName="Sheet6">
    <tabColor theme="7" tint="0.59999389629810485"/>
  </sheetPr>
  <dimension ref="A1"/>
  <sheetViews>
    <sheetView view="pageBreakPreview" zoomScaleNormal="100" zoomScaleSheetLayoutView="100" workbookViewId="0">
      <selection activeCell="J14" sqref="J14"/>
    </sheetView>
  </sheetViews>
  <sheetFormatPr defaultRowHeight="15.75"/>
  <sheetData/>
  <phoneticPr fontId="164" type="noConversion"/>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AD36-1452-42A1-A926-3716C991CAC5}">
  <sheetPr codeName="Sheet8">
    <tabColor theme="0" tint="-0.14999847407452621"/>
  </sheetPr>
  <dimension ref="A1:H16"/>
  <sheetViews>
    <sheetView zoomScaleNormal="100" zoomScaleSheetLayoutView="100" workbookViewId="0">
      <pane ySplit="1" topLeftCell="A2" activePane="bottomLeft" state="frozen"/>
      <selection activeCell="B29" sqref="B29"/>
      <selection pane="bottomLeft" activeCell="E8" sqref="E8"/>
    </sheetView>
  </sheetViews>
  <sheetFormatPr defaultColWidth="8.5703125" defaultRowHeight="15" outlineLevelRow="1"/>
  <cols>
    <col min="1" max="1" width="6.42578125" style="884" bestFit="1" customWidth="1"/>
    <col min="2" max="2" width="15.140625" style="884" customWidth="1"/>
    <col min="3" max="3" width="18.5703125" style="884" customWidth="1"/>
    <col min="4" max="4" width="41.7109375" style="122" customWidth="1"/>
    <col min="5" max="5" width="20.42578125" style="885" customWidth="1"/>
    <col min="6" max="6" width="42.28515625" style="122" customWidth="1"/>
    <col min="7" max="7" width="14.42578125" style="886" customWidth="1"/>
    <col min="8" max="8" width="35.5703125" style="122" customWidth="1"/>
    <col min="9" max="9" width="45.5703125" style="122" customWidth="1"/>
    <col min="10" max="16384" width="8.5703125" style="122"/>
  </cols>
  <sheetData>
    <row r="1" spans="1:8" ht="34.5" customHeight="1">
      <c r="A1" s="27" t="s">
        <v>0</v>
      </c>
      <c r="B1" s="27" t="s">
        <v>986</v>
      </c>
      <c r="C1" s="27" t="s">
        <v>2437</v>
      </c>
      <c r="D1" s="28" t="s">
        <v>277</v>
      </c>
      <c r="E1" s="72" t="s">
        <v>278</v>
      </c>
      <c r="F1" s="28" t="s">
        <v>279</v>
      </c>
      <c r="G1" s="29" t="s">
        <v>280</v>
      </c>
      <c r="H1" s="28" t="s">
        <v>1</v>
      </c>
    </row>
    <row r="2" spans="1:8" ht="30" customHeight="1">
      <c r="A2" s="1166" t="s">
        <v>4178</v>
      </c>
      <c r="B2" s="1167"/>
      <c r="C2" s="1167"/>
      <c r="D2" s="1167"/>
      <c r="E2" s="1167"/>
      <c r="F2" s="1167"/>
      <c r="G2" s="1167"/>
      <c r="H2" s="1168"/>
    </row>
    <row r="3" spans="1:8" ht="30" customHeight="1" outlineLevel="1">
      <c r="A3" s="123">
        <v>1</v>
      </c>
      <c r="B3" s="123" t="s">
        <v>4170</v>
      </c>
      <c r="C3" s="123" t="s">
        <v>4171</v>
      </c>
      <c r="D3" s="24" t="s">
        <v>281</v>
      </c>
      <c r="E3" s="124"/>
      <c r="F3" s="883" t="s">
        <v>282</v>
      </c>
      <c r="G3" s="125" t="s">
        <v>1985</v>
      </c>
      <c r="H3" s="126"/>
    </row>
    <row r="4" spans="1:8" ht="30" customHeight="1" outlineLevel="1">
      <c r="A4" s="123">
        <v>2</v>
      </c>
      <c r="B4" s="123" t="s">
        <v>4170</v>
      </c>
      <c r="C4" s="123" t="s">
        <v>4171</v>
      </c>
      <c r="D4" s="24" t="s">
        <v>283</v>
      </c>
      <c r="E4" s="124"/>
      <c r="F4" s="883" t="s">
        <v>284</v>
      </c>
      <c r="G4" s="125" t="s">
        <v>1985</v>
      </c>
      <c r="H4" s="126"/>
    </row>
    <row r="5" spans="1:8" ht="30" customHeight="1">
      <c r="A5" s="1166" t="s">
        <v>4179</v>
      </c>
      <c r="B5" s="1167"/>
      <c r="C5" s="1167"/>
      <c r="D5" s="1167"/>
      <c r="E5" s="1167"/>
      <c r="F5" s="1167"/>
      <c r="G5" s="1167"/>
      <c r="H5" s="1168"/>
    </row>
    <row r="6" spans="1:8" ht="30" customHeight="1" outlineLevel="1">
      <c r="A6" s="123">
        <v>1</v>
      </c>
      <c r="B6" s="123" t="s">
        <v>4173</v>
      </c>
      <c r="C6" s="123" t="s">
        <v>4172</v>
      </c>
      <c r="D6" s="24" t="s">
        <v>285</v>
      </c>
      <c r="E6" s="73"/>
      <c r="F6" s="883" t="s">
        <v>286</v>
      </c>
      <c r="G6" s="25" t="s">
        <v>1985</v>
      </c>
      <c r="H6" s="126"/>
    </row>
    <row r="7" spans="1:8" ht="30" customHeight="1" outlineLevel="1">
      <c r="A7" s="123">
        <v>2</v>
      </c>
      <c r="B7" s="123" t="s">
        <v>4173</v>
      </c>
      <c r="C7" s="123" t="s">
        <v>4172</v>
      </c>
      <c r="D7" s="24" t="s">
        <v>287</v>
      </c>
      <c r="E7" s="73"/>
      <c r="F7" s="883" t="s">
        <v>288</v>
      </c>
      <c r="G7" s="25" t="s">
        <v>1985</v>
      </c>
      <c r="H7" s="126"/>
    </row>
    <row r="8" spans="1:8" ht="30" customHeight="1" outlineLevel="1">
      <c r="A8" s="123">
        <v>3</v>
      </c>
      <c r="B8" s="123" t="s">
        <v>4173</v>
      </c>
      <c r="C8" s="123" t="s">
        <v>4172</v>
      </c>
      <c r="D8" s="24" t="s">
        <v>289</v>
      </c>
      <c r="E8" s="124"/>
      <c r="F8" s="127" t="s">
        <v>290</v>
      </c>
      <c r="G8" s="125" t="s">
        <v>1985</v>
      </c>
      <c r="H8" s="126"/>
    </row>
    <row r="9" spans="1:8" ht="30" customHeight="1">
      <c r="A9" s="1166" t="s">
        <v>291</v>
      </c>
      <c r="B9" s="1167"/>
      <c r="C9" s="1167"/>
      <c r="D9" s="1167"/>
      <c r="E9" s="1167"/>
      <c r="F9" s="1167"/>
      <c r="G9" s="1167"/>
      <c r="H9" s="1168"/>
    </row>
    <row r="10" spans="1:8" ht="30" customHeight="1" outlineLevel="1">
      <c r="A10" s="123">
        <v>1</v>
      </c>
      <c r="B10" s="123" t="s">
        <v>2436</v>
      </c>
      <c r="C10" s="123" t="s">
        <v>1012</v>
      </c>
      <c r="D10" s="24" t="s">
        <v>292</v>
      </c>
      <c r="E10" s="73"/>
      <c r="F10" s="882" t="s">
        <v>293</v>
      </c>
      <c r="G10" s="25">
        <v>1</v>
      </c>
      <c r="H10" s="126" t="s">
        <v>294</v>
      </c>
    </row>
    <row r="11" spans="1:8" ht="30" customHeight="1">
      <c r="A11" s="1169" t="s">
        <v>295</v>
      </c>
      <c r="B11" s="1169"/>
      <c r="C11" s="1169"/>
      <c r="D11" s="1169"/>
      <c r="E11" s="1169"/>
      <c r="F11" s="1169"/>
      <c r="G11" s="1169"/>
      <c r="H11" s="1169"/>
    </row>
    <row r="12" spans="1:8" ht="30" customHeight="1" outlineLevel="1">
      <c r="A12" s="123">
        <v>1</v>
      </c>
      <c r="B12" s="123" t="s">
        <v>1045</v>
      </c>
      <c r="C12" s="123" t="s">
        <v>4174</v>
      </c>
      <c r="D12" s="24" t="s">
        <v>296</v>
      </c>
      <c r="E12" s="73"/>
      <c r="F12" s="26" t="s">
        <v>297</v>
      </c>
      <c r="G12" s="25" t="s">
        <v>1985</v>
      </c>
      <c r="H12" s="126" t="s">
        <v>298</v>
      </c>
    </row>
    <row r="13" spans="1:8" ht="30" customHeight="1">
      <c r="A13" s="1169" t="s">
        <v>299</v>
      </c>
      <c r="B13" s="1169"/>
      <c r="C13" s="1169"/>
      <c r="D13" s="1169"/>
      <c r="E13" s="1169"/>
      <c r="F13" s="1169"/>
      <c r="G13" s="1169"/>
      <c r="H13" s="1169"/>
    </row>
    <row r="14" spans="1:8" ht="30" customHeight="1" outlineLevel="1">
      <c r="A14" s="123">
        <v>1</v>
      </c>
      <c r="B14" s="123" t="s">
        <v>4176</v>
      </c>
      <c r="C14" s="123" t="s">
        <v>4175</v>
      </c>
      <c r="D14" s="24" t="s">
        <v>300</v>
      </c>
      <c r="E14" s="73"/>
      <c r="F14" s="26" t="s">
        <v>301</v>
      </c>
      <c r="G14" s="25">
        <v>0.25</v>
      </c>
      <c r="H14" s="126"/>
    </row>
    <row r="15" spans="1:8" ht="30" customHeight="1">
      <c r="A15" s="1169" t="s">
        <v>302</v>
      </c>
      <c r="B15" s="1169"/>
      <c r="C15" s="1169"/>
      <c r="D15" s="1169"/>
      <c r="E15" s="1169"/>
      <c r="F15" s="1169"/>
      <c r="G15" s="1169"/>
      <c r="H15" s="1169"/>
    </row>
    <row r="16" spans="1:8" ht="30" customHeight="1" outlineLevel="1">
      <c r="A16" s="123">
        <v>1</v>
      </c>
      <c r="B16" s="123" t="s">
        <v>4177</v>
      </c>
      <c r="C16" s="123" t="s">
        <v>3673</v>
      </c>
      <c r="D16" s="24" t="s">
        <v>303</v>
      </c>
      <c r="E16" s="73" t="s">
        <v>25</v>
      </c>
      <c r="F16" s="882"/>
      <c r="G16" s="25">
        <v>0</v>
      </c>
      <c r="H16" s="126"/>
    </row>
  </sheetData>
  <autoFilter ref="A1:H16" xr:uid="{E6AEAD36-1452-42A1-A926-3716C991CAC5}"/>
  <mergeCells count="6">
    <mergeCell ref="A2:H2"/>
    <mergeCell ref="A9:H9"/>
    <mergeCell ref="A11:H11"/>
    <mergeCell ref="A13:H13"/>
    <mergeCell ref="A15:H15"/>
    <mergeCell ref="A5:H5"/>
  </mergeCells>
  <phoneticPr fontId="164" type="noConversion"/>
  <hyperlinks>
    <hyperlink ref="F10" r:id="rId1" xr:uid="{C3A30DAD-840F-4032-85BC-390E81F9104E}"/>
    <hyperlink ref="F14" r:id="rId2" xr:uid="{2EB6D18C-0CCB-414D-ACCA-CBF71C60C0FD}"/>
    <hyperlink ref="F3" r:id="rId3" xr:uid="{DEF84EDE-BC12-4C17-B2AB-47209C3945E1}"/>
    <hyperlink ref="F4" r:id="rId4" xr:uid="{05972C8B-C6E8-46E7-A35F-B6AD0EB07CF0}"/>
  </hyperlinks>
  <pageMargins left="0.7" right="0.7" top="0.75" bottom="0.75" header="0.3" footer="0.3"/>
  <pageSetup paperSize="8" scale="70" fitToHeight="0" orientation="landscape" r:id="rId5"/>
  <headerFooter>
    <oddFooter xml:space="preserve">&amp;LRestricted </oddFooter>
    <evenFooter xml:space="preserve">&amp;LRestricted </evenFooter>
    <firstFooter xml:space="preserve">&amp;LRestricted </first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6D16D-C9FB-423C-ACD1-43C5E2AE04F0}">
  <sheetPr codeName="Sheet42">
    <tabColor theme="0" tint="-0.34998626667073579"/>
  </sheetPr>
  <dimension ref="A1:P16"/>
  <sheetViews>
    <sheetView zoomScale="85" zoomScaleNormal="85" zoomScaleSheetLayoutView="140" workbookViewId="0">
      <selection activeCell="I3" sqref="I3"/>
    </sheetView>
  </sheetViews>
  <sheetFormatPr defaultColWidth="8.7109375" defaultRowHeight="15.75" outlineLevelCol="1"/>
  <cols>
    <col min="1" max="1" width="6.42578125" style="33" bestFit="1" customWidth="1"/>
    <col min="2" max="2" width="18.42578125" style="33" bestFit="1" customWidth="1"/>
    <col min="3" max="3" width="18.42578125" style="33" customWidth="1"/>
    <col min="4" max="4" width="32.5703125" style="33" customWidth="1"/>
    <col min="5" max="5" width="13.42578125" style="33" customWidth="1"/>
    <col min="6" max="6" width="11.7109375" style="64" customWidth="1"/>
    <col min="7" max="7" width="12.42578125" style="33" bestFit="1" customWidth="1"/>
    <col min="8" max="8" width="12.140625" style="33" customWidth="1"/>
    <col min="9" max="9" width="35" style="33" customWidth="1"/>
    <col min="10" max="10" width="16.140625" style="33" bestFit="1" customWidth="1" outlineLevel="1"/>
    <col min="11" max="12" width="12.5703125" style="33" customWidth="1" outlineLevel="1"/>
    <col min="13" max="13" width="16.28515625" style="33" customWidth="1" outlineLevel="1"/>
    <col min="14" max="14" width="12.85546875" style="33" customWidth="1" outlineLevel="1"/>
    <col min="15" max="15" width="14.85546875" style="33" customWidth="1" outlineLevel="1"/>
    <col min="16" max="16384" width="8.7109375" style="33"/>
  </cols>
  <sheetData>
    <row r="1" spans="1:16" ht="41.1" customHeight="1">
      <c r="A1" s="1171" t="s">
        <v>3026</v>
      </c>
      <c r="B1" s="1171"/>
      <c r="C1" s="1171"/>
      <c r="D1" s="1171"/>
      <c r="J1" s="620" t="s">
        <v>3028</v>
      </c>
      <c r="K1" s="1172" t="s">
        <v>3261</v>
      </c>
      <c r="L1" s="1172"/>
      <c r="M1" s="1172"/>
      <c r="N1" s="1172"/>
      <c r="O1" s="620" t="s">
        <v>3027</v>
      </c>
    </row>
    <row r="2" spans="1:16" s="616" customFormat="1" ht="35.450000000000003" customHeight="1">
      <c r="A2" s="615" t="s">
        <v>0</v>
      </c>
      <c r="B2" s="615" t="s">
        <v>3010</v>
      </c>
      <c r="C2" s="615" t="s">
        <v>3159</v>
      </c>
      <c r="D2" s="615" t="s">
        <v>315</v>
      </c>
      <c r="E2" s="615" t="s">
        <v>3011</v>
      </c>
      <c r="F2" s="615" t="s">
        <v>3012</v>
      </c>
      <c r="G2" s="615" t="s">
        <v>3013</v>
      </c>
      <c r="H2" s="615" t="s">
        <v>3014</v>
      </c>
      <c r="I2" s="615" t="s">
        <v>2975</v>
      </c>
      <c r="J2" s="615" t="s">
        <v>3015</v>
      </c>
      <c r="K2" s="615" t="s">
        <v>3016</v>
      </c>
      <c r="L2" s="615" t="s">
        <v>3003</v>
      </c>
      <c r="M2" s="615" t="s">
        <v>3017</v>
      </c>
      <c r="N2" s="615" t="s">
        <v>3004</v>
      </c>
      <c r="O2" s="615" t="s">
        <v>3018</v>
      </c>
    </row>
    <row r="3" spans="1:16" ht="50.1" customHeight="1">
      <c r="A3" s="609" t="str">
        <f>IF(B3&lt;&gt;"", ""&amp;COUNTA($B$3:B3), "Err")</f>
        <v>1</v>
      </c>
      <c r="B3" s="598" t="s">
        <v>3019</v>
      </c>
      <c r="C3" s="678" t="s">
        <v>3158</v>
      </c>
      <c r="D3" s="678" t="s">
        <v>3164</v>
      </c>
      <c r="E3" s="102" t="s">
        <v>3020</v>
      </c>
      <c r="F3" s="609" t="s">
        <v>3021</v>
      </c>
      <c r="G3" s="616" t="s">
        <v>3022</v>
      </c>
      <c r="H3" s="617">
        <v>45665</v>
      </c>
      <c r="I3" s="612" t="str">
        <f ca="1">_xlfn.LET(
  _xlpm.startCell, J3,
  _xlpm.width, COUNTA(J3:O3),
  _xlpm.rng, OFFSET(_xlpm.startCell, 0, 0, 1, _xlpm.width),
  _xlpm.done, COUNTIF(_xlpm.rng, TRUE),
  _xlpm.total, COUNTIFS(_xlpm.rng, "&lt;&gt;N/A"),
  _xlpm.pct, IF(_xlpm.total=0, 0, _xlpm.done / _xlpm.total),
  TEXT(_xlpm.pct, "0%") &amp; " " &amp;
  REPT("█", ROUND(_xlpm.pct * 20, 0)) &amp;
  REPT("░", 20 - ROUND(_xlpm.pct * 20, 0))
)</f>
        <v>100% ████████████████████</v>
      </c>
      <c r="J3" s="610" t="b">
        <v>1</v>
      </c>
      <c r="K3" s="610" t="b">
        <v>1</v>
      </c>
      <c r="L3" s="610" t="b">
        <v>1</v>
      </c>
      <c r="M3" s="610" t="b">
        <v>1</v>
      </c>
      <c r="N3" s="610" t="s">
        <v>31</v>
      </c>
      <c r="O3" s="610" t="b">
        <v>1</v>
      </c>
    </row>
    <row r="4" spans="1:16" ht="50.1" customHeight="1">
      <c r="A4" s="609" t="str">
        <f>IF(B4&lt;&gt;"", ""&amp;COUNTA($B$3:B4), "Err")</f>
        <v>2</v>
      </c>
      <c r="B4" s="598" t="s">
        <v>3156</v>
      </c>
      <c r="C4" s="678" t="s">
        <v>3160</v>
      </c>
      <c r="D4" s="678" t="s">
        <v>3162</v>
      </c>
      <c r="E4" s="102" t="s">
        <v>3023</v>
      </c>
      <c r="F4" s="609" t="s">
        <v>3023</v>
      </c>
      <c r="G4" s="616" t="s">
        <v>3024</v>
      </c>
      <c r="H4" s="617">
        <v>45742</v>
      </c>
      <c r="I4" s="612" t="str">
        <f ca="1">_xlfn.LET(
  _xlpm.startCell, J4,
  _xlpm.width, COUNTA(J4:O4),
  _xlpm.rng, OFFSET(_xlpm.startCell, 0, 0, 1, _xlpm.width),
  _xlpm.done, COUNTIF(_xlpm.rng, TRUE),
  _xlpm.total, COUNTIFS(_xlpm.rng, "&lt;&gt;N/A"),
  _xlpm.pct, IF(_xlpm.total=0, 0, _xlpm.done / _xlpm.total),
  TEXT(_xlpm.pct, "0%") &amp; " " &amp;
  REPT("█", ROUND(_xlpm.pct * 20, 0)) &amp;
  REPT("░", 20 - ROUND(_xlpm.pct * 20, 0))
)</f>
        <v>100% ████████████████████</v>
      </c>
      <c r="J4" s="610" t="b">
        <v>1</v>
      </c>
      <c r="K4" s="610" t="b">
        <v>1</v>
      </c>
      <c r="L4" s="610" t="b">
        <v>1</v>
      </c>
      <c r="M4" s="610" t="b">
        <v>1</v>
      </c>
      <c r="N4" s="610" t="b">
        <v>1</v>
      </c>
      <c r="O4" s="610" t="b">
        <v>1</v>
      </c>
    </row>
    <row r="5" spans="1:16" ht="50.1" customHeight="1">
      <c r="A5" s="609" t="str">
        <f>IF(B5&lt;&gt;"", ""&amp;COUNTA($B$3:B5), "Err")</f>
        <v>3</v>
      </c>
      <c r="B5" s="598" t="s">
        <v>3157</v>
      </c>
      <c r="C5" s="678" t="s">
        <v>3161</v>
      </c>
      <c r="D5" s="678" t="s">
        <v>3163</v>
      </c>
      <c r="E5" s="611" t="s">
        <v>3023</v>
      </c>
      <c r="F5" s="609" t="s">
        <v>3023</v>
      </c>
      <c r="G5" s="616" t="s">
        <v>3025</v>
      </c>
      <c r="H5" s="617">
        <v>45735</v>
      </c>
      <c r="I5" s="612" t="str">
        <f ca="1">_xlfn.LET(
  _xlpm.startCell, J5,
  _xlpm.width, COUNTA(J5:O5),
  _xlpm.rng, OFFSET(_xlpm.startCell, 0, 0, 1, _xlpm.width),
  _xlpm.done, COUNTIF(_xlpm.rng, TRUE),
  _xlpm.total, COUNTIFS(_xlpm.rng, "&lt;&gt;N/A"),
  _xlpm.pct, IF(_xlpm.total=0, 0, _xlpm.done / _xlpm.total),
  TEXT(_xlpm.pct, "0%") &amp; " " &amp;
  REPT("█", ROUND(_xlpm.pct * 20, 0)) &amp;
  REPT("░", 20 - ROUND(_xlpm.pct * 20, 0))
)</f>
        <v>100% ████████████████████</v>
      </c>
      <c r="J5" s="610" t="b">
        <v>1</v>
      </c>
      <c r="K5" s="610" t="b">
        <v>1</v>
      </c>
      <c r="L5" s="610" t="b">
        <v>1</v>
      </c>
      <c r="M5" s="610" t="b">
        <v>1</v>
      </c>
      <c r="N5" s="610" t="b">
        <v>1</v>
      </c>
      <c r="O5" s="610" t="b">
        <v>1</v>
      </c>
    </row>
    <row r="6" spans="1:16" ht="50.1" customHeight="1">
      <c r="A6" s="609" t="str">
        <f>IF(B6&lt;&gt;"", ""&amp;COUNTA($B$3:B6), "Err")</f>
        <v>4</v>
      </c>
      <c r="B6" s="598" t="s">
        <v>3165</v>
      </c>
      <c r="C6" s="678" t="s">
        <v>3177</v>
      </c>
      <c r="D6" s="678" t="s">
        <v>3166</v>
      </c>
      <c r="E6" s="102" t="s">
        <v>3076</v>
      </c>
      <c r="F6" s="609" t="s">
        <v>3021</v>
      </c>
      <c r="G6" s="616" t="s">
        <v>3022</v>
      </c>
      <c r="H6" s="617">
        <v>45805</v>
      </c>
      <c r="I6" s="612" t="str">
        <f ca="1">_xlfn.LET(
  _xlpm.startCell, J6,
  _xlpm.width, COUNTA(J6:O6),
  _xlpm.rng, OFFSET(_xlpm.startCell, 0, 0, 1, _xlpm.width),
  _xlpm.done, COUNTIF(_xlpm.rng, TRUE),
  _xlpm.total, COUNTIFS(_xlpm.rng, "&lt;&gt;N/A"),
  _xlpm.pct, IF(_xlpm.total=0, 0, _xlpm.done / _xlpm.total),
  TEXT(_xlpm.pct, "0%") &amp; " " &amp;
  REPT("█", ROUND(_xlpm.pct * 20, 0)) &amp;
  REPT("░", 20 - ROUND(_xlpm.pct * 20, 0))
)</f>
        <v>100% ████████████████████</v>
      </c>
      <c r="J6" s="610" t="b">
        <v>1</v>
      </c>
      <c r="K6" s="610" t="b">
        <v>1</v>
      </c>
      <c r="L6" s="610" t="b">
        <v>1</v>
      </c>
      <c r="M6" s="610" t="b">
        <v>1</v>
      </c>
      <c r="N6" s="610" t="s">
        <v>31</v>
      </c>
      <c r="O6" s="610" t="b">
        <v>1</v>
      </c>
      <c r="P6" s="64" t="s">
        <v>3252</v>
      </c>
    </row>
    <row r="7" spans="1:16" ht="94.5">
      <c r="A7" s="609" t="str">
        <f>IF(B7&lt;&gt;"", ""&amp;COUNTA($B$3:B7), "Err")</f>
        <v>5</v>
      </c>
      <c r="B7" s="815" t="s">
        <v>4005</v>
      </c>
      <c r="C7" s="816" t="s">
        <v>4005</v>
      </c>
      <c r="D7" s="678" t="s">
        <v>4085</v>
      </c>
      <c r="E7" s="611" t="s">
        <v>3023</v>
      </c>
      <c r="F7" s="609" t="s">
        <v>3023</v>
      </c>
      <c r="G7" s="616" t="s">
        <v>2725</v>
      </c>
      <c r="H7" s="814" t="s">
        <v>4005</v>
      </c>
      <c r="I7" s="612" t="str">
        <f ca="1">_xlfn.LET(
  _xlpm.startCell, J7,
  _xlpm.width, COUNTA(J7:O7),
  _xlpm.rng, OFFSET(_xlpm.startCell, 0, 0, 1, _xlpm.width),
  _xlpm.done, COUNTIF(_xlpm.rng, TRUE),
  _xlpm.total, COUNTIFS(_xlpm.rng, "&lt;&gt;N/A"),
  _xlpm.pct, IF(_xlpm.total=0, 0, _xlpm.done / _xlpm.total),
  TEXT(_xlpm.pct, "0%") &amp; " " &amp;
  REPT("█", ROUND(_xlpm.pct * 20, 0)) &amp;
  REPT("░", 20 - ROUND(_xlpm.pct * 20, 0))
)</f>
        <v>0% ░░░░░░░░░░░░░░░░░░░░</v>
      </c>
      <c r="J7" s="610" t="b">
        <v>0</v>
      </c>
      <c r="K7" s="610" t="b">
        <v>0</v>
      </c>
      <c r="L7" s="610" t="b">
        <v>0</v>
      </c>
      <c r="M7" s="610" t="b">
        <v>0</v>
      </c>
      <c r="N7" s="610" t="s">
        <v>31</v>
      </c>
      <c r="O7" s="610" t="b">
        <v>0</v>
      </c>
    </row>
    <row r="8" spans="1:16">
      <c r="A8" s="609" t="str">
        <f>IF(B8&lt;&gt;"", ""&amp;COUNTA($B$3:B8), "Err")</f>
        <v>Err</v>
      </c>
      <c r="B8" s="551"/>
      <c r="C8" s="102"/>
      <c r="D8" s="102"/>
      <c r="E8" s="102"/>
      <c r="F8" s="609"/>
      <c r="I8" s="612" t="str">
        <f ca="1">_xlfn.LET(
  _xlpm.startCell, J8,
  _xlpm.width, COUNTA(J8:AF8),
  _xlpm.rng, OFFSET(_xlpm.startCell, 0, 0, 1, _xlpm.width),
  _xlpm.done, COUNTIF(_xlpm.rng, TRUE) + COUNTIF(_xlpm.rng, "N/A"),
  _xlpm.total, COLUMNS(_xlpm.rng),
  _xlpm.pct, IF(_xlpm.total=0, 0, _xlpm.done / _xlpm.total),
  TEXT(_xlpm.pct, "0%") &amp; " " &amp; REPT("█", ROUND(_xlpm.pct * 20, 0)) &amp; REPT("░", 20 - ROUND(_xlpm.pct * 20, 0))
)</f>
        <v>0% ░░░░░░░░░░░░░░░░░░░░</v>
      </c>
      <c r="J8" s="610" t="b">
        <v>0</v>
      </c>
      <c r="K8" s="610" t="b">
        <v>0</v>
      </c>
      <c r="L8" s="610" t="b">
        <v>0</v>
      </c>
      <c r="M8" s="610" t="b">
        <v>0</v>
      </c>
      <c r="N8" s="610" t="b">
        <v>0</v>
      </c>
      <c r="O8" s="610" t="b">
        <v>0</v>
      </c>
    </row>
    <row r="9" spans="1:16">
      <c r="A9" s="609" t="str">
        <f>IF(B9&lt;&gt;"", ""&amp;COUNTA($B$3:B9), "Err")</f>
        <v>Err</v>
      </c>
      <c r="B9" s="614"/>
      <c r="C9" s="618"/>
      <c r="D9" s="618"/>
      <c r="E9" s="618"/>
      <c r="F9" s="609"/>
      <c r="I9" s="612" t="str">
        <f ca="1">_xlfn.LET(
  _xlpm.startCell, J9,
  _xlpm.width, COUNTA(J9:AF9),
  _xlpm.rng, OFFSET(_xlpm.startCell, 0, 0, 1, _xlpm.width),
  _xlpm.done, COUNTIF(_xlpm.rng, TRUE) + COUNTIF(_xlpm.rng, "N/A"),
  _xlpm.total, COLUMNS(_xlpm.rng),
  _xlpm.pct, IF(_xlpm.total=0, 0, _xlpm.done / _xlpm.total),
  TEXT(_xlpm.pct, "0%") &amp; " " &amp; REPT("█", ROUND(_xlpm.pct * 20, 0)) &amp; REPT("░", 20 - ROUND(_xlpm.pct * 20, 0))
)</f>
        <v>0% ░░░░░░░░░░░░░░░░░░░░</v>
      </c>
      <c r="J9" s="610" t="b">
        <v>0</v>
      </c>
      <c r="K9" s="610" t="b">
        <v>0</v>
      </c>
      <c r="L9" s="610" t="b">
        <v>0</v>
      </c>
      <c r="M9" s="610" t="b">
        <v>0</v>
      </c>
      <c r="N9" s="610" t="b">
        <v>0</v>
      </c>
      <c r="O9" s="610" t="b">
        <v>0</v>
      </c>
    </row>
    <row r="10" spans="1:16">
      <c r="A10" s="609" t="str">
        <f>IF(B10&lt;&gt;"", ""&amp;COUNTA($B$3:B10), "Err")</f>
        <v>Err</v>
      </c>
      <c r="B10" s="613"/>
      <c r="C10" s="619"/>
      <c r="D10" s="619"/>
      <c r="E10" s="619"/>
      <c r="F10" s="609"/>
      <c r="I10" s="612" t="str">
        <f ca="1">_xlfn.LET(
  _xlpm.startCell, J10,
  _xlpm.width, COUNTA(J10:AF10),
  _xlpm.rng, OFFSET(_xlpm.startCell, 0, 0, 1, _xlpm.width),
  _xlpm.done, COUNTIF(_xlpm.rng, TRUE) + COUNTIF(_xlpm.rng, "N/A"),
  _xlpm.total, COLUMNS(_xlpm.rng),
  _xlpm.pct, IF(_xlpm.total=0, 0, _xlpm.done / _xlpm.total),
  TEXT(_xlpm.pct, "0%") &amp; " " &amp; REPT("█", ROUND(_xlpm.pct * 20, 0)) &amp; REPT("░", 20 - ROUND(_xlpm.pct * 20, 0))
)</f>
        <v>0% ░░░░░░░░░░░░░░░░░░░░</v>
      </c>
      <c r="J10" s="610" t="b">
        <v>0</v>
      </c>
      <c r="K10" s="610" t="b">
        <v>0</v>
      </c>
      <c r="L10" s="610" t="b">
        <v>0</v>
      </c>
      <c r="M10" s="610" t="b">
        <v>0</v>
      </c>
      <c r="N10" s="610" t="b">
        <v>0</v>
      </c>
      <c r="O10" s="610" t="b">
        <v>0</v>
      </c>
    </row>
    <row r="11" spans="1:16">
      <c r="A11" s="609" t="str">
        <f>IF(B11&lt;&gt;"", ""&amp;COUNTA($B$3:B11), "Err")</f>
        <v>Err</v>
      </c>
      <c r="B11" s="551"/>
      <c r="C11" s="102"/>
      <c r="D11" s="102"/>
      <c r="E11" s="102"/>
      <c r="F11" s="609"/>
      <c r="I11" s="612" t="str">
        <f ca="1">_xlfn.LET(
  _xlpm.startCell, J11,
  _xlpm.width, COUNTA(J11:AF11),
  _xlpm.rng, OFFSET(_xlpm.startCell, 0, 0, 1, _xlpm.width),
  _xlpm.done, COUNTIF(_xlpm.rng, TRUE) + COUNTIF(_xlpm.rng, "N/A"),
  _xlpm.total, COLUMNS(_xlpm.rng),
  _xlpm.pct, IF(_xlpm.total=0, 0, _xlpm.done / _xlpm.total),
  TEXT(_xlpm.pct, "0%") &amp; " " &amp; REPT("█", ROUND(_xlpm.pct * 20, 0)) &amp; REPT("░", 20 - ROUND(_xlpm.pct * 20, 0))
)</f>
        <v>0% ░░░░░░░░░░░░░░░░░░░░</v>
      </c>
      <c r="J11" s="610" t="b">
        <v>0</v>
      </c>
      <c r="K11" s="610" t="b">
        <v>0</v>
      </c>
      <c r="L11" s="610" t="b">
        <v>0</v>
      </c>
      <c r="M11" s="610" t="b">
        <v>0</v>
      </c>
      <c r="N11" s="610" t="b">
        <v>0</v>
      </c>
      <c r="O11" s="610" t="b">
        <v>0</v>
      </c>
    </row>
    <row r="12" spans="1:16">
      <c r="A12" s="609" t="str">
        <f>IF(B12&lt;&gt;"", ""&amp;COUNTA($B$3:B12), "Err")</f>
        <v>Err</v>
      </c>
      <c r="B12" s="551"/>
      <c r="C12" s="102"/>
      <c r="D12" s="102"/>
      <c r="E12" s="102"/>
      <c r="F12" s="609"/>
      <c r="I12" s="612" t="str">
        <f ca="1">_xlfn.LET(
  _xlpm.startCell, J12,
  _xlpm.width, COUNTA(J12:AF12),
  _xlpm.rng, OFFSET(_xlpm.startCell, 0, 0, 1, _xlpm.width),
  _xlpm.done, COUNTIF(_xlpm.rng, TRUE) + COUNTIF(_xlpm.rng, "N/A"),
  _xlpm.total, COLUMNS(_xlpm.rng),
  _xlpm.pct, IF(_xlpm.total=0, 0, _xlpm.done / _xlpm.total),
  TEXT(_xlpm.pct, "0%") &amp; " " &amp; REPT("█", ROUND(_xlpm.pct * 20, 0)) &amp; REPT("░", 20 - ROUND(_xlpm.pct * 20, 0))
)</f>
        <v>0% ░░░░░░░░░░░░░░░░░░░░</v>
      </c>
      <c r="J12" s="610" t="b">
        <v>0</v>
      </c>
      <c r="K12" s="610" t="b">
        <v>0</v>
      </c>
      <c r="L12" s="610" t="b">
        <v>0</v>
      </c>
      <c r="M12" s="610" t="b">
        <v>0</v>
      </c>
      <c r="N12" s="610" t="b">
        <v>0</v>
      </c>
      <c r="O12" s="610" t="b">
        <v>0</v>
      </c>
    </row>
    <row r="14" spans="1:16">
      <c r="B14" s="33" t="s">
        <v>4084</v>
      </c>
    </row>
    <row r="15" spans="1:16" ht="19.5">
      <c r="A15" s="1170"/>
      <c r="B15" s="1170"/>
      <c r="C15" s="1170"/>
      <c r="D15" s="1170"/>
      <c r="E15" s="1170"/>
      <c r="F15" s="1170"/>
      <c r="G15" s="1170"/>
      <c r="H15" s="1170"/>
    </row>
    <row r="16" spans="1:16">
      <c r="O16" s="64"/>
    </row>
  </sheetData>
  <autoFilter ref="A2:L12" xr:uid="{30C8E717-F0FC-4BCA-A772-515827110CCD}"/>
  <mergeCells count="3">
    <mergeCell ref="A15:H15"/>
    <mergeCell ref="A1:D1"/>
    <mergeCell ref="K1:N1"/>
  </mergeCells>
  <phoneticPr fontId="164" type="noConversion"/>
  <conditionalFormatting sqref="A15 A16:M899 I15:M15 N6:O899 A3:O5 A6:M14">
    <cfRule type="expression" dxfId="96" priority="2">
      <formula>LEFT($I3,FIND("%",$I3)-1)+0=100</formula>
    </cfRule>
    <cfRule type="expression" dxfId="95" priority="3">
      <formula>LEFT($I3,FIND("%",$I3)-1)+0&lt;&gt;100</formula>
    </cfRule>
  </conditionalFormatting>
  <conditionalFormatting sqref="A16:O899 A2:O14">
    <cfRule type="expression" dxfId="94" priority="1">
      <formula>$A2&lt;&gt;0</formula>
    </cfRule>
  </conditionalFormatting>
  <conditionalFormatting sqref="A15 I15:O15">
    <cfRule type="expression" dxfId="93" priority="4">
      <formula>#REF!&lt;&gt;0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5C559-3C9D-43C2-9015-D55DCCD338E1}">
  <sheetPr codeName="Sheet36">
    <tabColor theme="0" tint="-0.34998626667073579"/>
  </sheetPr>
  <dimension ref="A1:M49"/>
  <sheetViews>
    <sheetView zoomScaleNormal="100" workbookViewId="0">
      <pane xSplit="1" ySplit="2" topLeftCell="C4" activePane="bottomRight" state="frozen"/>
      <selection activeCell="C27" sqref="C27"/>
      <selection pane="topRight" activeCell="C27" sqref="C27"/>
      <selection pane="bottomLeft" activeCell="C27" sqref="C27"/>
      <selection pane="bottomRight" sqref="A1:XFD1048576"/>
    </sheetView>
  </sheetViews>
  <sheetFormatPr defaultColWidth="9.140625" defaultRowHeight="16.5" outlineLevelCol="1"/>
  <cols>
    <col min="1" max="1" width="9.5703125" style="1023" bestFit="1" customWidth="1"/>
    <col min="2" max="2" width="19.28515625" style="1024" customWidth="1" outlineLevel="1"/>
    <col min="3" max="3" width="24.85546875" style="1023" customWidth="1"/>
    <col min="4" max="4" width="72.5703125" style="1024" customWidth="1"/>
    <col min="5" max="5" width="43.140625" style="1024" customWidth="1"/>
    <col min="6" max="6" width="51" style="1024" customWidth="1"/>
    <col min="7" max="7" width="21.85546875" style="1024" hidden="1" customWidth="1" outlineLevel="1"/>
    <col min="8" max="8" width="28.140625" style="1024" hidden="1" customWidth="1" outlineLevel="1"/>
    <col min="9" max="9" width="23.140625" style="1024" hidden="1" customWidth="1" outlineLevel="1"/>
    <col min="10" max="10" width="43.7109375" style="1024" bestFit="1" customWidth="1" collapsed="1"/>
    <col min="11" max="11" width="87.85546875" style="1024" bestFit="1" customWidth="1"/>
    <col min="12" max="12" width="22.42578125" style="1024" hidden="1" customWidth="1" outlineLevel="1"/>
    <col min="13" max="13" width="50.140625" style="1024" customWidth="1" collapsed="1"/>
    <col min="14" max="16384" width="9.140625" style="1024"/>
  </cols>
  <sheetData>
    <row r="1" spans="1:13" s="1023" customFormat="1">
      <c r="A1" s="1173" t="s">
        <v>2694</v>
      </c>
      <c r="C1" s="1173" t="s">
        <v>2802</v>
      </c>
      <c r="D1" s="1173" t="s">
        <v>2693</v>
      </c>
      <c r="E1" s="1173"/>
      <c r="F1" s="1173"/>
      <c r="G1" s="1173" t="s">
        <v>2695</v>
      </c>
      <c r="H1" s="1173" t="s">
        <v>2696</v>
      </c>
      <c r="I1" s="1173" t="s">
        <v>2697</v>
      </c>
      <c r="J1" s="1173" t="s">
        <v>2698</v>
      </c>
      <c r="K1" s="1173" t="s">
        <v>2692</v>
      </c>
      <c r="L1" s="1173" t="s">
        <v>2691</v>
      </c>
      <c r="M1" s="1173" t="s">
        <v>2699</v>
      </c>
    </row>
    <row r="2" spans="1:13" s="1023" customFormat="1" ht="40.5" customHeight="1">
      <c r="A2" s="1173"/>
      <c r="C2" s="1173"/>
      <c r="D2" s="1023" t="s">
        <v>2700</v>
      </c>
      <c r="E2" s="1023" t="s">
        <v>2701</v>
      </c>
      <c r="F2" s="1023" t="s">
        <v>2702</v>
      </c>
      <c r="G2" s="1173"/>
      <c r="H2" s="1173"/>
      <c r="I2" s="1173"/>
      <c r="J2" s="1173"/>
      <c r="K2" s="1173"/>
      <c r="L2" s="1173"/>
      <c r="M2" s="1173"/>
    </row>
    <row r="3" spans="1:13" ht="49.5">
      <c r="A3" s="1023" t="str">
        <f>IF(B3&lt;&gt;"", "R"&amp;COUNTA($B3:B$3), "Err")</f>
        <v>R1</v>
      </c>
      <c r="B3" s="1023" t="s">
        <v>47</v>
      </c>
      <c r="C3" s="1023" t="s">
        <v>2801</v>
      </c>
      <c r="D3" s="1024" t="s">
        <v>2988</v>
      </c>
      <c r="E3" s="1024" t="s">
        <v>2989</v>
      </c>
      <c r="F3" s="1024" t="s">
        <v>2990</v>
      </c>
      <c r="G3" s="1023"/>
      <c r="H3" s="1023"/>
      <c r="I3" s="1023"/>
      <c r="J3" s="1024" t="s">
        <v>2904</v>
      </c>
      <c r="K3" s="1024" t="s">
        <v>2991</v>
      </c>
      <c r="L3" s="1024" t="s">
        <v>2690</v>
      </c>
      <c r="M3" s="1024" t="s">
        <v>2992</v>
      </c>
    </row>
    <row r="4" spans="1:13" ht="66">
      <c r="A4" s="1023" t="str">
        <f>IF(B4&lt;&gt;"", "R"&amp;COUNTA($B$3:B4), "Err")</f>
        <v>R2</v>
      </c>
      <c r="B4" s="1023" t="s">
        <v>2857</v>
      </c>
      <c r="C4" s="1023" t="s">
        <v>2858</v>
      </c>
      <c r="D4" s="1024" t="s">
        <v>2887</v>
      </c>
      <c r="E4" s="1024" t="s">
        <v>2888</v>
      </c>
      <c r="F4" s="1024" t="s">
        <v>2889</v>
      </c>
      <c r="G4" s="1023"/>
      <c r="H4" s="1023"/>
      <c r="I4" s="1023"/>
      <c r="J4" s="1024" t="s">
        <v>2862</v>
      </c>
      <c r="K4" s="1024" t="s">
        <v>2890</v>
      </c>
      <c r="L4" s="1024" t="s">
        <v>2689</v>
      </c>
      <c r="M4" s="1024" t="s">
        <v>2891</v>
      </c>
    </row>
    <row r="5" spans="1:13" ht="49.5">
      <c r="A5" s="1023" t="str">
        <f>IF(B5&lt;&gt;"", "R"&amp;COUNTA($B$3:B5), "Err")</f>
        <v>R3</v>
      </c>
      <c r="B5" s="1023" t="s">
        <v>47</v>
      </c>
      <c r="C5" s="1023" t="s">
        <v>2865</v>
      </c>
      <c r="D5" s="1024" t="s">
        <v>2993</v>
      </c>
      <c r="E5" s="1024" t="s">
        <v>2994</v>
      </c>
      <c r="F5" s="1024" t="s">
        <v>2995</v>
      </c>
      <c r="G5" s="1023"/>
      <c r="H5" s="1023"/>
      <c r="I5" s="1023"/>
      <c r="J5" s="1024" t="s">
        <v>2904</v>
      </c>
      <c r="K5" s="1024" t="s">
        <v>2996</v>
      </c>
      <c r="L5" s="1024" t="s">
        <v>2688</v>
      </c>
      <c r="M5" s="1024" t="s">
        <v>2997</v>
      </c>
    </row>
    <row r="6" spans="1:13" ht="66">
      <c r="A6" s="1023" t="str">
        <f>IF(B6&lt;&gt;"", "R"&amp;COUNTA($B$3:B6), "Err")</f>
        <v>R4</v>
      </c>
      <c r="B6" s="1023" t="s">
        <v>47</v>
      </c>
      <c r="C6" s="1023" t="s">
        <v>2858</v>
      </c>
      <c r="D6" s="1024" t="s">
        <v>2978</v>
      </c>
      <c r="E6" s="1024" t="s">
        <v>2979</v>
      </c>
      <c r="F6" s="1024" t="s">
        <v>2980</v>
      </c>
      <c r="G6" s="1023"/>
      <c r="H6" s="1023"/>
      <c r="I6" s="1023"/>
      <c r="J6" s="1024" t="s">
        <v>2869</v>
      </c>
      <c r="K6" s="1024" t="s">
        <v>2981</v>
      </c>
      <c r="M6" s="1024" t="s">
        <v>2982</v>
      </c>
    </row>
    <row r="7" spans="1:13" ht="66">
      <c r="A7" s="1023" t="str">
        <f>IF(B7&lt;&gt;"", "R"&amp;COUNTA($B$3:B7), "Err")</f>
        <v>R5</v>
      </c>
      <c r="B7" s="1023" t="s">
        <v>2857</v>
      </c>
      <c r="C7" s="1023" t="s">
        <v>2858</v>
      </c>
      <c r="D7" s="1024" t="s">
        <v>2859</v>
      </c>
      <c r="E7" s="1024" t="s">
        <v>2860</v>
      </c>
      <c r="F7" s="1024" t="s">
        <v>2861</v>
      </c>
      <c r="G7" s="1023"/>
      <c r="H7" s="1023"/>
      <c r="I7" s="1023"/>
      <c r="J7" s="1024" t="s">
        <v>2862</v>
      </c>
      <c r="K7" s="1024" t="s">
        <v>2863</v>
      </c>
      <c r="M7" s="1024" t="s">
        <v>2864</v>
      </c>
    </row>
    <row r="8" spans="1:13" ht="66">
      <c r="A8" s="1023" t="str">
        <f>IF(B8&lt;&gt;"", "R"&amp;COUNTA($B$3:B8), "Err")</f>
        <v>R6</v>
      </c>
      <c r="B8" s="1023" t="s">
        <v>2857</v>
      </c>
      <c r="C8" s="1023" t="s">
        <v>2865</v>
      </c>
      <c r="D8" s="1024" t="s">
        <v>2866</v>
      </c>
      <c r="E8" s="1024" t="s">
        <v>2867</v>
      </c>
      <c r="F8" s="1024" t="s">
        <v>2868</v>
      </c>
      <c r="G8" s="1023"/>
      <c r="H8" s="1023"/>
      <c r="I8" s="1023"/>
      <c r="J8" s="1024" t="s">
        <v>2869</v>
      </c>
      <c r="K8" s="1024" t="s">
        <v>2870</v>
      </c>
      <c r="M8" s="1024" t="s">
        <v>2871</v>
      </c>
    </row>
    <row r="9" spans="1:13" ht="66">
      <c r="A9" s="1023" t="str">
        <f>IF(B9&lt;&gt;"", "R"&amp;COUNTA($B$3:B9), "Err")</f>
        <v>R7</v>
      </c>
      <c r="B9" s="1023" t="s">
        <v>2857</v>
      </c>
      <c r="C9" s="1023" t="s">
        <v>2878</v>
      </c>
      <c r="D9" s="1024" t="s">
        <v>2873</v>
      </c>
      <c r="E9" s="1024" t="s">
        <v>2874</v>
      </c>
      <c r="F9" s="1024" t="s">
        <v>2875</v>
      </c>
      <c r="G9" s="1023"/>
      <c r="H9" s="1023"/>
      <c r="I9" s="1023"/>
      <c r="J9" s="1024" t="s">
        <v>2869</v>
      </c>
      <c r="K9" s="1024" t="s">
        <v>2876</v>
      </c>
      <c r="M9" s="1024" t="s">
        <v>2877</v>
      </c>
    </row>
    <row r="10" spans="1:13" ht="87.6" customHeight="1">
      <c r="A10" s="1023" t="str">
        <f>IF(B10&lt;&gt;"", "R"&amp;COUNTA($B$3:B10), "Err")</f>
        <v>R8</v>
      </c>
      <c r="B10" s="1023" t="s">
        <v>2857</v>
      </c>
      <c r="C10" s="1023" t="s">
        <v>2801</v>
      </c>
      <c r="D10" s="1024" t="s">
        <v>2943</v>
      </c>
      <c r="E10" s="1024" t="s">
        <v>2944</v>
      </c>
      <c r="F10" s="1024" t="s">
        <v>2945</v>
      </c>
      <c r="G10" s="1023"/>
      <c r="H10" s="1023"/>
      <c r="I10" s="1023"/>
      <c r="J10" s="1024" t="s">
        <v>2904</v>
      </c>
      <c r="K10" s="1024" t="s">
        <v>2946</v>
      </c>
      <c r="M10" s="1024" t="s">
        <v>2947</v>
      </c>
    </row>
    <row r="11" spans="1:13" ht="66">
      <c r="A11" s="1023" t="str">
        <f>IF(B11&lt;&gt;"", "R"&amp;COUNTA($B$3:B11), "Err")</f>
        <v>R9</v>
      </c>
      <c r="B11" s="1023" t="s">
        <v>1012</v>
      </c>
      <c r="C11" s="1023" t="s">
        <v>2800</v>
      </c>
      <c r="D11" s="1024" t="s">
        <v>2872</v>
      </c>
      <c r="E11" s="1024" t="s">
        <v>2792</v>
      </c>
      <c r="F11" s="1024" t="s">
        <v>2791</v>
      </c>
      <c r="G11" s="1023"/>
      <c r="H11" s="1023"/>
      <c r="I11" s="1023"/>
      <c r="J11" s="1024" t="s">
        <v>2793</v>
      </c>
      <c r="K11" s="1024" t="s">
        <v>2883</v>
      </c>
      <c r="M11" s="1024" t="s">
        <v>2884</v>
      </c>
    </row>
    <row r="12" spans="1:13" ht="49.5">
      <c r="A12" s="1023" t="str">
        <f>IF(B12&lt;&gt;"", "R"&amp;COUNTA($B$3:B12), "Err")</f>
        <v>R10</v>
      </c>
      <c r="B12" s="1023" t="s">
        <v>1012</v>
      </c>
      <c r="C12" s="1023" t="s">
        <v>2800</v>
      </c>
      <c r="D12" s="1024" t="s">
        <v>2794</v>
      </c>
      <c r="E12" s="1024" t="s">
        <v>2977</v>
      </c>
      <c r="F12" s="1024" t="s">
        <v>2795</v>
      </c>
      <c r="G12" s="1023"/>
      <c r="H12" s="1023"/>
      <c r="I12" s="1023"/>
      <c r="J12" s="1024" t="s">
        <v>2798</v>
      </c>
      <c r="K12" s="1024" t="s">
        <v>2797</v>
      </c>
      <c r="L12" s="1024" t="s">
        <v>2796</v>
      </c>
      <c r="M12" s="1024" t="s">
        <v>2799</v>
      </c>
    </row>
    <row r="13" spans="1:13" ht="49.5">
      <c r="A13" s="1023" t="str">
        <f>IF(B13&lt;&gt;"", "R"&amp;COUNTA($B$3:B13), "Err")</f>
        <v>R11</v>
      </c>
      <c r="B13" s="1023" t="s">
        <v>1012</v>
      </c>
      <c r="C13" s="1023" t="s">
        <v>2878</v>
      </c>
      <c r="D13" s="1024" t="s">
        <v>2907</v>
      </c>
      <c r="E13" s="1024" t="s">
        <v>2908</v>
      </c>
      <c r="F13" s="1024" t="s">
        <v>2909</v>
      </c>
      <c r="G13" s="1023"/>
      <c r="H13" s="1023"/>
      <c r="I13" s="1023"/>
      <c r="J13" s="1024" t="s">
        <v>2904</v>
      </c>
      <c r="K13" s="1024" t="s">
        <v>2910</v>
      </c>
      <c r="M13" s="1024" t="s">
        <v>2911</v>
      </c>
    </row>
    <row r="14" spans="1:13" ht="82.5">
      <c r="A14" s="1023" t="str">
        <f>IF(B14&lt;&gt;"", "R"&amp;COUNTA($B$3:B14), "Err")</f>
        <v>R12</v>
      </c>
      <c r="B14" s="1023" t="s">
        <v>2775</v>
      </c>
      <c r="C14" s="1023" t="s">
        <v>2801</v>
      </c>
      <c r="D14" s="1024" t="s">
        <v>2773</v>
      </c>
      <c r="E14" s="1024" t="s">
        <v>2774</v>
      </c>
      <c r="F14" s="1024" t="s">
        <v>3029</v>
      </c>
      <c r="G14" s="1023"/>
      <c r="H14" s="1023"/>
      <c r="I14" s="1023"/>
      <c r="J14" s="1024" t="s">
        <v>2798</v>
      </c>
      <c r="K14" s="1024" t="s">
        <v>2885</v>
      </c>
      <c r="M14" s="1024" t="s">
        <v>2886</v>
      </c>
    </row>
    <row r="15" spans="1:13" ht="49.5">
      <c r="A15" s="1023" t="str">
        <f>IF(B15&lt;&gt;"", "R"&amp;COUNTA($B$3:B15), "Err")</f>
        <v>R13</v>
      </c>
      <c r="B15" s="1023" t="s">
        <v>2776</v>
      </c>
      <c r="C15" s="1023" t="s">
        <v>2801</v>
      </c>
      <c r="D15" s="1024" t="s">
        <v>2771</v>
      </c>
      <c r="E15" s="1024" t="s">
        <v>2767</v>
      </c>
      <c r="F15" s="1024" t="s">
        <v>2768</v>
      </c>
      <c r="J15" s="1024" t="s">
        <v>2798</v>
      </c>
      <c r="K15" s="1024" t="s">
        <v>2879</v>
      </c>
      <c r="M15" s="1024" t="s">
        <v>2880</v>
      </c>
    </row>
    <row r="16" spans="1:13" ht="49.5">
      <c r="A16" s="1023" t="str">
        <f>IF(B16&lt;&gt;"", "R"&amp;COUNTA($B$3:B16), "Err")</f>
        <v>R14</v>
      </c>
      <c r="B16" s="1023" t="s">
        <v>2776</v>
      </c>
      <c r="C16" s="1023" t="s">
        <v>2801</v>
      </c>
      <c r="D16" s="1024" t="s">
        <v>2772</v>
      </c>
      <c r="E16" s="1024" t="s">
        <v>2770</v>
      </c>
      <c r="F16" s="1024" t="s">
        <v>2769</v>
      </c>
      <c r="J16" s="1024" t="s">
        <v>2798</v>
      </c>
      <c r="K16" s="1024" t="s">
        <v>2881</v>
      </c>
      <c r="M16" s="1024" t="s">
        <v>2882</v>
      </c>
    </row>
    <row r="17" spans="1:13" ht="82.5">
      <c r="A17" s="1023" t="str">
        <f>IF(B17&lt;&gt;"", "R"&amp;COUNTA($B$3:B17), "Err")</f>
        <v>R15</v>
      </c>
      <c r="B17" s="1023" t="s">
        <v>1012</v>
      </c>
      <c r="C17" s="1023" t="s">
        <v>2900</v>
      </c>
      <c r="D17" s="1024" t="s">
        <v>2901</v>
      </c>
      <c r="E17" s="1024" t="s">
        <v>2902</v>
      </c>
      <c r="F17" s="1024" t="s">
        <v>2903</v>
      </c>
      <c r="J17" s="1024" t="s">
        <v>2904</v>
      </c>
      <c r="K17" s="1024" t="s">
        <v>2905</v>
      </c>
      <c r="M17" s="1024" t="s">
        <v>2906</v>
      </c>
    </row>
    <row r="18" spans="1:13" ht="49.5">
      <c r="A18" s="1023" t="str">
        <f>IF(B18&lt;&gt;"", "R"&amp;COUNTA($B$3:B18), "Err")</f>
        <v>R16</v>
      </c>
      <c r="B18" s="1023" t="s">
        <v>47</v>
      </c>
      <c r="C18" s="1023" t="s">
        <v>2878</v>
      </c>
      <c r="D18" s="1024" t="s">
        <v>2983</v>
      </c>
      <c r="E18" s="1024" t="s">
        <v>2984</v>
      </c>
      <c r="F18" s="1024" t="s">
        <v>2985</v>
      </c>
      <c r="J18" s="1024" t="s">
        <v>2869</v>
      </c>
      <c r="K18" s="1024" t="s">
        <v>2986</v>
      </c>
      <c r="M18" s="1024" t="s">
        <v>2987</v>
      </c>
    </row>
    <row r="19" spans="1:13" ht="66">
      <c r="A19" s="1023" t="str">
        <f>IF(B19&lt;&gt;"", "R"&amp;COUNTA($B$3:B19), "Err")</f>
        <v>R17</v>
      </c>
      <c r="B19" s="1023" t="s">
        <v>3150</v>
      </c>
      <c r="C19" s="1023" t="s">
        <v>148</v>
      </c>
      <c r="D19" s="1024" t="s">
        <v>3151</v>
      </c>
      <c r="E19" s="1024" t="s">
        <v>3152</v>
      </c>
      <c r="F19" s="1024" t="s">
        <v>3153</v>
      </c>
      <c r="J19" s="1024" t="s">
        <v>2904</v>
      </c>
      <c r="K19" s="1024" t="s">
        <v>3154</v>
      </c>
      <c r="M19" s="1024" t="s">
        <v>3155</v>
      </c>
    </row>
    <row r="20" spans="1:13" ht="66">
      <c r="A20" s="1023" t="str">
        <f>IF(B20&lt;&gt;"", "R"&amp;COUNTA($B$3:B20), "Err")</f>
        <v>R18</v>
      </c>
      <c r="B20" s="1023" t="s">
        <v>3281</v>
      </c>
      <c r="C20" s="1023" t="s">
        <v>148</v>
      </c>
      <c r="D20" s="1024" t="s">
        <v>3258</v>
      </c>
      <c r="E20" s="1024" t="s">
        <v>3254</v>
      </c>
      <c r="F20" s="1024" t="s">
        <v>3255</v>
      </c>
      <c r="J20" s="1024" t="s">
        <v>2904</v>
      </c>
      <c r="K20" s="1024" t="s">
        <v>3256</v>
      </c>
      <c r="M20" s="1024" t="s">
        <v>3257</v>
      </c>
    </row>
    <row r="21" spans="1:13" ht="49.5">
      <c r="A21" s="1023" t="str">
        <f>IF(B21&lt;&gt;"", "R"&amp;COUNTA($B$3:B21), "Err")</f>
        <v>R19</v>
      </c>
      <c r="B21" s="1023" t="s">
        <v>3280</v>
      </c>
      <c r="C21" s="1024" t="s">
        <v>3279</v>
      </c>
      <c r="D21" s="1024" t="s">
        <v>3275</v>
      </c>
      <c r="E21" s="1024" t="s">
        <v>3278</v>
      </c>
      <c r="F21" s="1024" t="s">
        <v>3277</v>
      </c>
      <c r="J21" s="1024" t="s">
        <v>2904</v>
      </c>
      <c r="K21" s="1024" t="s">
        <v>4617</v>
      </c>
      <c r="M21" s="1024" t="s">
        <v>3276</v>
      </c>
    </row>
    <row r="22" spans="1:13" ht="49.5">
      <c r="A22" s="1023" t="str">
        <f>IF(B22&lt;&gt;"", "R"&amp;COUNTA($B$3:B22), "Err")</f>
        <v>R20</v>
      </c>
      <c r="B22" s="1023" t="s">
        <v>3280</v>
      </c>
      <c r="C22" s="1023" t="s">
        <v>2858</v>
      </c>
      <c r="D22" s="1024" t="s">
        <v>3282</v>
      </c>
      <c r="E22" s="1024" t="s">
        <v>3283</v>
      </c>
      <c r="F22" s="1024" t="s">
        <v>3284</v>
      </c>
      <c r="J22" s="1024" t="s">
        <v>2904</v>
      </c>
      <c r="K22" s="1024" t="s">
        <v>4618</v>
      </c>
      <c r="M22" s="1024" t="s">
        <v>3285</v>
      </c>
    </row>
    <row r="23" spans="1:13" ht="49.5">
      <c r="A23" s="1023" t="str">
        <f>IF(B23&lt;&gt;"", "R"&amp;COUNTA($B$3:B23), "Err")</f>
        <v>R21</v>
      </c>
      <c r="B23" s="1023" t="s">
        <v>1012</v>
      </c>
      <c r="C23" s="1023" t="s">
        <v>3463</v>
      </c>
      <c r="D23" s="1024" t="s">
        <v>4615</v>
      </c>
      <c r="E23" s="1024" t="s">
        <v>4616</v>
      </c>
      <c r="F23" s="1024" t="s">
        <v>3421</v>
      </c>
      <c r="G23" s="1024" t="s">
        <v>3422</v>
      </c>
      <c r="H23" s="1024" t="s">
        <v>3423</v>
      </c>
      <c r="I23" s="1024" t="s">
        <v>3423</v>
      </c>
      <c r="J23" s="1024" t="s">
        <v>2904</v>
      </c>
      <c r="K23" s="1024" t="s">
        <v>3424</v>
      </c>
      <c r="L23" s="1024" t="s">
        <v>3425</v>
      </c>
      <c r="M23" s="1024" t="s">
        <v>3462</v>
      </c>
    </row>
    <row r="24" spans="1:13" ht="33">
      <c r="A24" s="1023" t="str">
        <f>IF(B24&lt;&gt;"", "R"&amp;COUNTA($B$3:B24), "Err")</f>
        <v>R22</v>
      </c>
      <c r="B24" s="1023" t="s">
        <v>1012</v>
      </c>
      <c r="C24" s="1023" t="s">
        <v>3426</v>
      </c>
      <c r="D24" s="1024" t="s">
        <v>3427</v>
      </c>
      <c r="E24" s="1024" t="s">
        <v>3428</v>
      </c>
      <c r="F24" s="1024" t="s">
        <v>3429</v>
      </c>
      <c r="G24" s="1024" t="s">
        <v>3422</v>
      </c>
      <c r="H24" s="1024" t="s">
        <v>3423</v>
      </c>
      <c r="I24" s="1024" t="s">
        <v>3423</v>
      </c>
      <c r="J24" s="1024" t="s">
        <v>2904</v>
      </c>
      <c r="K24" s="1024" t="s">
        <v>3430</v>
      </c>
      <c r="L24" s="1024" t="s">
        <v>3431</v>
      </c>
      <c r="M24" s="1024" t="s">
        <v>3432</v>
      </c>
    </row>
    <row r="25" spans="1:13" ht="33">
      <c r="A25" s="1023" t="str">
        <f>IF(B25&lt;&gt;"", "R"&amp;COUNTA($B$3:B25), "Err")</f>
        <v>R23</v>
      </c>
      <c r="B25" s="1023" t="s">
        <v>1012</v>
      </c>
      <c r="C25" s="1023" t="s">
        <v>3433</v>
      </c>
      <c r="D25" s="1024" t="s">
        <v>3434</v>
      </c>
      <c r="E25" s="1024" t="s">
        <v>3435</v>
      </c>
      <c r="F25" s="1024" t="s">
        <v>3436</v>
      </c>
      <c r="G25" s="1024" t="s">
        <v>3423</v>
      </c>
      <c r="H25" s="1024" t="s">
        <v>3423</v>
      </c>
      <c r="I25" s="1024" t="s">
        <v>3423</v>
      </c>
      <c r="J25" s="1024" t="s">
        <v>2904</v>
      </c>
      <c r="K25" s="1024" t="s">
        <v>3437</v>
      </c>
      <c r="L25" s="1024" t="s">
        <v>3438</v>
      </c>
      <c r="M25" s="1024" t="s">
        <v>3439</v>
      </c>
    </row>
    <row r="26" spans="1:13" ht="33">
      <c r="A26" s="1023" t="str">
        <f>IF(B26&lt;&gt;"", "R"&amp;COUNTA($B$3:B26), "Err")</f>
        <v>R24</v>
      </c>
      <c r="B26" s="1023" t="s">
        <v>1012</v>
      </c>
      <c r="C26" s="1023" t="s">
        <v>3440</v>
      </c>
      <c r="D26" s="1024" t="s">
        <v>3441</v>
      </c>
      <c r="E26" s="1024" t="s">
        <v>3442</v>
      </c>
      <c r="F26" s="1024" t="s">
        <v>3443</v>
      </c>
      <c r="G26" s="1024" t="s">
        <v>3422</v>
      </c>
      <c r="H26" s="1024" t="s">
        <v>3422</v>
      </c>
      <c r="I26" s="1024" t="s">
        <v>3422</v>
      </c>
      <c r="J26" s="1024" t="s">
        <v>3444</v>
      </c>
      <c r="K26" s="1024" t="s">
        <v>3445</v>
      </c>
      <c r="L26" s="1024" t="s">
        <v>3446</v>
      </c>
      <c r="M26" s="1024" t="s">
        <v>3447</v>
      </c>
    </row>
    <row r="27" spans="1:13" ht="33">
      <c r="A27" s="1023" t="str">
        <f>IF(B27&lt;&gt;"", "R"&amp;COUNTA($B$3:B27), "Err")</f>
        <v>R25</v>
      </c>
      <c r="B27" s="1023" t="s">
        <v>1012</v>
      </c>
      <c r="C27" s="1023" t="s">
        <v>2878</v>
      </c>
      <c r="D27" s="1024" t="s">
        <v>3448</v>
      </c>
      <c r="E27" s="1024" t="s">
        <v>3449</v>
      </c>
      <c r="F27" s="1024" t="s">
        <v>3450</v>
      </c>
      <c r="G27" s="1024" t="s">
        <v>3422</v>
      </c>
      <c r="H27" s="1024" t="s">
        <v>3423</v>
      </c>
      <c r="I27" s="1024" t="s">
        <v>3423</v>
      </c>
      <c r="J27" s="1024" t="s">
        <v>3444</v>
      </c>
      <c r="K27" s="1024" t="s">
        <v>3451</v>
      </c>
      <c r="L27" s="1024" t="s">
        <v>3452</v>
      </c>
      <c r="M27" s="1024" t="s">
        <v>3453</v>
      </c>
    </row>
    <row r="28" spans="1:13" ht="33">
      <c r="A28" s="1023" t="str">
        <f>IF(B28&lt;&gt;"", "R"&amp;COUNTA($B$3:B28), "Err")</f>
        <v>R26</v>
      </c>
      <c r="B28" s="1023" t="s">
        <v>1012</v>
      </c>
      <c r="C28" s="1023" t="s">
        <v>3454</v>
      </c>
      <c r="D28" s="1024" t="s">
        <v>3455</v>
      </c>
      <c r="E28" s="1024" t="s">
        <v>3456</v>
      </c>
      <c r="F28" s="1024" t="s">
        <v>3457</v>
      </c>
      <c r="G28" s="1024" t="s">
        <v>3422</v>
      </c>
      <c r="H28" s="1024" t="s">
        <v>3422</v>
      </c>
      <c r="I28" s="1024" t="s">
        <v>3422</v>
      </c>
      <c r="J28" s="1024" t="s">
        <v>3458</v>
      </c>
      <c r="K28" s="1024" t="s">
        <v>3459</v>
      </c>
      <c r="L28" s="1024" t="s">
        <v>3460</v>
      </c>
      <c r="M28" s="1024" t="s">
        <v>3461</v>
      </c>
    </row>
    <row r="29" spans="1:13" ht="49.5">
      <c r="A29" s="1023" t="str">
        <f>IF(B29&lt;&gt;"", "R"&amp;COUNTA($B$3:B29), "Err")</f>
        <v>R27</v>
      </c>
      <c r="B29" s="1023" t="s">
        <v>1012</v>
      </c>
      <c r="C29" s="1023" t="s">
        <v>3468</v>
      </c>
      <c r="D29" s="1024" t="s">
        <v>3469</v>
      </c>
      <c r="E29" s="1024" t="s">
        <v>3464</v>
      </c>
      <c r="F29" s="1024" t="s">
        <v>3470</v>
      </c>
      <c r="G29" s="1024" t="s">
        <v>3422</v>
      </c>
      <c r="H29" s="1024" t="s">
        <v>3423</v>
      </c>
      <c r="I29" s="1024" t="s">
        <v>3423</v>
      </c>
      <c r="J29" s="1024" t="s">
        <v>2862</v>
      </c>
      <c r="K29" s="1024" t="s">
        <v>3471</v>
      </c>
      <c r="L29" s="1024" t="s">
        <v>3472</v>
      </c>
      <c r="M29" s="1024" t="s">
        <v>3473</v>
      </c>
    </row>
    <row r="30" spans="1:13" ht="71.45" customHeight="1">
      <c r="A30" s="1023" t="str">
        <f>IF(B30&lt;&gt;"", "R"&amp;COUNTA($B$3:B30), "Err")</f>
        <v>R28</v>
      </c>
      <c r="B30" s="1023" t="s">
        <v>1012</v>
      </c>
      <c r="C30" s="1023" t="s">
        <v>3474</v>
      </c>
      <c r="D30" s="1024" t="s">
        <v>3475</v>
      </c>
      <c r="E30" s="1024" t="s">
        <v>3465</v>
      </c>
      <c r="F30" s="1024" t="s">
        <v>3476</v>
      </c>
      <c r="G30" s="1024" t="s">
        <v>3422</v>
      </c>
      <c r="H30" s="1024" t="s">
        <v>3422</v>
      </c>
      <c r="I30" s="1024" t="s">
        <v>3422</v>
      </c>
      <c r="J30" s="1024" t="s">
        <v>3458</v>
      </c>
      <c r="K30" s="1024" t="s">
        <v>3477</v>
      </c>
      <c r="L30" s="1024" t="s">
        <v>3478</v>
      </c>
      <c r="M30" s="1024" t="s">
        <v>3479</v>
      </c>
    </row>
    <row r="31" spans="1:13" ht="33">
      <c r="A31" s="1023" t="str">
        <f>IF(B31&lt;&gt;"", "R"&amp;COUNTA($B$3:B31), "Err")</f>
        <v>R29</v>
      </c>
      <c r="B31" s="1023" t="s">
        <v>1012</v>
      </c>
      <c r="C31" s="1023" t="s">
        <v>3480</v>
      </c>
      <c r="D31" s="1024" t="s">
        <v>3481</v>
      </c>
      <c r="E31" s="1024" t="s">
        <v>3466</v>
      </c>
      <c r="F31" s="1024" t="s">
        <v>3482</v>
      </c>
      <c r="G31" s="1024" t="s">
        <v>3422</v>
      </c>
      <c r="H31" s="1024" t="s">
        <v>3423</v>
      </c>
      <c r="I31" s="1024" t="s">
        <v>3423</v>
      </c>
      <c r="J31" s="1024" t="s">
        <v>3483</v>
      </c>
      <c r="K31" s="1024" t="s">
        <v>3484</v>
      </c>
      <c r="L31" s="1024" t="s">
        <v>3485</v>
      </c>
      <c r="M31" s="1024" t="s">
        <v>3486</v>
      </c>
    </row>
    <row r="32" spans="1:13" ht="33">
      <c r="A32" s="1023" t="str">
        <f>IF(B32&lt;&gt;"", "R"&amp;COUNTA($B$3:B32), "Err")</f>
        <v>R30</v>
      </c>
      <c r="B32" s="1023" t="s">
        <v>1012</v>
      </c>
      <c r="C32" s="1023" t="s">
        <v>3474</v>
      </c>
      <c r="D32" s="1024" t="s">
        <v>3487</v>
      </c>
      <c r="E32" s="1024" t="s">
        <v>3488</v>
      </c>
      <c r="F32" s="1024" t="s">
        <v>3489</v>
      </c>
      <c r="G32" s="1024" t="s">
        <v>3422</v>
      </c>
      <c r="H32" s="1024" t="s">
        <v>3423</v>
      </c>
      <c r="I32" s="1024" t="s">
        <v>3423</v>
      </c>
      <c r="J32" s="1024" t="s">
        <v>2862</v>
      </c>
      <c r="K32" s="1024" t="s">
        <v>3490</v>
      </c>
      <c r="L32" s="1024" t="s">
        <v>3478</v>
      </c>
      <c r="M32" s="1024" t="s">
        <v>3491</v>
      </c>
    </row>
    <row r="33" spans="1:13" ht="33">
      <c r="A33" s="1023" t="str">
        <f>IF(B33&lt;&gt;"", "R"&amp;COUNTA($B$3:B33), "Err")</f>
        <v>R31</v>
      </c>
      <c r="B33" s="1023" t="s">
        <v>1012</v>
      </c>
      <c r="C33" s="1023" t="s">
        <v>3492</v>
      </c>
      <c r="D33" s="1024" t="s">
        <v>3493</v>
      </c>
      <c r="E33" s="1024" t="s">
        <v>3494</v>
      </c>
      <c r="F33" s="1024" t="s">
        <v>3495</v>
      </c>
      <c r="G33" s="1024" t="s">
        <v>3422</v>
      </c>
      <c r="H33" s="1024" t="s">
        <v>3423</v>
      </c>
      <c r="I33" s="1024" t="s">
        <v>3423</v>
      </c>
      <c r="J33" s="1024" t="s">
        <v>3458</v>
      </c>
      <c r="K33" s="1024" t="s">
        <v>3496</v>
      </c>
      <c r="L33" s="1024" t="s">
        <v>3497</v>
      </c>
      <c r="M33" s="1024" t="s">
        <v>3498</v>
      </c>
    </row>
    <row r="34" spans="1:13">
      <c r="A34" s="1023" t="str">
        <f>IF(B34&lt;&gt;"", "R"&amp;COUNTA($B$3:B34), "Err")</f>
        <v>R32</v>
      </c>
      <c r="B34" s="1023" t="s">
        <v>1012</v>
      </c>
      <c r="C34" s="1023" t="s">
        <v>3499</v>
      </c>
      <c r="D34" s="1024" t="s">
        <v>3500</v>
      </c>
      <c r="E34" s="1024" t="s">
        <v>3501</v>
      </c>
      <c r="F34" s="1024" t="s">
        <v>3467</v>
      </c>
      <c r="G34" s="1024" t="s">
        <v>3422</v>
      </c>
      <c r="H34" s="1024" t="s">
        <v>3423</v>
      </c>
      <c r="I34" s="1024" t="s">
        <v>3423</v>
      </c>
      <c r="J34" s="1024" t="s">
        <v>3483</v>
      </c>
      <c r="K34" s="1024" t="s">
        <v>3502</v>
      </c>
      <c r="L34" s="1024" t="s">
        <v>3503</v>
      </c>
      <c r="M34" s="1024" t="s">
        <v>3504</v>
      </c>
    </row>
    <row r="35" spans="1:13">
      <c r="A35" s="1023" t="str">
        <f>IF(B35&lt;&gt;"", "R"&amp;COUNTA($B$3:B35), "Err")</f>
        <v>R33</v>
      </c>
      <c r="B35" s="1023" t="s">
        <v>1012</v>
      </c>
      <c r="C35" s="1023" t="s">
        <v>3505</v>
      </c>
      <c r="D35" s="1024" t="s">
        <v>3506</v>
      </c>
      <c r="E35" s="1024" t="s">
        <v>3507</v>
      </c>
      <c r="F35" s="1024" t="s">
        <v>3508</v>
      </c>
      <c r="G35" s="1024" t="s">
        <v>3422</v>
      </c>
      <c r="H35" s="1024" t="s">
        <v>3422</v>
      </c>
      <c r="I35" s="1024" t="s">
        <v>3422</v>
      </c>
      <c r="J35" s="1024" t="s">
        <v>3458</v>
      </c>
      <c r="K35" s="1024" t="s">
        <v>3509</v>
      </c>
      <c r="L35" s="1024" t="s">
        <v>3510</v>
      </c>
      <c r="M35" s="1024" t="s">
        <v>3511</v>
      </c>
    </row>
    <row r="36" spans="1:13">
      <c r="A36" s="1023" t="str">
        <f>IF(B36&lt;&gt;"", "R"&amp;COUNTA($B$3:B36), "Err")</f>
        <v>R34</v>
      </c>
      <c r="B36" s="1023" t="s">
        <v>1012</v>
      </c>
      <c r="C36" s="1023" t="s">
        <v>3512</v>
      </c>
      <c r="D36" s="1024" t="s">
        <v>3513</v>
      </c>
      <c r="E36" s="1024" t="s">
        <v>3514</v>
      </c>
      <c r="F36" s="1024" t="s">
        <v>3515</v>
      </c>
      <c r="G36" s="1024" t="s">
        <v>3422</v>
      </c>
      <c r="H36" s="1024" t="s">
        <v>3423</v>
      </c>
      <c r="I36" s="1024" t="s">
        <v>3423</v>
      </c>
      <c r="J36" s="1024" t="s">
        <v>3483</v>
      </c>
      <c r="K36" s="1024" t="s">
        <v>3516</v>
      </c>
      <c r="L36" s="1024" t="s">
        <v>3517</v>
      </c>
      <c r="M36" s="1024" t="s">
        <v>3518</v>
      </c>
    </row>
    <row r="37" spans="1:13">
      <c r="A37" s="1023" t="str">
        <f>IF(B37&lt;&gt;"", "R"&amp;COUNTA($B$3:B37), "Err")</f>
        <v>R35</v>
      </c>
      <c r="B37" s="1023" t="s">
        <v>1012</v>
      </c>
      <c r="C37" s="1023" t="s">
        <v>3474</v>
      </c>
      <c r="D37" s="1024" t="s">
        <v>3519</v>
      </c>
      <c r="E37" s="1024" t="s">
        <v>3520</v>
      </c>
      <c r="F37" s="1024" t="s">
        <v>3521</v>
      </c>
      <c r="G37" s="1024" t="s">
        <v>3423</v>
      </c>
      <c r="H37" s="1024" t="s">
        <v>3423</v>
      </c>
      <c r="I37" s="1024" t="s">
        <v>3423</v>
      </c>
      <c r="J37" s="1024" t="s">
        <v>2862</v>
      </c>
      <c r="K37" s="1024" t="s">
        <v>3522</v>
      </c>
      <c r="L37" s="1024" t="s">
        <v>3523</v>
      </c>
      <c r="M37" s="1024" t="s">
        <v>3524</v>
      </c>
    </row>
    <row r="38" spans="1:13">
      <c r="A38" s="1023" t="str">
        <f>IF(B38&lt;&gt;"", "R"&amp;COUNTA($B$3:B38), "Err")</f>
        <v>R36</v>
      </c>
      <c r="B38" s="1023" t="s">
        <v>1012</v>
      </c>
      <c r="C38" s="1023" t="s">
        <v>3525</v>
      </c>
      <c r="D38" s="1024" t="s">
        <v>3526</v>
      </c>
      <c r="E38" s="1024" t="s">
        <v>3574</v>
      </c>
      <c r="F38" s="1024" t="s">
        <v>3527</v>
      </c>
      <c r="G38" s="1024" t="s">
        <v>3422</v>
      </c>
      <c r="H38" s="1024" t="s">
        <v>3423</v>
      </c>
      <c r="I38" s="1024" t="s">
        <v>3423</v>
      </c>
      <c r="J38" s="1024" t="s">
        <v>2862</v>
      </c>
      <c r="K38" s="1024" t="s">
        <v>3528</v>
      </c>
      <c r="L38" s="1024" t="s">
        <v>3529</v>
      </c>
      <c r="M38" s="1024" t="s">
        <v>3530</v>
      </c>
    </row>
    <row r="39" spans="1:13">
      <c r="A39" s="1023" t="str">
        <f>IF(B39&lt;&gt;"", "R"&amp;COUNTA($B$3:B39), "Err")</f>
        <v>R37</v>
      </c>
      <c r="B39" s="1023" t="s">
        <v>1012</v>
      </c>
      <c r="C39" s="1023" t="s">
        <v>3531</v>
      </c>
      <c r="D39" s="1024" t="s">
        <v>3532</v>
      </c>
      <c r="E39" s="1024" t="s">
        <v>3533</v>
      </c>
      <c r="F39" s="1024" t="s">
        <v>3534</v>
      </c>
      <c r="G39" s="1024" t="s">
        <v>3535</v>
      </c>
      <c r="H39" s="1024" t="s">
        <v>3422</v>
      </c>
      <c r="I39" s="1024" t="s">
        <v>3535</v>
      </c>
      <c r="J39" s="1024" t="s">
        <v>3458</v>
      </c>
      <c r="K39" s="1024" t="s">
        <v>3536</v>
      </c>
      <c r="L39" s="1024" t="s">
        <v>3537</v>
      </c>
      <c r="M39" s="1024" t="s">
        <v>3538</v>
      </c>
    </row>
    <row r="40" spans="1:13">
      <c r="A40" s="1023" t="str">
        <f>IF(B40&lt;&gt;"", "R"&amp;COUNTA($B$3:B40), "Err")</f>
        <v>R38</v>
      </c>
      <c r="B40" s="1023" t="s">
        <v>1012</v>
      </c>
      <c r="C40" s="1023" t="s">
        <v>3539</v>
      </c>
      <c r="D40" s="1024" t="s">
        <v>3540</v>
      </c>
      <c r="E40" s="1024" t="s">
        <v>3541</v>
      </c>
      <c r="F40" s="1024" t="s">
        <v>3542</v>
      </c>
      <c r="G40" s="1024" t="s">
        <v>3422</v>
      </c>
      <c r="H40" s="1024" t="s">
        <v>3422</v>
      </c>
      <c r="I40" s="1024" t="s">
        <v>3422</v>
      </c>
      <c r="J40" s="1024" t="s">
        <v>3458</v>
      </c>
      <c r="K40" s="1024" t="s">
        <v>3543</v>
      </c>
      <c r="L40" s="1024" t="s">
        <v>3544</v>
      </c>
      <c r="M40" s="1024" t="s">
        <v>3545</v>
      </c>
    </row>
    <row r="41" spans="1:13">
      <c r="A41" s="1023" t="str">
        <f>IF(B41&lt;&gt;"", "R"&amp;COUNTA($B$3:B41), "Err")</f>
        <v>R39</v>
      </c>
      <c r="B41" s="1023" t="s">
        <v>1012</v>
      </c>
      <c r="C41" s="1023" t="s">
        <v>3531</v>
      </c>
      <c r="D41" s="1024" t="s">
        <v>3546</v>
      </c>
      <c r="E41" s="1024" t="s">
        <v>3547</v>
      </c>
      <c r="F41" s="1024" t="s">
        <v>3548</v>
      </c>
      <c r="G41" s="1024" t="s">
        <v>3422</v>
      </c>
      <c r="H41" s="1024" t="s">
        <v>3422</v>
      </c>
      <c r="I41" s="1024" t="s">
        <v>3422</v>
      </c>
      <c r="J41" s="1024" t="s">
        <v>2862</v>
      </c>
      <c r="K41" s="1024" t="s">
        <v>3549</v>
      </c>
      <c r="L41" s="1024" t="s">
        <v>3544</v>
      </c>
      <c r="M41" s="1024" t="s">
        <v>3550</v>
      </c>
    </row>
    <row r="42" spans="1:13">
      <c r="A42" s="1023" t="str">
        <f>IF(B42&lt;&gt;"", "R"&amp;COUNTA($B$3:B42), "Err")</f>
        <v>R40</v>
      </c>
      <c r="B42" s="1023" t="s">
        <v>1012</v>
      </c>
      <c r="C42" s="1023" t="s">
        <v>3551</v>
      </c>
      <c r="D42" s="1024" t="s">
        <v>3552</v>
      </c>
      <c r="E42" s="1024" t="s">
        <v>3553</v>
      </c>
      <c r="F42" s="1024" t="s">
        <v>3554</v>
      </c>
      <c r="G42" s="1024" t="s">
        <v>3422</v>
      </c>
      <c r="H42" s="1024" t="s">
        <v>3422</v>
      </c>
      <c r="I42" s="1024" t="s">
        <v>3422</v>
      </c>
      <c r="J42" s="1024" t="s">
        <v>3483</v>
      </c>
      <c r="K42" s="1024" t="s">
        <v>3555</v>
      </c>
      <c r="L42" s="1024" t="s">
        <v>3460</v>
      </c>
      <c r="M42" s="1024" t="s">
        <v>3556</v>
      </c>
    </row>
    <row r="43" spans="1:13">
      <c r="A43" s="1023" t="str">
        <f>IF(B43&lt;&gt;"", "R"&amp;COUNTA($B$3:B43), "Err")</f>
        <v>R41</v>
      </c>
      <c r="B43" s="1023" t="s">
        <v>1012</v>
      </c>
      <c r="C43" s="1023" t="s">
        <v>3557</v>
      </c>
      <c r="D43" s="1024" t="s">
        <v>3558</v>
      </c>
      <c r="E43" s="1024" t="s">
        <v>3559</v>
      </c>
      <c r="F43" s="1024" t="s">
        <v>3560</v>
      </c>
      <c r="G43" s="1024" t="s">
        <v>3422</v>
      </c>
      <c r="H43" s="1024" t="s">
        <v>3423</v>
      </c>
      <c r="I43" s="1024" t="s">
        <v>3423</v>
      </c>
      <c r="J43" s="1024" t="s">
        <v>3483</v>
      </c>
      <c r="K43" s="1024" t="s">
        <v>3561</v>
      </c>
      <c r="L43" s="1024" t="s">
        <v>3562</v>
      </c>
      <c r="M43" s="1024" t="s">
        <v>3563</v>
      </c>
    </row>
    <row r="44" spans="1:13">
      <c r="A44" s="1023" t="str">
        <f>IF(B44&lt;&gt;"", "R"&amp;COUNTA($B$3:B44), "Err")</f>
        <v>R42</v>
      </c>
      <c r="B44" s="1023" t="s">
        <v>1012</v>
      </c>
      <c r="C44" s="1023" t="s">
        <v>3512</v>
      </c>
      <c r="D44" s="1024" t="s">
        <v>3564</v>
      </c>
      <c r="E44" s="1024" t="s">
        <v>3565</v>
      </c>
      <c r="F44" s="1024" t="s">
        <v>3566</v>
      </c>
      <c r="G44" s="1024" t="s">
        <v>3422</v>
      </c>
      <c r="H44" s="1024" t="s">
        <v>3423</v>
      </c>
      <c r="I44" s="1024" t="s">
        <v>3423</v>
      </c>
      <c r="J44" s="1024" t="s">
        <v>3483</v>
      </c>
      <c r="K44" s="1024" t="s">
        <v>3567</v>
      </c>
      <c r="L44" s="1024" t="s">
        <v>3517</v>
      </c>
      <c r="M44" s="1024" t="s">
        <v>3568</v>
      </c>
    </row>
    <row r="45" spans="1:13">
      <c r="A45" s="1023" t="str">
        <f>IF(B45&lt;&gt;"", "R"&amp;COUNTA($B$3:B45), "Err")</f>
        <v>R43</v>
      </c>
      <c r="B45" s="1023" t="s">
        <v>1012</v>
      </c>
      <c r="C45" s="1023" t="s">
        <v>3433</v>
      </c>
      <c r="D45" s="1024" t="s">
        <v>3569</v>
      </c>
      <c r="E45" s="1024" t="s">
        <v>3570</v>
      </c>
      <c r="F45" s="1024" t="s">
        <v>3571</v>
      </c>
      <c r="G45" s="1024" t="s">
        <v>3422</v>
      </c>
      <c r="H45" s="1024" t="s">
        <v>3423</v>
      </c>
      <c r="I45" s="1024" t="s">
        <v>3423</v>
      </c>
      <c r="J45" s="1024" t="s">
        <v>2862</v>
      </c>
      <c r="K45" s="1024" t="s">
        <v>3572</v>
      </c>
      <c r="L45" s="1024" t="s">
        <v>3460</v>
      </c>
      <c r="M45" s="1024" t="s">
        <v>3573</v>
      </c>
    </row>
    <row r="46" spans="1:13" ht="47.25">
      <c r="A46" s="1023" t="str">
        <f>IF(B46&lt;&gt;"", "R"&amp;COUNTA($B$3:B46), "Err")</f>
        <v>R44</v>
      </c>
      <c r="B46" s="1023" t="s">
        <v>1012</v>
      </c>
      <c r="C46" s="1025" t="s">
        <v>3474</v>
      </c>
      <c r="D46" s="1026" t="s">
        <v>3575</v>
      </c>
      <c r="E46" s="1026" t="s">
        <v>3576</v>
      </c>
      <c r="F46" s="1026" t="s">
        <v>3577</v>
      </c>
      <c r="G46" s="1026" t="s">
        <v>3422</v>
      </c>
      <c r="H46" s="1026" t="s">
        <v>3423</v>
      </c>
      <c r="I46" s="1026" t="s">
        <v>3423</v>
      </c>
      <c r="J46" s="1026" t="s">
        <v>2904</v>
      </c>
      <c r="K46" s="1026" t="s">
        <v>3578</v>
      </c>
      <c r="L46" s="1026" t="s">
        <v>3579</v>
      </c>
      <c r="M46" s="1026" t="s">
        <v>3580</v>
      </c>
    </row>
    <row r="47" spans="1:13">
      <c r="A47" s="1023" t="str">
        <f>IF(B47&lt;&gt;"", "R"&amp;COUNTA($B$3:B47), "Err")</f>
        <v>Err</v>
      </c>
      <c r="D47" s="1024" t="s">
        <v>4197</v>
      </c>
    </row>
    <row r="48" spans="1:13" ht="99">
      <c r="C48" s="1023" t="s">
        <v>2801</v>
      </c>
      <c r="D48" s="1024" t="s">
        <v>4640</v>
      </c>
      <c r="E48" s="1024" t="s">
        <v>4641</v>
      </c>
      <c r="F48" s="1024" t="s">
        <v>4642</v>
      </c>
      <c r="J48" s="1024" t="s">
        <v>2862</v>
      </c>
      <c r="K48" s="1024" t="s">
        <v>4668</v>
      </c>
      <c r="M48" s="1024" t="s">
        <v>4643</v>
      </c>
    </row>
    <row r="49" spans="2:13" ht="99">
      <c r="B49" s="1023" t="s">
        <v>3280</v>
      </c>
      <c r="D49" s="1024" t="s">
        <v>4667</v>
      </c>
      <c r="E49" s="1024" t="s">
        <v>4663</v>
      </c>
      <c r="F49" s="1024" t="s">
        <v>4664</v>
      </c>
      <c r="J49" s="1024" t="s">
        <v>4662</v>
      </c>
      <c r="K49" s="1024" t="s">
        <v>4666</v>
      </c>
      <c r="M49" s="1024" t="s">
        <v>4665</v>
      </c>
    </row>
  </sheetData>
  <mergeCells count="10">
    <mergeCell ref="K1:K2"/>
    <mergeCell ref="L1:L2"/>
    <mergeCell ref="M1:M2"/>
    <mergeCell ref="D1:F1"/>
    <mergeCell ref="A1:A2"/>
    <mergeCell ref="G1:G2"/>
    <mergeCell ref="H1:H2"/>
    <mergeCell ref="I1:I2"/>
    <mergeCell ref="J1:J2"/>
    <mergeCell ref="C1:C2"/>
  </mergeCells>
  <phoneticPr fontId="43" type="noConversion"/>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398AB44-E9F8-45C0-BB41-ABB1AA742399}">
          <x14:formula1>
            <xm:f>Filter!$B$12:$B$18</xm:f>
          </x14:formula1>
          <xm:sqref>C3:C20 C22 C24:C34 C47:C1048576</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3EC16-7BFF-4D19-9769-32C22843A699}">
  <sheetPr codeName="Sheet38">
    <tabColor theme="0" tint="-0.34998626667073579"/>
  </sheetPr>
  <dimension ref="A1:J13"/>
  <sheetViews>
    <sheetView zoomScale="90" zoomScaleNormal="90" workbookViewId="0">
      <selection activeCell="F14" sqref="F14"/>
    </sheetView>
  </sheetViews>
  <sheetFormatPr defaultColWidth="16.28515625" defaultRowHeight="15.75"/>
  <cols>
    <col min="2" max="9" width="20.5703125" customWidth="1"/>
    <col min="10" max="10" width="18" bestFit="1" customWidth="1"/>
  </cols>
  <sheetData>
    <row r="1" spans="1:10" ht="31.5" customHeight="1">
      <c r="A1" s="1174" t="s">
        <v>2957</v>
      </c>
      <c r="B1" s="1176" t="s">
        <v>2958</v>
      </c>
      <c r="C1" s="1177"/>
      <c r="D1" s="1177"/>
      <c r="E1" s="1178"/>
      <c r="F1" s="1179" t="s">
        <v>2959</v>
      </c>
      <c r="G1" s="1180"/>
      <c r="H1" s="1180"/>
      <c r="I1" s="1181"/>
      <c r="J1" s="117" t="s">
        <v>2960</v>
      </c>
    </row>
    <row r="2" spans="1:10" ht="33.6" customHeight="1">
      <c r="A2" s="1175"/>
      <c r="B2" s="37" t="s">
        <v>2961</v>
      </c>
      <c r="C2" s="37" t="s">
        <v>2962</v>
      </c>
      <c r="D2" s="37" t="s">
        <v>2963</v>
      </c>
      <c r="E2" s="37" t="s">
        <v>2964</v>
      </c>
      <c r="F2" s="608" t="s">
        <v>2965</v>
      </c>
      <c r="G2" s="608" t="s">
        <v>2966</v>
      </c>
      <c r="H2" s="608" t="s">
        <v>2967</v>
      </c>
      <c r="I2" s="608" t="s">
        <v>2968</v>
      </c>
      <c r="J2" s="600" t="s">
        <v>2969</v>
      </c>
    </row>
    <row r="3" spans="1:10" ht="29.1" customHeight="1">
      <c r="A3" s="607">
        <v>45536</v>
      </c>
      <c r="B3" s="601">
        <v>40599.599999999999</v>
      </c>
      <c r="C3" s="602">
        <v>40599.599999999999</v>
      </c>
      <c r="D3" s="601">
        <v>27395.25</v>
      </c>
      <c r="E3" s="602">
        <v>27395.25</v>
      </c>
      <c r="F3" s="601">
        <v>0</v>
      </c>
      <c r="G3" s="602">
        <v>0</v>
      </c>
      <c r="H3" s="601">
        <v>0</v>
      </c>
      <c r="I3" s="602">
        <v>0</v>
      </c>
    </row>
    <row r="4" spans="1:10" ht="29.1" customHeight="1">
      <c r="A4" s="607">
        <v>45566</v>
      </c>
      <c r="B4" s="601">
        <v>47924.58</v>
      </c>
      <c r="C4" s="602">
        <v>88524.18</v>
      </c>
      <c r="D4" s="601">
        <v>0</v>
      </c>
      <c r="E4" s="602">
        <v>27395.25</v>
      </c>
      <c r="F4" s="601">
        <v>0</v>
      </c>
      <c r="G4" s="602">
        <v>0</v>
      </c>
      <c r="H4" s="601">
        <v>0</v>
      </c>
      <c r="I4" s="602">
        <v>0</v>
      </c>
    </row>
    <row r="5" spans="1:10" ht="29.1" customHeight="1">
      <c r="A5" s="607">
        <v>45597</v>
      </c>
      <c r="B5" s="601">
        <v>17377.62</v>
      </c>
      <c r="C5" s="602">
        <v>105901.8</v>
      </c>
      <c r="D5" s="601">
        <v>3329.09</v>
      </c>
      <c r="E5" s="602">
        <v>30724.34</v>
      </c>
      <c r="F5" s="601">
        <v>0</v>
      </c>
      <c r="G5" s="602">
        <v>0</v>
      </c>
      <c r="H5" s="601">
        <v>0</v>
      </c>
      <c r="I5" s="602">
        <v>0</v>
      </c>
    </row>
    <row r="6" spans="1:10" ht="29.1" customHeight="1">
      <c r="A6" s="607">
        <v>45627</v>
      </c>
      <c r="B6" s="601">
        <v>0</v>
      </c>
      <c r="C6" s="602">
        <v>105901.8</v>
      </c>
      <c r="D6" s="601">
        <v>3849.9</v>
      </c>
      <c r="E6" s="602">
        <v>34574.239999999998</v>
      </c>
      <c r="F6" s="601">
        <v>0</v>
      </c>
      <c r="G6" s="602">
        <v>0</v>
      </c>
      <c r="H6" s="601">
        <v>0</v>
      </c>
      <c r="I6" s="602">
        <v>0</v>
      </c>
    </row>
    <row r="7" spans="1:10" ht="29.1" customHeight="1">
      <c r="A7" s="607">
        <v>45658</v>
      </c>
      <c r="B7" s="601">
        <v>0</v>
      </c>
      <c r="C7" s="602">
        <v>105901.8</v>
      </c>
      <c r="D7" s="601">
        <v>7818.87</v>
      </c>
      <c r="E7" s="602">
        <v>42393.11</v>
      </c>
      <c r="F7" s="601">
        <v>0</v>
      </c>
      <c r="G7" s="602">
        <v>0</v>
      </c>
      <c r="H7" s="601">
        <v>0</v>
      </c>
      <c r="I7" s="602">
        <v>0</v>
      </c>
    </row>
    <row r="8" spans="1:10" ht="29.1" customHeight="1">
      <c r="A8" s="607">
        <v>45689</v>
      </c>
      <c r="B8" s="601">
        <v>0</v>
      </c>
      <c r="C8" s="603">
        <v>105901.8</v>
      </c>
      <c r="D8" s="601">
        <v>8278.1</v>
      </c>
      <c r="E8" s="602">
        <v>50671.21</v>
      </c>
      <c r="F8" s="601">
        <v>0</v>
      </c>
      <c r="G8" s="602">
        <v>0</v>
      </c>
      <c r="H8" s="601">
        <v>0</v>
      </c>
      <c r="I8" s="602">
        <v>0</v>
      </c>
    </row>
    <row r="9" spans="1:10" ht="29.1" customHeight="1">
      <c r="A9" s="607">
        <v>45717</v>
      </c>
      <c r="B9" s="601">
        <v>105901.8</v>
      </c>
      <c r="C9" s="602">
        <v>211803.6</v>
      </c>
      <c r="D9" s="601">
        <v>0</v>
      </c>
      <c r="E9" s="602">
        <v>50671.21</v>
      </c>
      <c r="F9" s="601">
        <v>0</v>
      </c>
      <c r="G9" s="602">
        <v>0</v>
      </c>
      <c r="H9" s="601">
        <v>0</v>
      </c>
      <c r="I9" s="602">
        <v>0</v>
      </c>
    </row>
    <row r="10" spans="1:10" ht="29.1" customHeight="1">
      <c r="A10" s="607">
        <v>45748</v>
      </c>
      <c r="B10" s="601">
        <v>43122.23</v>
      </c>
      <c r="C10" s="604">
        <v>254925.83</v>
      </c>
      <c r="D10" s="601">
        <v>0</v>
      </c>
      <c r="E10" s="605">
        <v>50671.21</v>
      </c>
      <c r="F10" s="601">
        <v>3287.66</v>
      </c>
      <c r="G10" s="605">
        <v>3287.66</v>
      </c>
      <c r="H10" s="601">
        <v>0</v>
      </c>
      <c r="I10" s="605">
        <v>0</v>
      </c>
    </row>
    <row r="11" spans="1:10" ht="29.1" customHeight="1">
      <c r="A11" s="607">
        <v>45778</v>
      </c>
      <c r="B11" s="658"/>
      <c r="C11" s="658"/>
      <c r="D11" s="658"/>
      <c r="E11" s="659"/>
      <c r="F11" s="658"/>
      <c r="G11" s="659"/>
      <c r="H11" s="658"/>
      <c r="I11" s="659"/>
    </row>
    <row r="13" spans="1:10">
      <c r="A13" s="606"/>
      <c r="B13" t="s">
        <v>2970</v>
      </c>
    </row>
  </sheetData>
  <mergeCells count="3">
    <mergeCell ref="A1:A2"/>
    <mergeCell ref="B1:E1"/>
    <mergeCell ref="F1:I1"/>
  </mergeCells>
  <phoneticPr fontId="164" type="noConversion"/>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92D01C-C0C3-45FA-9AD2-EF89A81DC000}">
  <sheetPr codeName="Sheet41"/>
  <dimension ref="A1:D20"/>
  <sheetViews>
    <sheetView zoomScale="130" zoomScaleNormal="130" workbookViewId="0">
      <selection activeCell="D36" sqref="D36"/>
    </sheetView>
  </sheetViews>
  <sheetFormatPr defaultColWidth="8.7109375" defaultRowHeight="14.25" outlineLevelRow="1"/>
  <cols>
    <col min="1" max="1" width="9.42578125" style="878" customWidth="1"/>
    <col min="2" max="2" width="24.5703125" style="878" customWidth="1"/>
    <col min="3" max="3" width="6.5703125" style="878" customWidth="1"/>
    <col min="4" max="4" width="104.85546875" style="879" bestFit="1" customWidth="1"/>
    <col min="5" max="5" width="25.140625" style="879" customWidth="1"/>
    <col min="6" max="16384" width="8.7109375" style="879"/>
  </cols>
  <sheetData>
    <row r="1" spans="1:4">
      <c r="A1" s="878" t="s">
        <v>0</v>
      </c>
      <c r="B1" s="878" t="s">
        <v>4144</v>
      </c>
      <c r="C1" s="878" t="s">
        <v>4163</v>
      </c>
      <c r="D1" s="878" t="s">
        <v>4145</v>
      </c>
    </row>
    <row r="2" spans="1:4">
      <c r="A2" s="880">
        <f>IF(B2&lt;&gt;"", COUNTA($B$2:B2), "")</f>
        <v>1</v>
      </c>
      <c r="B2" s="878" t="s">
        <v>4143</v>
      </c>
      <c r="C2" s="878" t="s">
        <v>4163</v>
      </c>
      <c r="D2" s="887" t="s">
        <v>4182</v>
      </c>
    </row>
    <row r="3" spans="1:4" ht="228.95" hidden="1" customHeight="1" outlineLevel="1">
      <c r="A3" s="1182" t="s">
        <v>4005</v>
      </c>
      <c r="B3" s="1182"/>
      <c r="C3" s="878">
        <v>1.1000000000000001</v>
      </c>
      <c r="D3" s="888" t="s">
        <v>4146</v>
      </c>
    </row>
    <row r="4" spans="1:4" collapsed="1">
      <c r="A4" s="880">
        <f>IF(B4&lt;&gt;"", COUNTA($B$2:B4), "")</f>
        <v>2</v>
      </c>
      <c r="B4" s="878" t="s">
        <v>4147</v>
      </c>
      <c r="C4" s="878" t="s">
        <v>4163</v>
      </c>
      <c r="D4" s="887" t="s">
        <v>4182</v>
      </c>
    </row>
    <row r="5" spans="1:4" hidden="1" outlineLevel="1">
      <c r="A5" s="1182" t="s">
        <v>4005</v>
      </c>
      <c r="B5" s="1182"/>
      <c r="C5" s="878">
        <v>2.1</v>
      </c>
      <c r="D5" s="877" t="s">
        <v>4148</v>
      </c>
    </row>
    <row r="6" spans="1:4" hidden="1" outlineLevel="1">
      <c r="A6" s="1182"/>
      <c r="B6" s="1182"/>
      <c r="C6" s="878">
        <v>2.2000000000000002</v>
      </c>
      <c r="D6" s="877" t="s">
        <v>4149</v>
      </c>
    </row>
    <row r="7" spans="1:4" hidden="1" outlineLevel="1">
      <c r="A7" s="1182"/>
      <c r="B7" s="1182"/>
      <c r="C7" s="878">
        <v>2.2999999999999998</v>
      </c>
      <c r="D7" s="877" t="s">
        <v>4150</v>
      </c>
    </row>
    <row r="8" spans="1:4" hidden="1" outlineLevel="1">
      <c r="A8" s="1182"/>
      <c r="B8" s="1182"/>
      <c r="C8" s="878">
        <v>2.4</v>
      </c>
      <c r="D8" s="877" t="s">
        <v>4151</v>
      </c>
    </row>
    <row r="9" spans="1:4" hidden="1" outlineLevel="1">
      <c r="A9" s="1182"/>
      <c r="B9" s="1182"/>
      <c r="C9" s="878">
        <v>2.5</v>
      </c>
      <c r="D9" s="877" t="s">
        <v>4152</v>
      </c>
    </row>
    <row r="10" spans="1:4" hidden="1" outlineLevel="1">
      <c r="A10" s="1182"/>
      <c r="B10" s="1182"/>
      <c r="C10" s="878">
        <v>2.6</v>
      </c>
      <c r="D10" s="877" t="s">
        <v>4153</v>
      </c>
    </row>
    <row r="11" spans="1:4" hidden="1" outlineLevel="1">
      <c r="A11" s="1182"/>
      <c r="B11" s="1182"/>
      <c r="C11" s="878">
        <v>2.7</v>
      </c>
      <c r="D11" s="877" t="s">
        <v>4154</v>
      </c>
    </row>
    <row r="12" spans="1:4" hidden="1" outlineLevel="1">
      <c r="A12" s="1182"/>
      <c r="B12" s="1182"/>
      <c r="C12" s="878">
        <v>2.8</v>
      </c>
      <c r="D12" s="877" t="s">
        <v>4155</v>
      </c>
    </row>
    <row r="13" spans="1:4" hidden="1" outlineLevel="1">
      <c r="A13" s="1182"/>
      <c r="B13" s="1182"/>
      <c r="C13" s="878">
        <v>2.9</v>
      </c>
      <c r="D13" s="877" t="s">
        <v>4156</v>
      </c>
    </row>
    <row r="14" spans="1:4" hidden="1" outlineLevel="1">
      <c r="A14" s="1182"/>
      <c r="B14" s="1182"/>
      <c r="C14" s="881" t="s">
        <v>2198</v>
      </c>
      <c r="D14" s="877" t="s">
        <v>4157</v>
      </c>
    </row>
    <row r="15" spans="1:4" hidden="1" outlineLevel="1">
      <c r="A15" s="1182"/>
      <c r="B15" s="1182"/>
      <c r="C15" s="878">
        <v>2.11</v>
      </c>
      <c r="D15" s="877" t="s">
        <v>4158</v>
      </c>
    </row>
    <row r="16" spans="1:4" hidden="1" outlineLevel="1">
      <c r="A16" s="1182"/>
      <c r="B16" s="1182"/>
      <c r="C16" s="878">
        <v>2.12</v>
      </c>
      <c r="D16" s="877" t="s">
        <v>4159</v>
      </c>
    </row>
    <row r="17" spans="1:4" hidden="1" outlineLevel="1">
      <c r="A17" s="1182"/>
      <c r="B17" s="1182"/>
      <c r="C17" s="878">
        <v>2.13</v>
      </c>
      <c r="D17" s="877" t="s">
        <v>4161</v>
      </c>
    </row>
    <row r="18" spans="1:4" hidden="1" outlineLevel="1">
      <c r="A18" s="1182"/>
      <c r="B18" s="1182"/>
      <c r="C18" s="878">
        <v>2.14</v>
      </c>
      <c r="D18" s="877" t="s">
        <v>4162</v>
      </c>
    </row>
    <row r="19" spans="1:4" hidden="1" outlineLevel="1">
      <c r="A19" s="1182"/>
      <c r="B19" s="1182"/>
      <c r="C19" s="878">
        <v>2.15</v>
      </c>
      <c r="D19" s="877" t="s">
        <v>4160</v>
      </c>
    </row>
    <row r="20" spans="1:4" collapsed="1">
      <c r="A20" s="880">
        <f>IF(B20&lt;&gt;"", COUNTA($B$2:B20), "")</f>
        <v>3</v>
      </c>
      <c r="B20" s="878" t="s">
        <v>4183</v>
      </c>
      <c r="C20" s="878" t="s">
        <v>4163</v>
      </c>
      <c r="D20" s="887" t="s">
        <v>4182</v>
      </c>
    </row>
  </sheetData>
  <mergeCells count="2">
    <mergeCell ref="A3:B3"/>
    <mergeCell ref="A5:B19"/>
  </mergeCells>
  <phoneticPr fontId="164" type="noConversion"/>
  <conditionalFormatting sqref="A2">
    <cfRule type="expression" dxfId="92" priority="8">
      <formula>OR($AG2="No", $AH2="No")</formula>
    </cfRule>
    <cfRule type="expression" dxfId="91" priority="9">
      <formula>AND($AG2="Yes",$AH2="Yes")</formula>
    </cfRule>
  </conditionalFormatting>
  <conditionalFormatting sqref="A2">
    <cfRule type="expression" dxfId="90" priority="7">
      <formula>$A2&lt;&gt;""</formula>
    </cfRule>
  </conditionalFormatting>
  <conditionalFormatting sqref="A4">
    <cfRule type="expression" dxfId="89" priority="5">
      <formula>OR($AG4="No", $AH4="No")</formula>
    </cfRule>
    <cfRule type="expression" dxfId="88" priority="6">
      <formula>AND($AG4="Yes",$AH4="Yes")</formula>
    </cfRule>
  </conditionalFormatting>
  <conditionalFormatting sqref="A4">
    <cfRule type="expression" dxfId="87" priority="4">
      <formula>$A4&lt;&gt;""</formula>
    </cfRule>
  </conditionalFormatting>
  <conditionalFormatting sqref="A20">
    <cfRule type="expression" dxfId="86" priority="2">
      <formula>OR($AG20="No", $AH20="No")</formula>
    </cfRule>
    <cfRule type="expression" dxfId="85" priority="3">
      <formula>AND($AG20="Yes",$AH20="Yes")</formula>
    </cfRule>
  </conditionalFormatting>
  <conditionalFormatting sqref="A20">
    <cfRule type="expression" dxfId="84" priority="1">
      <formula>$A20&lt;&gt;""</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80F80-198C-48B9-B3B7-1746BC333BCC}">
  <sheetPr codeName="Sheet5">
    <tabColor rgb="FF7030A0"/>
  </sheetPr>
  <dimension ref="B2:O26"/>
  <sheetViews>
    <sheetView topLeftCell="A5" zoomScaleNormal="100" workbookViewId="0">
      <selection activeCell="J23" sqref="J23"/>
    </sheetView>
  </sheetViews>
  <sheetFormatPr defaultColWidth="9.85546875" defaultRowHeight="12.75"/>
  <cols>
    <col min="1" max="1" width="9.85546875" style="322"/>
    <col min="2" max="2" width="15.85546875" style="322" customWidth="1"/>
    <col min="3" max="3" width="9.85546875" style="322"/>
    <col min="4" max="4" width="10.140625" style="322" bestFit="1" customWidth="1"/>
    <col min="5" max="7" width="9.85546875" style="322"/>
    <col min="8" max="8" width="21.42578125" style="322" bestFit="1" customWidth="1"/>
    <col min="9" max="9" width="9.85546875" style="322"/>
    <col min="10" max="10" width="12.5703125" style="322" customWidth="1"/>
    <col min="11" max="11" width="23.85546875" style="322" bestFit="1" customWidth="1"/>
    <col min="12" max="12" width="9.85546875" style="322"/>
    <col min="13" max="13" width="39.85546875" style="322" bestFit="1" customWidth="1"/>
    <col min="14" max="14" width="9.85546875" style="322"/>
    <col min="15" max="15" width="70.140625" style="322" bestFit="1" customWidth="1"/>
    <col min="16" max="16384" width="9.85546875" style="322"/>
  </cols>
  <sheetData>
    <row r="2" spans="2:15" ht="20.100000000000001" customHeight="1">
      <c r="B2" s="323" t="s">
        <v>1976</v>
      </c>
      <c r="D2" s="323" t="s">
        <v>26</v>
      </c>
      <c r="F2" s="323" t="s">
        <v>1977</v>
      </c>
      <c r="G2" s="324"/>
      <c r="H2" s="323" t="s">
        <v>1978</v>
      </c>
      <c r="I2" s="324"/>
      <c r="J2" s="328" t="s">
        <v>986</v>
      </c>
      <c r="K2" s="328" t="s">
        <v>2437</v>
      </c>
      <c r="L2" s="324"/>
      <c r="M2" s="323" t="s">
        <v>1979</v>
      </c>
      <c r="N2" s="324"/>
      <c r="O2" s="325" t="s">
        <v>1980</v>
      </c>
    </row>
    <row r="3" spans="2:15" ht="20.100000000000001" customHeight="1">
      <c r="B3" s="326" t="s">
        <v>1003</v>
      </c>
      <c r="D3" s="327" t="s">
        <v>1031</v>
      </c>
      <c r="F3" s="326" t="s">
        <v>1105</v>
      </c>
      <c r="G3" s="324"/>
      <c r="H3" s="327" t="s">
        <v>1094</v>
      </c>
      <c r="I3" s="324"/>
      <c r="J3" s="772" t="s">
        <v>2435</v>
      </c>
      <c r="K3" s="772" t="s">
        <v>2826</v>
      </c>
      <c r="L3" s="324"/>
      <c r="M3" s="327" t="s">
        <v>1642</v>
      </c>
      <c r="N3" s="324"/>
      <c r="O3" s="327" t="s">
        <v>1142</v>
      </c>
    </row>
    <row r="4" spans="2:15" ht="20.100000000000001" customHeight="1">
      <c r="D4" s="327" t="s">
        <v>50</v>
      </c>
      <c r="F4" s="326" t="s">
        <v>110</v>
      </c>
      <c r="G4" s="324"/>
      <c r="H4" s="327" t="s">
        <v>1146</v>
      </c>
      <c r="I4" s="324"/>
      <c r="J4" s="772" t="s">
        <v>1161</v>
      </c>
      <c r="K4" s="772" t="s">
        <v>2846</v>
      </c>
      <c r="L4" s="324"/>
      <c r="M4" s="327" t="s">
        <v>1151</v>
      </c>
      <c r="N4" s="324"/>
      <c r="O4" s="327" t="s">
        <v>1120</v>
      </c>
    </row>
    <row r="5" spans="2:15" ht="20.100000000000001" customHeight="1">
      <c r="D5" s="327" t="s">
        <v>1012</v>
      </c>
      <c r="F5" s="326" t="s">
        <v>148</v>
      </c>
      <c r="G5" s="324"/>
      <c r="H5" s="327" t="s">
        <v>3994</v>
      </c>
      <c r="I5" s="324"/>
      <c r="J5" s="772" t="s">
        <v>2725</v>
      </c>
      <c r="K5" s="772" t="s">
        <v>2825</v>
      </c>
      <c r="L5" s="324"/>
      <c r="M5" s="327" t="s">
        <v>1100</v>
      </c>
      <c r="N5" s="324"/>
      <c r="O5" s="327" t="s">
        <v>3231</v>
      </c>
    </row>
    <row r="6" spans="2:15" ht="20.100000000000001" customHeight="1">
      <c r="D6" s="327" t="s">
        <v>1017</v>
      </c>
      <c r="F6" s="328"/>
      <c r="G6" s="324"/>
      <c r="H6" s="327" t="s">
        <v>3995</v>
      </c>
      <c r="I6" s="324"/>
      <c r="J6" s="772" t="s">
        <v>1454</v>
      </c>
      <c r="K6" s="772" t="s">
        <v>2847</v>
      </c>
      <c r="L6" s="324"/>
      <c r="M6" s="327" t="s">
        <v>1981</v>
      </c>
      <c r="N6" s="324"/>
      <c r="O6" s="327" t="s">
        <v>1270</v>
      </c>
    </row>
    <row r="7" spans="2:15" ht="20.100000000000001" customHeight="1">
      <c r="D7" s="327" t="s">
        <v>1009</v>
      </c>
      <c r="F7" s="324"/>
      <c r="G7" s="324"/>
      <c r="H7" s="327" t="s">
        <v>148</v>
      </c>
      <c r="I7" s="324"/>
      <c r="J7" s="772" t="s">
        <v>1045</v>
      </c>
      <c r="K7" s="772" t="s">
        <v>2848</v>
      </c>
      <c r="L7" s="324"/>
      <c r="M7" s="327" t="s">
        <v>1263</v>
      </c>
      <c r="N7" s="324"/>
      <c r="O7" s="327" t="s">
        <v>1101</v>
      </c>
    </row>
    <row r="8" spans="2:15" ht="20.100000000000001" customHeight="1">
      <c r="D8" s="327" t="s">
        <v>1027</v>
      </c>
      <c r="F8" s="324"/>
      <c r="G8" s="324"/>
      <c r="H8" s="324"/>
      <c r="I8" s="324"/>
      <c r="J8" s="772" t="s">
        <v>2397</v>
      </c>
      <c r="K8" s="772" t="s">
        <v>2849</v>
      </c>
      <c r="L8" s="324"/>
      <c r="M8" s="327" t="s">
        <v>1046</v>
      </c>
      <c r="N8" s="324"/>
      <c r="O8" s="327" t="s">
        <v>1046</v>
      </c>
    </row>
    <row r="9" spans="2:15" ht="20.100000000000001" customHeight="1">
      <c r="D9" s="327" t="s">
        <v>1055</v>
      </c>
      <c r="F9" s="324"/>
      <c r="G9" s="324"/>
      <c r="H9" s="324"/>
      <c r="I9" s="324"/>
      <c r="J9" s="772"/>
      <c r="K9" s="772"/>
      <c r="L9" s="324"/>
      <c r="M9" s="327" t="s">
        <v>148</v>
      </c>
      <c r="N9" s="324"/>
      <c r="O9" s="327" t="s">
        <v>148</v>
      </c>
    </row>
    <row r="10" spans="2:15" ht="20.100000000000001" customHeight="1">
      <c r="D10" s="327" t="s">
        <v>1982</v>
      </c>
      <c r="F10" s="324"/>
      <c r="G10" s="324"/>
      <c r="H10" s="324"/>
      <c r="I10" s="324"/>
      <c r="J10" s="772"/>
      <c r="K10" s="772"/>
      <c r="L10" s="324"/>
      <c r="M10" s="324"/>
      <c r="N10" s="324"/>
      <c r="O10" s="324"/>
    </row>
    <row r="11" spans="2:15" ht="20.100000000000001" customHeight="1">
      <c r="B11" s="323" t="s">
        <v>1978</v>
      </c>
      <c r="D11" s="327" t="s">
        <v>1021</v>
      </c>
      <c r="F11" s="324"/>
      <c r="G11" s="324"/>
      <c r="H11" s="324"/>
      <c r="I11" s="324"/>
      <c r="J11" s="324"/>
      <c r="K11" s="324"/>
      <c r="L11" s="324"/>
      <c r="M11" s="324"/>
      <c r="N11" s="324"/>
      <c r="O11" s="324"/>
    </row>
    <row r="12" spans="2:15" ht="20.100000000000001" customHeight="1">
      <c r="B12" s="326" t="s">
        <v>2800</v>
      </c>
      <c r="D12" s="327" t="s">
        <v>1028</v>
      </c>
      <c r="F12" s="324"/>
      <c r="G12" s="324"/>
      <c r="H12" s="324"/>
      <c r="I12" s="324"/>
      <c r="J12" s="324"/>
      <c r="K12" s="324"/>
      <c r="L12" s="324"/>
      <c r="M12" s="324"/>
      <c r="N12" s="324"/>
      <c r="O12" s="324"/>
    </row>
    <row r="13" spans="2:15" ht="20.100000000000001" customHeight="1">
      <c r="B13" s="326" t="s">
        <v>2801</v>
      </c>
      <c r="D13" s="327" t="s">
        <v>1983</v>
      </c>
      <c r="F13" s="323" t="s">
        <v>1977</v>
      </c>
      <c r="G13" s="324"/>
      <c r="H13" s="323" t="s">
        <v>984</v>
      </c>
      <c r="I13"/>
      <c r="J13" s="1183" t="s">
        <v>3286</v>
      </c>
      <c r="K13" s="1183"/>
      <c r="L13"/>
      <c r="M13" s="323" t="s">
        <v>2440</v>
      </c>
      <c r="O13" s="324"/>
    </row>
    <row r="14" spans="2:15" ht="20.100000000000001" customHeight="1">
      <c r="B14" s="326" t="s">
        <v>2858</v>
      </c>
      <c r="D14" s="327" t="s">
        <v>2727</v>
      </c>
      <c r="F14" s="326" t="s">
        <v>1984</v>
      </c>
      <c r="G14" s="324"/>
      <c r="H14" s="327" t="s">
        <v>73</v>
      </c>
      <c r="I14"/>
      <c r="J14" s="322" t="s">
        <v>3287</v>
      </c>
      <c r="K14" s="697" t="s">
        <v>3292</v>
      </c>
      <c r="L14"/>
      <c r="M14" s="327" t="s">
        <v>41</v>
      </c>
      <c r="O14"/>
    </row>
    <row r="15" spans="2:15" ht="20.100000000000001" customHeight="1">
      <c r="B15" s="326" t="s">
        <v>2865</v>
      </c>
      <c r="D15" s="327" t="s">
        <v>1047</v>
      </c>
      <c r="F15" s="326" t="s">
        <v>1985</v>
      </c>
      <c r="G15" s="324"/>
      <c r="H15" s="327" t="s">
        <v>49</v>
      </c>
      <c r="I15"/>
      <c r="J15" s="322" t="s">
        <v>3288</v>
      </c>
      <c r="K15" s="698" t="s">
        <v>3293</v>
      </c>
      <c r="L15"/>
      <c r="M15" s="327" t="s">
        <v>42</v>
      </c>
      <c r="O15"/>
    </row>
    <row r="16" spans="2:15" ht="20.100000000000001" customHeight="1">
      <c r="B16" s="326" t="s">
        <v>2878</v>
      </c>
      <c r="D16" s="322" t="s">
        <v>148</v>
      </c>
      <c r="F16" s="326" t="s">
        <v>148</v>
      </c>
      <c r="G16" s="324"/>
      <c r="H16" s="327" t="s">
        <v>241</v>
      </c>
      <c r="I16"/>
      <c r="J16" s="322" t="s">
        <v>3289</v>
      </c>
      <c r="K16" s="699" t="s">
        <v>3294</v>
      </c>
      <c r="L16"/>
      <c r="M16" s="327" t="s">
        <v>43</v>
      </c>
      <c r="O16"/>
    </row>
    <row r="17" spans="2:15" ht="20.100000000000001" customHeight="1">
      <c r="B17" s="326" t="s">
        <v>2900</v>
      </c>
      <c r="H17" s="327" t="s">
        <v>331</v>
      </c>
      <c r="I17"/>
      <c r="J17" s="322" t="s">
        <v>3290</v>
      </c>
      <c r="K17" s="700" t="s">
        <v>3295</v>
      </c>
      <c r="L17"/>
      <c r="M17" s="327" t="s">
        <v>44</v>
      </c>
      <c r="O17"/>
    </row>
    <row r="18" spans="2:15" ht="20.100000000000001" customHeight="1">
      <c r="B18" s="326" t="s">
        <v>148</v>
      </c>
      <c r="H18" s="327" t="s">
        <v>213</v>
      </c>
      <c r="I18"/>
      <c r="J18" s="322" t="s">
        <v>3291</v>
      </c>
      <c r="K18" s="701" t="s">
        <v>3296</v>
      </c>
      <c r="L18"/>
      <c r="M18" s="327" t="s">
        <v>45</v>
      </c>
    </row>
    <row r="19" spans="2:15" ht="20.100000000000001" customHeight="1">
      <c r="H19" s="327" t="s">
        <v>336</v>
      </c>
      <c r="I19"/>
      <c r="L19"/>
      <c r="M19" s="327" t="s">
        <v>46</v>
      </c>
    </row>
    <row r="20" spans="2:15" ht="20.100000000000001" customHeight="1">
      <c r="H20" s="327" t="s">
        <v>173</v>
      </c>
      <c r="I20"/>
      <c r="L20"/>
      <c r="M20" s="327" t="s">
        <v>48</v>
      </c>
    </row>
    <row r="21" spans="2:15">
      <c r="H21" s="322" t="s">
        <v>148</v>
      </c>
    </row>
    <row r="23" spans="2:15" ht="20.100000000000001" customHeight="1">
      <c r="B23" s="323" t="s">
        <v>3983</v>
      </c>
      <c r="D23" s="323" t="s">
        <v>4192</v>
      </c>
    </row>
    <row r="24" spans="2:15" ht="20.100000000000001" customHeight="1">
      <c r="B24" s="326" t="s">
        <v>3987</v>
      </c>
      <c r="D24" s="326" t="b">
        <v>1</v>
      </c>
      <c r="F24" s="324"/>
      <c r="G24" s="324"/>
      <c r="H24" s="324"/>
      <c r="I24" s="324"/>
      <c r="J24" s="324"/>
      <c r="K24" s="324"/>
      <c r="L24" s="324"/>
      <c r="M24" s="324"/>
      <c r="N24" s="324"/>
      <c r="O24" s="324"/>
    </row>
    <row r="25" spans="2:15" ht="20.100000000000001" customHeight="1">
      <c r="B25" s="326" t="s">
        <v>3973</v>
      </c>
      <c r="D25" s="326" t="b">
        <v>0</v>
      </c>
      <c r="F25" s="324"/>
      <c r="G25" s="324"/>
      <c r="H25" s="324"/>
      <c r="I25" s="324"/>
      <c r="J25" s="324"/>
      <c r="K25" s="324"/>
      <c r="L25" s="324"/>
      <c r="M25" s="324"/>
      <c r="N25" s="324"/>
      <c r="O25" s="324"/>
    </row>
    <row r="26" spans="2:15" ht="20.100000000000001" customHeight="1">
      <c r="B26" s="326" t="s">
        <v>3971</v>
      </c>
      <c r="D26" s="326" t="s">
        <v>148</v>
      </c>
      <c r="F26" s="324"/>
      <c r="G26" s="324"/>
      <c r="H26" s="324"/>
      <c r="I26" s="324"/>
      <c r="J26" s="324"/>
      <c r="K26" s="324"/>
      <c r="L26" s="324"/>
      <c r="M26" s="324"/>
      <c r="N26" s="324"/>
      <c r="O26" s="324"/>
    </row>
  </sheetData>
  <mergeCells count="1">
    <mergeCell ref="J13:K13"/>
  </mergeCells>
  <phoneticPr fontId="164" type="noConversion"/>
  <pageMargins left="0.7" right="0.7" top="0.75" bottom="0.75" header="0.3" footer="0.3"/>
  <tableParts count="1">
    <tablePart r:id="rId1"/>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A72B3-37BE-4BC9-B5B7-645F15A29AB2}">
  <sheetPr codeName="Sheet54">
    <tabColor theme="7" tint="0.59999389629810485"/>
  </sheetPr>
  <dimension ref="A1:B3"/>
  <sheetViews>
    <sheetView view="pageBreakPreview" zoomScale="115" zoomScaleNormal="100" zoomScaleSheetLayoutView="115" workbookViewId="0">
      <selection activeCell="B28" sqref="B28"/>
    </sheetView>
  </sheetViews>
  <sheetFormatPr defaultColWidth="8.5703125" defaultRowHeight="15.75"/>
  <cols>
    <col min="1" max="1" width="4.140625" style="33" customWidth="1"/>
    <col min="2" max="2" width="8.5703125" style="33" customWidth="1"/>
    <col min="3" max="16384" width="8.5703125" style="33"/>
  </cols>
  <sheetData>
    <row r="1" spans="1:2" ht="21.6" customHeight="1">
      <c r="A1" s="1184"/>
      <c r="B1" s="1184"/>
    </row>
    <row r="2" spans="1:2" ht="21.6" customHeight="1">
      <c r="A2" s="1184"/>
      <c r="B2" s="1184"/>
    </row>
    <row r="3" spans="1:2" ht="35.450000000000003" customHeight="1"/>
  </sheetData>
  <mergeCells count="2">
    <mergeCell ref="A1:B1"/>
    <mergeCell ref="A2:B2"/>
  </mergeCells>
  <phoneticPr fontId="164" type="noConversion"/>
  <pageMargins left="0.7" right="0.45" top="0.75" bottom="0.75" header="0.3" footer="0.3"/>
  <pageSetup paperSize="9" orientation="landscape" r:id="rId1"/>
  <headerFooter>
    <oddHeader>&amp;CINSPECTION &amp; TEST PLAN
 Reinforcing bar&amp;RAA-BB-</oddHead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3E778-7069-4E5E-9549-AFC94843541F}">
  <sheetPr codeName="Sheet9">
    <tabColor theme="8"/>
  </sheetPr>
  <dimension ref="A1:C18"/>
  <sheetViews>
    <sheetView workbookViewId="0">
      <selection activeCell="C8" sqref="C8"/>
    </sheetView>
  </sheetViews>
  <sheetFormatPr defaultColWidth="8.7109375" defaultRowHeight="15.75"/>
  <cols>
    <col min="1" max="2" width="10.5703125" style="1" customWidth="1"/>
    <col min="3" max="3" width="90.5703125" style="1" customWidth="1"/>
    <col min="4" max="16384" width="8.7109375" style="1"/>
  </cols>
  <sheetData>
    <row r="1" spans="1:3" ht="30" customHeight="1">
      <c r="A1" s="553" t="s">
        <v>0</v>
      </c>
      <c r="B1" s="553" t="s">
        <v>3962</v>
      </c>
      <c r="C1" s="553" t="s">
        <v>2647</v>
      </c>
    </row>
    <row r="2" spans="1:3" ht="24.95" customHeight="1">
      <c r="A2" s="552">
        <f>IF(C2&lt;&gt;"", COUNTA($C2:C$2), "")</f>
        <v>1</v>
      </c>
      <c r="B2" s="771" t="b">
        <v>0</v>
      </c>
      <c r="C2" s="554" t="s">
        <v>2829</v>
      </c>
    </row>
    <row r="3" spans="1:3" ht="24.95" customHeight="1">
      <c r="A3" s="552">
        <f>IF(C3&lt;&gt;"", COUNTA($C$2:C3), "")</f>
        <v>2</v>
      </c>
      <c r="B3" s="771" t="b">
        <v>0</v>
      </c>
      <c r="C3" s="554" t="s">
        <v>2830</v>
      </c>
    </row>
    <row r="4" spans="1:3" ht="24.95" customHeight="1">
      <c r="A4" s="552">
        <f>IF(C4&lt;&gt;"", COUNTA($C$2:C4), "")</f>
        <v>3</v>
      </c>
      <c r="B4" s="771" t="b">
        <v>0</v>
      </c>
      <c r="C4" s="554" t="s">
        <v>2840</v>
      </c>
    </row>
    <row r="5" spans="1:3" ht="24.95" customHeight="1">
      <c r="A5" s="552">
        <f>IF(C5&lt;&gt;"", COUNTA($C$2:C5), "")</f>
        <v>4</v>
      </c>
      <c r="B5" s="771" t="b">
        <v>0</v>
      </c>
      <c r="C5" s="554" t="s">
        <v>2831</v>
      </c>
    </row>
    <row r="6" spans="1:3" ht="24.95" customHeight="1">
      <c r="A6" s="552">
        <f>IF(C6&lt;&gt;"", COUNTA($C$2:C6), "")</f>
        <v>5</v>
      </c>
      <c r="B6" s="771" t="b">
        <v>0</v>
      </c>
      <c r="C6" s="554" t="s">
        <v>2841</v>
      </c>
    </row>
    <row r="7" spans="1:3" ht="24.95" customHeight="1">
      <c r="A7" s="552">
        <f>IF(C7&lt;&gt;"", COUNTA($C$2:C7), "")</f>
        <v>6</v>
      </c>
      <c r="B7" s="771" t="b">
        <v>0</v>
      </c>
      <c r="C7" s="554" t="s">
        <v>2842</v>
      </c>
    </row>
    <row r="8" spans="1:3" ht="24.95" customHeight="1">
      <c r="A8" s="552">
        <f>IF(C8&lt;&gt;"", COUNTA($C$2:C8), "")</f>
        <v>7</v>
      </c>
      <c r="B8" s="771" t="b">
        <v>0</v>
      </c>
      <c r="C8" s="554" t="s">
        <v>2832</v>
      </c>
    </row>
    <row r="9" spans="1:3" ht="24.95" customHeight="1">
      <c r="A9" s="552">
        <f>IF(C9&lt;&gt;"", COUNTA($C$2:C9), "")</f>
        <v>8</v>
      </c>
      <c r="B9" s="771" t="b">
        <v>0</v>
      </c>
      <c r="C9" s="554" t="s">
        <v>2833</v>
      </c>
    </row>
    <row r="10" spans="1:3" ht="24.95" customHeight="1">
      <c r="A10" s="552">
        <f>IF(C10&lt;&gt;"", COUNTA($C$2:C10), "")</f>
        <v>9</v>
      </c>
      <c r="B10" s="771" t="b">
        <v>0</v>
      </c>
      <c r="C10" s="554" t="s">
        <v>2834</v>
      </c>
    </row>
    <row r="11" spans="1:3" ht="24.95" customHeight="1">
      <c r="A11" s="552">
        <f>IF(C11&lt;&gt;"", COUNTA($C$2:C11), "")</f>
        <v>10</v>
      </c>
      <c r="B11" s="771" t="b">
        <v>0</v>
      </c>
      <c r="C11" s="554" t="s">
        <v>2835</v>
      </c>
    </row>
    <row r="12" spans="1:3" ht="24.95" customHeight="1">
      <c r="A12" s="552">
        <f>IF(C12&lt;&gt;"", COUNTA($C$2:C12), "")</f>
        <v>11</v>
      </c>
      <c r="B12" s="771" t="b">
        <v>0</v>
      </c>
      <c r="C12" s="554" t="s">
        <v>2836</v>
      </c>
    </row>
    <row r="13" spans="1:3" ht="24.95" customHeight="1">
      <c r="A13" s="552">
        <f>IF(C13&lt;&gt;"", COUNTA($C$2:C13), "")</f>
        <v>12</v>
      </c>
      <c r="B13" s="771" t="b">
        <v>0</v>
      </c>
      <c r="C13" s="554" t="s">
        <v>2843</v>
      </c>
    </row>
    <row r="14" spans="1:3" ht="24.95" customHeight="1">
      <c r="A14" s="552">
        <f>IF(C14&lt;&gt;"", COUNTA($C$2:C14), "")</f>
        <v>13</v>
      </c>
      <c r="B14" s="771" t="b">
        <v>0</v>
      </c>
      <c r="C14" s="554" t="s">
        <v>2844</v>
      </c>
    </row>
    <row r="15" spans="1:3" ht="24.95" customHeight="1">
      <c r="A15" s="552">
        <f>IF(C15&lt;&gt;"", COUNTA($C$2:C15), "")</f>
        <v>14</v>
      </c>
      <c r="B15" s="771" t="b">
        <v>0</v>
      </c>
      <c r="C15" s="554" t="s">
        <v>2837</v>
      </c>
    </row>
    <row r="16" spans="1:3" ht="24.95" customHeight="1">
      <c r="A16" s="552">
        <f>IF(C16&lt;&gt;"", COUNTA($C$2:C16), "")</f>
        <v>15</v>
      </c>
      <c r="B16" s="771" t="b">
        <v>0</v>
      </c>
      <c r="C16" s="554" t="s">
        <v>2838</v>
      </c>
    </row>
    <row r="17" spans="1:3" ht="24.95" customHeight="1">
      <c r="A17" s="552">
        <f>IF(C17&lt;&gt;"", COUNTA($C$2:C17), "")</f>
        <v>16</v>
      </c>
      <c r="B17" s="771" t="b">
        <v>0</v>
      </c>
      <c r="C17" s="554" t="s">
        <v>2845</v>
      </c>
    </row>
    <row r="18" spans="1:3" ht="24.95" customHeight="1">
      <c r="A18" s="552">
        <f>IF(C18&lt;&gt;"", COUNTA($C$2:C18), "")</f>
        <v>17</v>
      </c>
      <c r="B18" s="771" t="b">
        <v>0</v>
      </c>
      <c r="C18" s="554" t="s">
        <v>2839</v>
      </c>
    </row>
  </sheetData>
  <autoFilter ref="A1:C18" xr:uid="{CE73E778-7069-4E5E-9549-AFC94843541F}"/>
  <phoneticPr fontId="164" type="noConversion"/>
  <conditionalFormatting sqref="A2:B18">
    <cfRule type="expression" dxfId="79" priority="1">
      <formula>OR($AG2="No", $AH2="No")</formula>
    </cfRule>
    <cfRule type="expression" dxfId="78" priority="2">
      <formula>AND($AG2="Yes",$AH2="Yes")</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36519-5755-4E47-B052-40D212BC8C28}">
  <sheetPr codeName="Sheet171"/>
  <dimension ref="A1:C9"/>
  <sheetViews>
    <sheetView zoomScale="115" zoomScaleNormal="115" workbookViewId="0">
      <selection activeCell="D8" sqref="D8"/>
    </sheetView>
  </sheetViews>
  <sheetFormatPr defaultColWidth="9.42578125" defaultRowHeight="16.5"/>
  <cols>
    <col min="1" max="2" width="10.5703125" style="329" customWidth="1"/>
    <col min="3" max="3" width="90.5703125" style="329" customWidth="1"/>
    <col min="4" max="16384" width="9.42578125" style="329"/>
  </cols>
  <sheetData>
    <row r="1" spans="1:3" ht="30" customHeight="1">
      <c r="A1" s="891" t="s">
        <v>0</v>
      </c>
      <c r="B1" s="891" t="s">
        <v>3962</v>
      </c>
      <c r="C1" s="891" t="s">
        <v>2647</v>
      </c>
    </row>
    <row r="2" spans="1:3" ht="30" customHeight="1">
      <c r="A2" s="880">
        <f>IF(B2&lt;&gt;"", COUNTA($B$2:B2), "")</f>
        <v>1</v>
      </c>
      <c r="B2" s="771" t="b">
        <v>0</v>
      </c>
      <c r="C2" s="889" t="s">
        <v>4164</v>
      </c>
    </row>
    <row r="3" spans="1:3" ht="30" customHeight="1">
      <c r="A3" s="880">
        <f>IF(B3&lt;&gt;"", COUNTA($B$2:B3), "")</f>
        <v>2</v>
      </c>
      <c r="B3" s="771" t="b">
        <v>0</v>
      </c>
      <c r="C3" s="890" t="s">
        <v>4169</v>
      </c>
    </row>
    <row r="4" spans="1:3" ht="30" customHeight="1">
      <c r="A4" s="880">
        <f>IF(B4&lt;&gt;"", COUNTA($B$2:B4), "")</f>
        <v>3</v>
      </c>
      <c r="B4" s="771" t="b">
        <v>0</v>
      </c>
      <c r="C4" s="889" t="s">
        <v>4165</v>
      </c>
    </row>
    <row r="5" spans="1:3" ht="30" customHeight="1">
      <c r="A5" s="880">
        <f>IF(B5&lt;&gt;"", COUNTA($B$2:B5), "")</f>
        <v>4</v>
      </c>
      <c r="B5" s="771" t="b">
        <v>0</v>
      </c>
      <c r="C5" s="889" t="s">
        <v>4166</v>
      </c>
    </row>
    <row r="6" spans="1:3" ht="30" customHeight="1">
      <c r="A6" s="880">
        <f>IF(B6&lt;&gt;"", COUNTA($B$2:B6), "")</f>
        <v>5</v>
      </c>
      <c r="B6" s="771" t="b">
        <v>0</v>
      </c>
      <c r="C6" s="889" t="s">
        <v>121</v>
      </c>
    </row>
    <row r="7" spans="1:3" ht="30" customHeight="1">
      <c r="A7" s="880">
        <f>IF(B7&lt;&gt;"", COUNTA($B$2:B7), "")</f>
        <v>6</v>
      </c>
      <c r="B7" s="771" t="b">
        <v>0</v>
      </c>
      <c r="C7" s="889" t="s">
        <v>4167</v>
      </c>
    </row>
    <row r="8" spans="1:3" ht="30" customHeight="1">
      <c r="A8" s="880">
        <f>IF(B8&lt;&gt;"", COUNTA($B$2:B8), "")</f>
        <v>7</v>
      </c>
      <c r="B8" s="771" t="b">
        <v>0</v>
      </c>
      <c r="C8" s="889" t="s">
        <v>4168</v>
      </c>
    </row>
    <row r="9" spans="1:3" ht="30" customHeight="1">
      <c r="A9" s="880">
        <f>IF(B9&lt;&gt;"", COUNTA($B$2:B9), "")</f>
        <v>8</v>
      </c>
      <c r="B9" s="771" t="b">
        <v>0</v>
      </c>
      <c r="C9" s="889" t="s">
        <v>3990</v>
      </c>
    </row>
  </sheetData>
  <phoneticPr fontId="164" type="noConversion"/>
  <conditionalFormatting sqref="B2:B9">
    <cfRule type="expression" dxfId="77" priority="4">
      <formula>OR($AD2="No", $AE2="No")</formula>
    </cfRule>
    <cfRule type="expression" dxfId="76" priority="5">
      <formula>AND($AD2="Yes",$AE2="Yes")</formula>
    </cfRule>
  </conditionalFormatting>
  <conditionalFormatting sqref="A2:A9">
    <cfRule type="expression" dxfId="75" priority="2">
      <formula>OR($AG2="No", $AH2="No")</formula>
    </cfRule>
    <cfRule type="expression" dxfId="74" priority="3">
      <formula>AND($AG2="Yes",$AH2="Yes")</formula>
    </cfRule>
  </conditionalFormatting>
  <conditionalFormatting sqref="A2:A9">
    <cfRule type="expression" dxfId="73" priority="1">
      <formula>$A2&lt;&gt;""</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B7262-DA55-4CD8-963D-2C9FCFC29804}">
  <sheetPr codeName="Sheet37">
    <tabColor theme="0" tint="-0.34998626667073579"/>
  </sheetPr>
  <dimension ref="A1:N27"/>
  <sheetViews>
    <sheetView topLeftCell="B1" zoomScale="85" zoomScaleNormal="85" workbookViewId="0">
      <selection activeCell="O34" sqref="O34"/>
    </sheetView>
  </sheetViews>
  <sheetFormatPr defaultColWidth="8.7109375" defaultRowHeight="14.25"/>
  <cols>
    <col min="1" max="1" width="8.7109375" style="541"/>
    <col min="2" max="2" width="23.5703125" style="541" customWidth="1"/>
    <col min="3" max="14" width="15.5703125" style="541" customWidth="1"/>
    <col min="15" max="16384" width="8.7109375" style="541"/>
  </cols>
  <sheetData>
    <row r="1" spans="1:14" ht="27.95" customHeight="1">
      <c r="B1" s="33" t="s">
        <v>3168</v>
      </c>
      <c r="C1" s="33" t="s">
        <v>3167</v>
      </c>
      <c r="D1" s="33"/>
      <c r="E1" s="33"/>
      <c r="F1" s="33"/>
    </row>
    <row r="2" spans="1:14" ht="24.95" customHeight="1">
      <c r="B2" s="463">
        <f ca="1">TODAY()</f>
        <v>46039</v>
      </c>
      <c r="C2" s="463">
        <v>46326</v>
      </c>
      <c r="D2" s="679" t="s">
        <v>3169</v>
      </c>
      <c r="E2" s="616" t="str">
        <f ca="1">INT(NETWORKDAYS(B2,C2)/22) &amp; " 個月 " &amp;
 MOD(NETWORKDAYS(B2,C2),22) &amp; " 天"</f>
        <v>9 個月 7 天</v>
      </c>
      <c r="F2" s="64" t="s">
        <v>3170</v>
      </c>
    </row>
    <row r="3" spans="1:14" ht="15" thickBot="1"/>
    <row r="4" spans="1:14" ht="24.95" customHeight="1" thickBot="1">
      <c r="A4" s="538" t="s">
        <v>0</v>
      </c>
      <c r="B4" s="539" t="s">
        <v>2647</v>
      </c>
      <c r="C4" s="539" t="s">
        <v>2648</v>
      </c>
      <c r="D4" s="539" t="s">
        <v>2649</v>
      </c>
      <c r="E4" s="539" t="s">
        <v>2650</v>
      </c>
      <c r="F4" s="539" t="s">
        <v>2651</v>
      </c>
      <c r="G4" s="539" t="s">
        <v>2652</v>
      </c>
      <c r="H4" s="539" t="s">
        <v>2653</v>
      </c>
      <c r="I4" s="539" t="s">
        <v>2654</v>
      </c>
      <c r="J4" s="539" t="s">
        <v>2655</v>
      </c>
      <c r="K4" s="539" t="s">
        <v>2656</v>
      </c>
      <c r="L4" s="539" t="s">
        <v>2657</v>
      </c>
      <c r="M4" s="539" t="s">
        <v>2658</v>
      </c>
      <c r="N4" s="540" t="s">
        <v>2659</v>
      </c>
    </row>
    <row r="5" spans="1:14" ht="20.100000000000001" customHeight="1">
      <c r="A5" s="542">
        <f>ROW()-ROW($A$5)+1</f>
        <v>1</v>
      </c>
      <c r="B5" s="543" t="s">
        <v>2660</v>
      </c>
      <c r="C5" s="660" t="b">
        <v>1</v>
      </c>
      <c r="D5" s="661" t="b">
        <v>1</v>
      </c>
      <c r="E5" s="660" t="b">
        <v>1</v>
      </c>
      <c r="F5" s="662"/>
      <c r="G5" s="660" t="b">
        <v>1</v>
      </c>
      <c r="H5" s="662"/>
      <c r="I5" s="660" t="b">
        <v>1</v>
      </c>
      <c r="J5" s="662"/>
      <c r="K5" s="660" t="b">
        <v>1</v>
      </c>
      <c r="L5" s="893"/>
      <c r="M5" s="660" t="b">
        <v>1</v>
      </c>
      <c r="N5" s="663"/>
    </row>
    <row r="6" spans="1:14" ht="20.100000000000001" customHeight="1">
      <c r="A6" s="544">
        <f t="shared" ref="A6:A13" si="0">ROW()-ROW($A$5)+1</f>
        <v>2</v>
      </c>
      <c r="B6" s="545" t="s">
        <v>2661</v>
      </c>
      <c r="C6" s="664" t="b">
        <v>1</v>
      </c>
      <c r="D6" s="546"/>
      <c r="E6" s="664" t="b">
        <v>1</v>
      </c>
      <c r="F6" s="665"/>
      <c r="G6" s="664" t="b">
        <v>1</v>
      </c>
      <c r="H6" s="666"/>
      <c r="I6" s="664" t="b">
        <v>1</v>
      </c>
      <c r="J6" s="665"/>
      <c r="K6" s="664" t="b">
        <v>1</v>
      </c>
      <c r="L6" s="665"/>
      <c r="M6" s="664" t="b">
        <v>1</v>
      </c>
      <c r="N6" s="667"/>
    </row>
    <row r="7" spans="1:14" ht="20.100000000000001" customHeight="1">
      <c r="A7" s="544">
        <v>3</v>
      </c>
      <c r="B7" s="545" t="s">
        <v>3268</v>
      </c>
      <c r="C7" s="696"/>
      <c r="D7" s="546"/>
      <c r="E7" s="696"/>
      <c r="F7" s="665"/>
      <c r="G7" s="696"/>
      <c r="H7" s="695"/>
      <c r="I7" s="696"/>
      <c r="J7" s="665"/>
      <c r="K7" s="664" t="b">
        <v>1</v>
      </c>
      <c r="L7" s="665"/>
      <c r="M7" s="696"/>
      <c r="N7" s="667"/>
    </row>
    <row r="8" spans="1:14" ht="20.100000000000001" customHeight="1">
      <c r="A8" s="544">
        <f t="shared" si="0"/>
        <v>4</v>
      </c>
      <c r="B8" s="545" t="s">
        <v>2662</v>
      </c>
      <c r="C8" s="546"/>
      <c r="D8" s="546"/>
      <c r="E8" s="664" t="b">
        <v>1</v>
      </c>
      <c r="F8" s="665"/>
      <c r="G8" s="665"/>
      <c r="I8" s="665"/>
      <c r="J8" s="665"/>
      <c r="K8" s="666"/>
      <c r="L8" s="665"/>
      <c r="M8" s="665"/>
      <c r="N8" s="667"/>
    </row>
    <row r="9" spans="1:14" ht="20.100000000000001" customHeight="1">
      <c r="A9" s="544">
        <f t="shared" si="0"/>
        <v>5</v>
      </c>
      <c r="B9" s="545" t="s">
        <v>2663</v>
      </c>
      <c r="C9" s="546"/>
      <c r="D9" s="546"/>
      <c r="E9" s="664" t="b">
        <v>1</v>
      </c>
      <c r="F9" s="546"/>
      <c r="G9" s="546"/>
      <c r="H9" s="664" t="b">
        <v>1</v>
      </c>
      <c r="I9" s="546"/>
      <c r="J9" s="546"/>
      <c r="K9" s="664" t="b">
        <v>1</v>
      </c>
      <c r="L9" s="546"/>
      <c r="M9" s="546"/>
      <c r="N9" s="668" t="b">
        <v>1</v>
      </c>
    </row>
    <row r="10" spans="1:14" ht="20.100000000000001" customHeight="1">
      <c r="A10" s="544">
        <f t="shared" si="0"/>
        <v>6</v>
      </c>
      <c r="B10" s="545" t="s">
        <v>2754</v>
      </c>
      <c r="C10" s="546"/>
      <c r="D10" s="546"/>
      <c r="E10" s="546"/>
      <c r="F10" s="546"/>
      <c r="G10" s="546"/>
      <c r="H10" s="546"/>
      <c r="I10" s="546"/>
      <c r="J10" s="546"/>
      <c r="K10" s="664" t="b">
        <v>1</v>
      </c>
      <c r="L10" s="546"/>
      <c r="M10" s="546"/>
      <c r="N10" s="547"/>
    </row>
    <row r="11" spans="1:14" ht="20.100000000000001" customHeight="1">
      <c r="A11" s="544">
        <f t="shared" si="0"/>
        <v>7</v>
      </c>
      <c r="B11" s="545" t="s">
        <v>3077</v>
      </c>
      <c r="C11" s="546"/>
      <c r="D11" s="546"/>
      <c r="E11" s="546"/>
      <c r="F11" s="546"/>
      <c r="G11" s="669" t="b">
        <v>1</v>
      </c>
      <c r="H11" s="664" t="b">
        <v>1</v>
      </c>
      <c r="I11" s="664" t="b">
        <v>1</v>
      </c>
      <c r="J11" s="664" t="b">
        <v>1</v>
      </c>
      <c r="K11" s="664" t="b">
        <v>1</v>
      </c>
      <c r="L11" s="664" t="b">
        <v>1</v>
      </c>
      <c r="M11" s="664" t="b">
        <v>1</v>
      </c>
      <c r="N11" s="668" t="b">
        <v>1</v>
      </c>
    </row>
    <row r="12" spans="1:14" ht="20.100000000000001" customHeight="1">
      <c r="A12" s="544">
        <f t="shared" si="0"/>
        <v>8</v>
      </c>
      <c r="B12" s="675" t="s">
        <v>3079</v>
      </c>
      <c r="C12" s="672"/>
      <c r="D12" s="672"/>
      <c r="E12" s="672"/>
      <c r="F12" s="672"/>
      <c r="G12" s="673" t="b">
        <v>1</v>
      </c>
      <c r="H12" s="672"/>
      <c r="I12" s="672"/>
      <c r="J12" s="672"/>
      <c r="K12" s="672"/>
      <c r="L12" s="672"/>
      <c r="M12" s="676" t="b">
        <v>1</v>
      </c>
      <c r="N12" s="674"/>
    </row>
    <row r="13" spans="1:14" ht="20.100000000000001" customHeight="1" thickBot="1">
      <c r="A13" s="548">
        <f t="shared" si="0"/>
        <v>9</v>
      </c>
      <c r="B13" s="671" t="s">
        <v>3078</v>
      </c>
      <c r="C13" s="549"/>
      <c r="D13" s="549"/>
      <c r="E13" s="549"/>
      <c r="F13" s="549"/>
      <c r="G13" s="549"/>
      <c r="H13" s="549"/>
      <c r="I13" s="549"/>
      <c r="J13" s="549"/>
      <c r="K13" s="549"/>
      <c r="L13" s="549"/>
      <c r="M13" s="549"/>
      <c r="N13" s="670" t="b">
        <v>1</v>
      </c>
    </row>
    <row r="16" spans="1:14" ht="15" thickBot="1"/>
    <row r="17" spans="2:14" ht="15.75" thickBot="1">
      <c r="B17" s="539" t="s">
        <v>2647</v>
      </c>
      <c r="C17" s="539" t="s">
        <v>2648</v>
      </c>
      <c r="D17" s="539" t="s">
        <v>2649</v>
      </c>
      <c r="E17" s="539" t="s">
        <v>2650</v>
      </c>
      <c r="F17" s="539" t="s">
        <v>2651</v>
      </c>
      <c r="G17" s="539" t="s">
        <v>2652</v>
      </c>
      <c r="H17" s="539" t="s">
        <v>2653</v>
      </c>
      <c r="I17" s="539" t="s">
        <v>2654</v>
      </c>
      <c r="J17" s="539" t="s">
        <v>2655</v>
      </c>
      <c r="K17" s="539" t="s">
        <v>2656</v>
      </c>
      <c r="L17" s="539" t="s">
        <v>2657</v>
      </c>
      <c r="M17" s="539" t="s">
        <v>2658</v>
      </c>
      <c r="N17" s="540" t="s">
        <v>2659</v>
      </c>
    </row>
    <row r="18" spans="2:14" ht="15.75">
      <c r="B18" s="543" t="s">
        <v>2660</v>
      </c>
      <c r="C18" s="660" t="b">
        <v>0</v>
      </c>
      <c r="D18" s="661" t="b">
        <v>0</v>
      </c>
      <c r="E18" s="660" t="b">
        <v>0</v>
      </c>
      <c r="F18" s="662"/>
      <c r="G18" s="660" t="b">
        <v>0</v>
      </c>
      <c r="H18" s="662"/>
      <c r="I18" s="660" t="b">
        <v>0</v>
      </c>
      <c r="J18" s="662"/>
      <c r="K18" s="660" t="b">
        <v>0</v>
      </c>
      <c r="L18" s="893"/>
      <c r="M18" s="660" t="b">
        <v>0</v>
      </c>
      <c r="N18" s="663"/>
    </row>
    <row r="19" spans="2:14" ht="15.75">
      <c r="B19" s="545" t="s">
        <v>2661</v>
      </c>
      <c r="C19" s="664" t="b">
        <v>0</v>
      </c>
      <c r="D19" s="546"/>
      <c r="E19" s="664" t="b">
        <v>0</v>
      </c>
      <c r="F19" s="665"/>
      <c r="G19" s="664" t="b">
        <v>0</v>
      </c>
      <c r="H19" s="666"/>
      <c r="I19" s="664" t="b">
        <v>0</v>
      </c>
      <c r="J19" s="665"/>
      <c r="K19" s="664" t="b">
        <v>0</v>
      </c>
      <c r="L19" s="665"/>
      <c r="M19" s="664" t="b">
        <v>0</v>
      </c>
      <c r="N19" s="667"/>
    </row>
    <row r="20" spans="2:14" ht="15.75">
      <c r="B20" s="545" t="s">
        <v>3268</v>
      </c>
      <c r="C20" s="696"/>
      <c r="D20" s="546"/>
      <c r="E20" s="696"/>
      <c r="F20" s="665"/>
      <c r="G20" s="696"/>
      <c r="H20" s="695"/>
      <c r="I20" s="696"/>
      <c r="J20" s="665"/>
      <c r="K20" s="664" t="b">
        <v>0</v>
      </c>
      <c r="L20" s="665"/>
      <c r="M20" s="696"/>
      <c r="N20" s="667"/>
    </row>
    <row r="21" spans="2:14" ht="15.75">
      <c r="B21" s="545" t="s">
        <v>2662</v>
      </c>
      <c r="C21" s="546"/>
      <c r="D21" s="546"/>
      <c r="E21" s="664" t="b">
        <v>0</v>
      </c>
      <c r="F21" s="665"/>
      <c r="G21" s="665"/>
      <c r="I21" s="665"/>
      <c r="J21" s="665"/>
      <c r="K21" s="666"/>
      <c r="L21" s="665"/>
      <c r="M21" s="665"/>
      <c r="N21" s="667"/>
    </row>
    <row r="22" spans="2:14" ht="24" customHeight="1">
      <c r="B22" s="545" t="s">
        <v>2663</v>
      </c>
      <c r="C22" s="546"/>
      <c r="D22" s="546"/>
      <c r="E22" s="664" t="b">
        <v>0</v>
      </c>
      <c r="F22" s="546"/>
      <c r="G22" s="546"/>
      <c r="H22" s="664" t="b">
        <v>0</v>
      </c>
      <c r="I22" s="546"/>
      <c r="J22" s="546"/>
      <c r="K22" s="664" t="b">
        <v>0</v>
      </c>
      <c r="L22" s="546"/>
      <c r="M22" s="546"/>
      <c r="N22" s="668" t="b">
        <v>0</v>
      </c>
    </row>
    <row r="23" spans="2:14" ht="26.1" customHeight="1">
      <c r="B23" s="545" t="s">
        <v>2754</v>
      </c>
      <c r="C23" s="546"/>
      <c r="D23" s="546"/>
      <c r="E23" s="546"/>
      <c r="F23" s="546"/>
      <c r="G23" s="546"/>
      <c r="H23" s="546"/>
      <c r="I23" s="546"/>
      <c r="J23" s="546"/>
      <c r="K23" s="664" t="b">
        <v>0</v>
      </c>
      <c r="L23" s="546"/>
      <c r="M23" s="546"/>
      <c r="N23" s="547"/>
    </row>
    <row r="24" spans="2:14" ht="15.75">
      <c r="B24" s="545" t="s">
        <v>3077</v>
      </c>
      <c r="C24" s="546"/>
      <c r="D24" s="546"/>
      <c r="E24" s="546"/>
      <c r="F24" s="546"/>
      <c r="G24" s="669" t="b">
        <v>0</v>
      </c>
      <c r="H24" s="664" t="b">
        <v>0</v>
      </c>
      <c r="I24" s="664" t="b">
        <v>0</v>
      </c>
      <c r="J24" s="664" t="b">
        <v>0</v>
      </c>
      <c r="K24" s="664" t="b">
        <v>0</v>
      </c>
      <c r="L24" s="664" t="b">
        <v>0</v>
      </c>
      <c r="M24" s="664" t="b">
        <v>0</v>
      </c>
      <c r="N24" s="668" t="b">
        <v>0</v>
      </c>
    </row>
    <row r="25" spans="2:14" ht="15.75">
      <c r="B25" s="675" t="s">
        <v>3079</v>
      </c>
      <c r="C25" s="672"/>
      <c r="D25" s="672"/>
      <c r="E25" s="672"/>
      <c r="F25" s="672"/>
      <c r="G25" s="673" t="b">
        <v>0</v>
      </c>
      <c r="H25" s="672"/>
      <c r="I25" s="672"/>
      <c r="J25" s="672"/>
      <c r="K25" s="672"/>
      <c r="L25" s="672"/>
      <c r="M25" s="676" t="b">
        <v>0</v>
      </c>
      <c r="N25" s="674"/>
    </row>
    <row r="26" spans="2:14" ht="16.5" thickBot="1">
      <c r="B26" s="671" t="s">
        <v>3078</v>
      </c>
      <c r="C26" s="549"/>
      <c r="D26" s="549"/>
      <c r="E26" s="549"/>
      <c r="F26" s="549"/>
      <c r="G26" s="549"/>
      <c r="H26" s="549"/>
      <c r="I26" s="549"/>
      <c r="J26" s="549"/>
      <c r="K26" s="549"/>
      <c r="L26" s="549"/>
      <c r="M26" s="549"/>
      <c r="N26" s="670" t="b">
        <v>0</v>
      </c>
    </row>
    <row r="27" spans="2:14" ht="15.75">
      <c r="C27" s="463"/>
    </row>
  </sheetData>
  <phoneticPr fontId="164" type="noConversion"/>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4EB48-F252-4C49-B4E6-05B18D24D733}">
  <sheetPr codeName="Sheet22"/>
  <dimension ref="A1:M22"/>
  <sheetViews>
    <sheetView topLeftCell="A17" zoomScale="115" zoomScaleNormal="115" workbookViewId="0">
      <selection activeCell="P18" sqref="P18"/>
    </sheetView>
  </sheetViews>
  <sheetFormatPr defaultRowHeight="15.75"/>
  <cols>
    <col min="2" max="2" width="11.42578125" customWidth="1"/>
    <col min="3" max="3" width="12.5703125" customWidth="1"/>
    <col min="4" max="4" width="15.140625" customWidth="1"/>
    <col min="5" max="5" width="12.5703125" customWidth="1"/>
    <col min="7" max="7" width="12.140625" customWidth="1"/>
    <col min="8" max="8" width="13.85546875" customWidth="1"/>
  </cols>
  <sheetData>
    <row r="1" spans="1:13" ht="24.95" customHeight="1">
      <c r="A1" s="1187" t="s">
        <v>4445</v>
      </c>
      <c r="B1" s="1185" t="s">
        <v>4198</v>
      </c>
      <c r="C1" s="1027" t="s">
        <v>4670</v>
      </c>
      <c r="D1" s="1027" t="s">
        <v>4672</v>
      </c>
      <c r="E1" s="1185" t="s">
        <v>4479</v>
      </c>
      <c r="F1" s="1185" t="s">
        <v>4201</v>
      </c>
      <c r="G1" s="1185" t="s">
        <v>4478</v>
      </c>
      <c r="H1" s="1027" t="s">
        <v>4673</v>
      </c>
      <c r="I1" s="1185" t="s">
        <v>4465</v>
      </c>
      <c r="J1" s="1185" t="s">
        <v>4675</v>
      </c>
      <c r="K1" s="1185"/>
      <c r="L1" s="1185"/>
      <c r="M1" s="1186"/>
    </row>
    <row r="2" spans="1:13" ht="32.25" thickBot="1">
      <c r="A2" s="1188"/>
      <c r="B2" s="1189"/>
      <c r="C2" s="1028" t="s">
        <v>4671</v>
      </c>
      <c r="D2" s="1028" t="s">
        <v>4200</v>
      </c>
      <c r="E2" s="1189"/>
      <c r="F2" s="1189"/>
      <c r="G2" s="1189"/>
      <c r="H2" s="1028" t="s">
        <v>4674</v>
      </c>
      <c r="I2" s="1189"/>
      <c r="J2" s="1029" t="s">
        <v>4199</v>
      </c>
      <c r="K2" s="1029" t="s">
        <v>4443</v>
      </c>
      <c r="L2" s="1029" t="s">
        <v>1250</v>
      </c>
      <c r="M2" s="1030" t="s">
        <v>4463</v>
      </c>
    </row>
    <row r="3" spans="1:13" ht="53.1" customHeight="1" thickBot="1">
      <c r="A3" s="1031" t="s">
        <v>4446</v>
      </c>
      <c r="B3" s="1032" t="s">
        <v>4689</v>
      </c>
      <c r="C3" s="1032" t="s">
        <v>4449</v>
      </c>
      <c r="D3" s="1032" t="s">
        <v>4676</v>
      </c>
      <c r="E3" s="1032" t="s">
        <v>4457</v>
      </c>
      <c r="F3" s="1032" t="s">
        <v>4690</v>
      </c>
      <c r="G3" s="1032" t="s">
        <v>4480</v>
      </c>
      <c r="H3" s="1032" t="s">
        <v>4470</v>
      </c>
      <c r="I3" s="1032" t="s">
        <v>4460</v>
      </c>
      <c r="J3" s="1033" t="s">
        <v>4461</v>
      </c>
      <c r="K3" s="1033" t="s">
        <v>4462</v>
      </c>
      <c r="L3" s="1033" t="s">
        <v>4441</v>
      </c>
      <c r="M3" s="1034" t="s">
        <v>4005</v>
      </c>
    </row>
    <row r="4" spans="1:13" ht="16.5" thickBot="1">
      <c r="A4" s="1199" t="s">
        <v>4481</v>
      </c>
      <c r="B4" s="1200"/>
      <c r="C4" s="1200"/>
      <c r="D4" s="1200"/>
      <c r="E4" s="1200"/>
      <c r="F4" s="1200"/>
      <c r="G4" s="1200"/>
      <c r="H4" s="1200"/>
      <c r="I4" s="1200"/>
      <c r="J4" s="1200"/>
      <c r="K4" s="1200"/>
      <c r="L4" s="1200"/>
      <c r="M4" s="1201"/>
    </row>
    <row r="5" spans="1:13" ht="99.75">
      <c r="A5" s="1035" t="s">
        <v>4482</v>
      </c>
      <c r="B5" s="1036" t="s">
        <v>4691</v>
      </c>
      <c r="C5" s="1036" t="s">
        <v>4449</v>
      </c>
      <c r="D5" s="1036" t="s">
        <v>4692</v>
      </c>
      <c r="E5" s="1036" t="s">
        <v>4516</v>
      </c>
      <c r="F5" s="1036" t="s">
        <v>4693</v>
      </c>
      <c r="G5" s="1036" t="s">
        <v>4765</v>
      </c>
      <c r="H5" s="1036" t="s">
        <v>4694</v>
      </c>
      <c r="I5" s="1036" t="s">
        <v>4695</v>
      </c>
      <c r="J5" s="1037" t="s">
        <v>4461</v>
      </c>
      <c r="K5" s="1037" t="s">
        <v>4462</v>
      </c>
      <c r="L5" s="1037" t="s">
        <v>4441</v>
      </c>
      <c r="M5" s="1038" t="s">
        <v>4005</v>
      </c>
    </row>
    <row r="6" spans="1:13" ht="42.75">
      <c r="A6" s="1039" t="s">
        <v>4493</v>
      </c>
      <c r="B6" s="1040" t="s">
        <v>4696</v>
      </c>
      <c r="C6" s="1040" t="s">
        <v>4677</v>
      </c>
      <c r="D6" s="1040" t="s">
        <v>4697</v>
      </c>
      <c r="E6" s="1040" t="s">
        <v>4457</v>
      </c>
      <c r="F6" s="1040" t="s">
        <v>4698</v>
      </c>
      <c r="G6" s="1040" t="s">
        <v>4766</v>
      </c>
      <c r="H6" s="1040" t="s">
        <v>4767</v>
      </c>
      <c r="I6" s="1040"/>
      <c r="J6" s="1041" t="s">
        <v>4461</v>
      </c>
      <c r="K6" s="1041" t="s">
        <v>4462</v>
      </c>
      <c r="L6" s="1041" t="s">
        <v>4441</v>
      </c>
      <c r="M6" s="1042" t="s">
        <v>4005</v>
      </c>
    </row>
    <row r="7" spans="1:13" ht="42.75">
      <c r="A7" s="1039" t="s">
        <v>4497</v>
      </c>
      <c r="B7" s="1040" t="s">
        <v>4699</v>
      </c>
      <c r="C7" s="1040" t="s">
        <v>4678</v>
      </c>
      <c r="D7" s="1040" t="s">
        <v>4679</v>
      </c>
      <c r="E7" s="1040" t="s">
        <v>4700</v>
      </c>
      <c r="F7" s="1040" t="s">
        <v>4701</v>
      </c>
      <c r="G7" s="1040" t="s">
        <v>4768</v>
      </c>
      <c r="H7" s="1040" t="s">
        <v>4702</v>
      </c>
      <c r="I7" s="1040"/>
      <c r="J7" s="1041" t="s">
        <v>4461</v>
      </c>
      <c r="K7" s="1041" t="s">
        <v>4462</v>
      </c>
      <c r="L7" s="1041" t="s">
        <v>4441</v>
      </c>
      <c r="M7" s="1042"/>
    </row>
    <row r="8" spans="1:13" ht="65.45" customHeight="1">
      <c r="A8" s="1039" t="s">
        <v>4500</v>
      </c>
      <c r="B8" s="1040" t="s">
        <v>4703</v>
      </c>
      <c r="C8" s="1040" t="s">
        <v>4680</v>
      </c>
      <c r="D8" s="1040" t="s">
        <v>4704</v>
      </c>
      <c r="E8" s="1040" t="s">
        <v>4516</v>
      </c>
      <c r="F8" s="1040" t="s">
        <v>4517</v>
      </c>
      <c r="G8" s="1040" t="s">
        <v>4509</v>
      </c>
      <c r="H8" s="1040" t="s">
        <v>4705</v>
      </c>
      <c r="I8" s="1040"/>
      <c r="J8" s="1041" t="s">
        <v>4461</v>
      </c>
      <c r="K8" s="1041" t="s">
        <v>4461</v>
      </c>
      <c r="L8" s="1041" t="s">
        <v>4461</v>
      </c>
      <c r="M8" s="1042"/>
    </row>
    <row r="9" spans="1:13">
      <c r="A9" s="1196" t="s">
        <v>4518</v>
      </c>
      <c r="B9" s="1197"/>
      <c r="C9" s="1197"/>
      <c r="D9" s="1197"/>
      <c r="E9" s="1197"/>
      <c r="F9" s="1197"/>
      <c r="G9" s="1197"/>
      <c r="H9" s="1197"/>
      <c r="I9" s="1197"/>
      <c r="J9" s="1197"/>
      <c r="K9" s="1197"/>
      <c r="L9" s="1197"/>
      <c r="M9" s="1198"/>
    </row>
    <row r="10" spans="1:13" ht="42.75">
      <c r="A10" s="1039" t="s">
        <v>4519</v>
      </c>
      <c r="B10" s="1040" t="s">
        <v>4706</v>
      </c>
      <c r="C10" s="1040" t="s">
        <v>4678</v>
      </c>
      <c r="D10" s="1040" t="s">
        <v>4681</v>
      </c>
      <c r="E10" s="1040" t="s">
        <v>4707</v>
      </c>
      <c r="F10" s="1040" t="s">
        <v>4517</v>
      </c>
      <c r="G10" s="1040" t="s">
        <v>4768</v>
      </c>
      <c r="H10" s="1040" t="s">
        <v>4708</v>
      </c>
      <c r="I10" s="1040"/>
      <c r="J10" s="1041" t="s">
        <v>4461</v>
      </c>
      <c r="K10" s="1041" t="s">
        <v>4462</v>
      </c>
      <c r="L10" s="1041" t="s">
        <v>4462</v>
      </c>
      <c r="M10" s="1042"/>
    </row>
    <row r="11" spans="1:13" ht="42.75">
      <c r="A11" s="1039" t="s">
        <v>4521</v>
      </c>
      <c r="B11" s="1040" t="s">
        <v>4709</v>
      </c>
      <c r="C11" s="1040" t="s">
        <v>4678</v>
      </c>
      <c r="D11" s="1040" t="s">
        <v>4710</v>
      </c>
      <c r="E11" s="1040" t="s">
        <v>4700</v>
      </c>
      <c r="F11" s="1040" t="s">
        <v>4517</v>
      </c>
      <c r="G11" s="1040" t="s">
        <v>4768</v>
      </c>
      <c r="H11" s="1040" t="s">
        <v>4711</v>
      </c>
      <c r="I11" s="1040"/>
      <c r="J11" s="1041" t="s">
        <v>4461</v>
      </c>
      <c r="K11" s="1041" t="s">
        <v>4461</v>
      </c>
      <c r="L11" s="1041" t="s">
        <v>4462</v>
      </c>
      <c r="M11" s="1042" t="s">
        <v>4549</v>
      </c>
    </row>
    <row r="12" spans="1:13" ht="69.95" customHeight="1">
      <c r="A12" s="1039" t="s">
        <v>4522</v>
      </c>
      <c r="B12" s="1040" t="s">
        <v>4712</v>
      </c>
      <c r="C12" s="1040" t="s">
        <v>4678</v>
      </c>
      <c r="D12" s="1040" t="s">
        <v>4682</v>
      </c>
      <c r="E12" s="1040" t="s">
        <v>4700</v>
      </c>
      <c r="F12" s="1040" t="s">
        <v>4517</v>
      </c>
      <c r="G12" s="1040" t="s">
        <v>4768</v>
      </c>
      <c r="H12" s="1040" t="s">
        <v>4713</v>
      </c>
      <c r="I12" s="1040"/>
      <c r="J12" s="1041" t="s">
        <v>4461</v>
      </c>
      <c r="K12" s="1041" t="s">
        <v>4461</v>
      </c>
      <c r="L12" s="1041" t="s">
        <v>4462</v>
      </c>
      <c r="M12" s="1042"/>
    </row>
    <row r="13" spans="1:13" ht="54.6" customHeight="1">
      <c r="A13" s="1039" t="s">
        <v>4528</v>
      </c>
      <c r="B13" s="1040" t="s">
        <v>4714</v>
      </c>
      <c r="C13" s="1040" t="s">
        <v>4683</v>
      </c>
      <c r="D13" s="1040" t="s">
        <v>4769</v>
      </c>
      <c r="E13" s="1040" t="s">
        <v>4700</v>
      </c>
      <c r="F13" s="1040" t="s">
        <v>4517</v>
      </c>
      <c r="G13" s="1040" t="s">
        <v>4768</v>
      </c>
      <c r="H13" s="1040" t="s">
        <v>4713</v>
      </c>
      <c r="I13" s="1040"/>
      <c r="J13" s="1041" t="s">
        <v>4461</v>
      </c>
      <c r="K13" s="1041" t="s">
        <v>4462</v>
      </c>
      <c r="L13" s="1041" t="s">
        <v>4462</v>
      </c>
      <c r="M13" s="1042"/>
    </row>
    <row r="14" spans="1:13" ht="57">
      <c r="A14" s="1039" t="s">
        <v>4684</v>
      </c>
      <c r="B14" s="1040" t="s">
        <v>4715</v>
      </c>
      <c r="C14" s="1040" t="s">
        <v>4716</v>
      </c>
      <c r="D14" s="1040" t="s">
        <v>4717</v>
      </c>
      <c r="E14" s="1040" t="s">
        <v>4718</v>
      </c>
      <c r="F14" s="1040" t="s">
        <v>4517</v>
      </c>
      <c r="G14" s="1040" t="s">
        <v>4768</v>
      </c>
      <c r="H14" s="1040" t="s">
        <v>4713</v>
      </c>
      <c r="I14" s="1040"/>
      <c r="J14" s="1041" t="s">
        <v>4461</v>
      </c>
      <c r="K14" s="1041" t="s">
        <v>4462</v>
      </c>
      <c r="L14" s="1041" t="s">
        <v>4462</v>
      </c>
      <c r="M14" s="1042"/>
    </row>
    <row r="15" spans="1:13" ht="57">
      <c r="A15" s="1039" t="s">
        <v>4685</v>
      </c>
      <c r="B15" s="1040" t="s">
        <v>4719</v>
      </c>
      <c r="C15" s="1040" t="s">
        <v>4716</v>
      </c>
      <c r="D15" s="1040" t="s">
        <v>4720</v>
      </c>
      <c r="E15" s="1040" t="s">
        <v>4718</v>
      </c>
      <c r="F15" s="1040" t="s">
        <v>4508</v>
      </c>
      <c r="G15" s="1040" t="s">
        <v>4768</v>
      </c>
      <c r="H15" s="1040" t="s">
        <v>4721</v>
      </c>
      <c r="I15" s="1040"/>
      <c r="J15" s="1041" t="s">
        <v>4461</v>
      </c>
      <c r="K15" s="1041" t="s">
        <v>4462</v>
      </c>
      <c r="L15" s="1041" t="s">
        <v>4462</v>
      </c>
      <c r="M15" s="1042"/>
    </row>
    <row r="16" spans="1:13" ht="57">
      <c r="A16" s="1039" t="s">
        <v>4686</v>
      </c>
      <c r="B16" s="1040" t="s">
        <v>4722</v>
      </c>
      <c r="C16" s="1040" t="s">
        <v>4716</v>
      </c>
      <c r="D16" s="1040" t="s">
        <v>4717</v>
      </c>
      <c r="E16" s="1040" t="s">
        <v>4700</v>
      </c>
      <c r="F16" s="1040" t="s">
        <v>4517</v>
      </c>
      <c r="G16" s="1040" t="s">
        <v>4768</v>
      </c>
      <c r="H16" s="1040" t="s">
        <v>4723</v>
      </c>
      <c r="I16" s="1040"/>
      <c r="J16" s="1041" t="s">
        <v>4461</v>
      </c>
      <c r="K16" s="1041" t="s">
        <v>4462</v>
      </c>
      <c r="L16" s="1041" t="s">
        <v>4462</v>
      </c>
      <c r="M16" s="1042"/>
    </row>
    <row r="17" spans="1:13" ht="57">
      <c r="A17" s="1039" t="s">
        <v>4687</v>
      </c>
      <c r="B17" s="1040" t="s">
        <v>4724</v>
      </c>
      <c r="C17" s="1040" t="s">
        <v>4716</v>
      </c>
      <c r="D17" s="1040" t="s">
        <v>4717</v>
      </c>
      <c r="E17" s="1040" t="s">
        <v>4700</v>
      </c>
      <c r="F17" s="1040" t="s">
        <v>4517</v>
      </c>
      <c r="G17" s="1040" t="s">
        <v>4768</v>
      </c>
      <c r="H17" s="1040" t="s">
        <v>4723</v>
      </c>
      <c r="I17" s="1040"/>
      <c r="J17" s="1041" t="s">
        <v>4461</v>
      </c>
      <c r="K17" s="1041" t="s">
        <v>4462</v>
      </c>
      <c r="L17" s="1041" t="s">
        <v>4462</v>
      </c>
      <c r="M17" s="1042"/>
    </row>
    <row r="18" spans="1:13" ht="57">
      <c r="A18" s="1039" t="s">
        <v>4688</v>
      </c>
      <c r="B18" s="1040" t="s">
        <v>4725</v>
      </c>
      <c r="C18" s="1040" t="s">
        <v>4449</v>
      </c>
      <c r="D18" s="1040" t="s">
        <v>4726</v>
      </c>
      <c r="E18" s="1040" t="s">
        <v>4700</v>
      </c>
      <c r="F18" s="1040" t="s">
        <v>4508</v>
      </c>
      <c r="G18" s="1040" t="s">
        <v>4768</v>
      </c>
      <c r="H18" s="1040" t="s">
        <v>4727</v>
      </c>
      <c r="I18" s="1040"/>
      <c r="J18" s="1041" t="s">
        <v>4461</v>
      </c>
      <c r="K18" s="1041" t="s">
        <v>4462</v>
      </c>
      <c r="L18" s="1041" t="s">
        <v>4462</v>
      </c>
      <c r="M18" s="1042"/>
    </row>
    <row r="19" spans="1:13">
      <c r="A19" s="1190" t="s">
        <v>4550</v>
      </c>
      <c r="B19" s="1191"/>
      <c r="C19" s="1191"/>
      <c r="D19" s="1191"/>
      <c r="E19" s="1191"/>
      <c r="F19" s="1191"/>
      <c r="G19" s="1191"/>
      <c r="H19" s="1191"/>
      <c r="I19" s="1191"/>
      <c r="J19" s="1191"/>
      <c r="K19" s="1191"/>
      <c r="L19" s="1191"/>
      <c r="M19" s="1192"/>
    </row>
    <row r="20" spans="1:13" ht="57">
      <c r="A20" s="1039" t="s">
        <v>4551</v>
      </c>
      <c r="B20" s="1040" t="s">
        <v>4728</v>
      </c>
      <c r="C20" s="1040" t="s">
        <v>4729</v>
      </c>
      <c r="D20" s="1040" t="s">
        <v>4730</v>
      </c>
      <c r="E20" s="1040" t="s">
        <v>4718</v>
      </c>
      <c r="F20" s="1040" t="s">
        <v>4731</v>
      </c>
      <c r="G20" s="1040" t="s">
        <v>4768</v>
      </c>
      <c r="H20" s="1040" t="s">
        <v>4732</v>
      </c>
      <c r="I20" s="1040"/>
      <c r="J20" s="1041" t="s">
        <v>4461</v>
      </c>
      <c r="K20" s="1041" t="s">
        <v>4461</v>
      </c>
      <c r="L20" s="1041" t="s">
        <v>4461</v>
      </c>
      <c r="M20" s="1042"/>
    </row>
    <row r="21" spans="1:13" ht="53.45" customHeight="1">
      <c r="A21" s="1190" t="s">
        <v>4563</v>
      </c>
      <c r="B21" s="1191"/>
      <c r="C21" s="1191"/>
      <c r="D21" s="1191"/>
      <c r="E21" s="1191"/>
      <c r="F21" s="1191"/>
      <c r="G21" s="1191"/>
      <c r="H21" s="1191"/>
      <c r="I21" s="1191"/>
      <c r="J21" s="1191"/>
      <c r="K21" s="1191"/>
      <c r="L21" s="1191"/>
      <c r="M21" s="1192"/>
    </row>
    <row r="22" spans="1:13" ht="57" customHeight="1" thickBot="1">
      <c r="A22" s="1193" t="s">
        <v>4564</v>
      </c>
      <c r="B22" s="1194"/>
      <c r="C22" s="1194"/>
      <c r="D22" s="1194"/>
      <c r="E22" s="1194"/>
      <c r="F22" s="1194"/>
      <c r="G22" s="1194"/>
      <c r="H22" s="1194"/>
      <c r="I22" s="1194"/>
      <c r="J22" s="1194"/>
      <c r="K22" s="1194"/>
      <c r="L22" s="1194"/>
      <c r="M22" s="1195"/>
    </row>
  </sheetData>
  <mergeCells count="12">
    <mergeCell ref="A21:M21"/>
    <mergeCell ref="A22:M22"/>
    <mergeCell ref="A19:M19"/>
    <mergeCell ref="A9:M9"/>
    <mergeCell ref="A4:M4"/>
    <mergeCell ref="J1:M1"/>
    <mergeCell ref="A1:A2"/>
    <mergeCell ref="B1:B2"/>
    <mergeCell ref="E1:E2"/>
    <mergeCell ref="F1:F2"/>
    <mergeCell ref="G1:G2"/>
    <mergeCell ref="I1:I2"/>
  </mergeCells>
  <phoneticPr fontId="164" type="noConversion"/>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D506C-4A47-4F90-AA6C-89F55941DF80}">
  <sheetPr codeName="Sheet68"/>
  <dimension ref="A1:M20"/>
  <sheetViews>
    <sheetView zoomScale="115" zoomScaleNormal="115" workbookViewId="0">
      <selection activeCell="G7" sqref="G7"/>
    </sheetView>
  </sheetViews>
  <sheetFormatPr defaultColWidth="8.7109375" defaultRowHeight="14.25"/>
  <cols>
    <col min="1" max="1" width="12.5703125" style="459" customWidth="1"/>
    <col min="2" max="2" width="17.42578125" style="459" customWidth="1"/>
    <col min="3" max="3" width="13.85546875" style="459" customWidth="1"/>
    <col min="4" max="4" width="35.7109375" style="459" customWidth="1"/>
    <col min="5" max="5" width="16.85546875" style="459" customWidth="1"/>
    <col min="6" max="6" width="15.7109375" style="459" customWidth="1"/>
    <col min="7" max="7" width="12.7109375" style="459" customWidth="1"/>
    <col min="8" max="8" width="14.5703125" style="459" customWidth="1"/>
    <col min="9" max="9" width="16.28515625" style="459" customWidth="1"/>
    <col min="10" max="13" width="5.5703125" style="459" customWidth="1"/>
    <col min="14" max="16384" width="8.7109375" style="459"/>
  </cols>
  <sheetData>
    <row r="1" spans="1:13" s="458" customFormat="1" ht="32.25" customHeight="1">
      <c r="A1" s="1208" t="s">
        <v>4445</v>
      </c>
      <c r="B1" s="1205" t="s">
        <v>4198</v>
      </c>
      <c r="C1" s="1205" t="s">
        <v>4444</v>
      </c>
      <c r="D1" s="1205" t="s">
        <v>4466</v>
      </c>
      <c r="E1" s="1205" t="s">
        <v>4479</v>
      </c>
      <c r="F1" s="1205" t="s">
        <v>4201</v>
      </c>
      <c r="G1" s="1205" t="s">
        <v>4478</v>
      </c>
      <c r="H1" s="1205" t="s">
        <v>4533</v>
      </c>
      <c r="I1" s="1205" t="s">
        <v>4465</v>
      </c>
      <c r="J1" s="1205" t="s">
        <v>4442</v>
      </c>
      <c r="K1" s="1205"/>
      <c r="L1" s="1205"/>
      <c r="M1" s="1207"/>
    </row>
    <row r="2" spans="1:13" s="458" customFormat="1" ht="61.5" customHeight="1" thickBot="1">
      <c r="A2" s="1209"/>
      <c r="B2" s="1206"/>
      <c r="C2" s="1206"/>
      <c r="D2" s="1206"/>
      <c r="E2" s="1206"/>
      <c r="F2" s="1206"/>
      <c r="G2" s="1206"/>
      <c r="H2" s="1206"/>
      <c r="I2" s="1206"/>
      <c r="J2" s="992" t="s">
        <v>4199</v>
      </c>
      <c r="K2" s="992" t="s">
        <v>4443</v>
      </c>
      <c r="L2" s="992" t="s">
        <v>1250</v>
      </c>
      <c r="M2" s="993" t="s">
        <v>4463</v>
      </c>
    </row>
    <row r="3" spans="1:13" ht="23.45" customHeight="1" thickBot="1">
      <c r="A3" s="1202" t="s">
        <v>4481</v>
      </c>
      <c r="B3" s="1203"/>
      <c r="C3" s="1203"/>
      <c r="D3" s="1203"/>
      <c r="E3" s="1203"/>
      <c r="F3" s="1203"/>
      <c r="G3" s="1203"/>
      <c r="H3" s="1203"/>
      <c r="I3" s="1203"/>
      <c r="J3" s="1203"/>
      <c r="K3" s="1203"/>
      <c r="L3" s="1203"/>
      <c r="M3" s="1204"/>
    </row>
    <row r="4" spans="1:13" ht="49.5" customHeight="1" thickBot="1">
      <c r="A4" s="1045" t="s">
        <v>4482</v>
      </c>
      <c r="B4" s="1043" t="s">
        <v>4815</v>
      </c>
      <c r="C4" s="1044" t="s">
        <v>4797</v>
      </c>
      <c r="D4" s="1044" t="s">
        <v>4798</v>
      </c>
      <c r="E4" s="1044" t="s">
        <v>4799</v>
      </c>
      <c r="F4" s="1043" t="s">
        <v>4816</v>
      </c>
      <c r="G4" s="1056">
        <v>1</v>
      </c>
      <c r="H4" s="1044" t="s">
        <v>4800</v>
      </c>
      <c r="I4" s="1044"/>
      <c r="J4" s="1046"/>
      <c r="K4" s="1046"/>
      <c r="L4" s="1046"/>
      <c r="M4" s="1046"/>
    </row>
    <row r="5" spans="1:13" ht="48.6" customHeight="1" thickBot="1">
      <c r="A5" s="1045" t="s">
        <v>4493</v>
      </c>
      <c r="B5" s="1044" t="s">
        <v>4928</v>
      </c>
      <c r="C5" s="1044" t="s">
        <v>4801</v>
      </c>
      <c r="D5" s="1044" t="s">
        <v>4802</v>
      </c>
      <c r="E5" s="1043" t="s">
        <v>4817</v>
      </c>
      <c r="F5" s="1043" t="s">
        <v>4818</v>
      </c>
      <c r="G5" s="1056">
        <v>1</v>
      </c>
      <c r="H5" s="1043" t="s">
        <v>4819</v>
      </c>
      <c r="I5" s="1044"/>
      <c r="J5" s="1046"/>
      <c r="K5" s="1046"/>
      <c r="L5" s="1046"/>
      <c r="M5" s="1046"/>
    </row>
    <row r="6" spans="1:13" ht="54" customHeight="1" thickBot="1">
      <c r="A6" s="1045" t="s">
        <v>4497</v>
      </c>
      <c r="B6" s="1044" t="s">
        <v>4820</v>
      </c>
      <c r="C6" s="1044"/>
      <c r="D6" s="1044"/>
      <c r="E6" s="1043" t="s">
        <v>4821</v>
      </c>
      <c r="F6" s="1057" t="s">
        <v>4822</v>
      </c>
      <c r="G6" s="1043" t="s">
        <v>4821</v>
      </c>
      <c r="H6" s="1057" t="s">
        <v>4823</v>
      </c>
      <c r="I6" s="1043" t="s">
        <v>4824</v>
      </c>
      <c r="J6" s="1046"/>
      <c r="K6" s="1046"/>
      <c r="L6" s="1046"/>
      <c r="M6" s="1046"/>
    </row>
    <row r="7" spans="1:13" ht="77.45" customHeight="1" thickBot="1">
      <c r="A7" s="1045" t="s">
        <v>4500</v>
      </c>
      <c r="B7" s="1043" t="s">
        <v>4830</v>
      </c>
      <c r="C7" s="1043" t="s">
        <v>4825</v>
      </c>
      <c r="D7" s="1044"/>
      <c r="E7" s="1043" t="s">
        <v>4821</v>
      </c>
      <c r="F7" s="1044"/>
      <c r="G7" s="1044"/>
      <c r="H7" s="1044"/>
      <c r="I7" s="1044"/>
      <c r="J7" s="1046"/>
      <c r="K7" s="1046"/>
      <c r="L7" s="1046"/>
      <c r="M7" s="1046"/>
    </row>
    <row r="8" spans="1:13" ht="15" thickBot="1">
      <c r="A8" s="1202" t="s">
        <v>4518</v>
      </c>
      <c r="B8" s="1203"/>
      <c r="C8" s="1203"/>
      <c r="D8" s="1203"/>
      <c r="E8" s="1203"/>
      <c r="F8" s="1203"/>
      <c r="G8" s="1203"/>
      <c r="H8" s="1203"/>
      <c r="I8" s="1203"/>
      <c r="J8" s="1203"/>
      <c r="K8" s="1203"/>
      <c r="L8" s="1203"/>
      <c r="M8" s="1204"/>
    </row>
    <row r="9" spans="1:13" ht="170.1" customHeight="1" thickBot="1">
      <c r="A9" s="1058" t="s">
        <v>4519</v>
      </c>
      <c r="B9" s="1044" t="s">
        <v>4831</v>
      </c>
      <c r="C9" s="1044"/>
      <c r="D9" s="1054" t="s">
        <v>4832</v>
      </c>
      <c r="E9" s="1044" t="s">
        <v>4804</v>
      </c>
      <c r="F9" s="1043" t="s">
        <v>4555</v>
      </c>
      <c r="G9" s="1056">
        <v>1</v>
      </c>
      <c r="H9" s="1043" t="s">
        <v>4826</v>
      </c>
      <c r="I9" s="1044"/>
      <c r="J9" s="1046"/>
      <c r="K9" s="1046"/>
      <c r="L9" s="1046"/>
      <c r="M9" s="1046"/>
    </row>
    <row r="10" spans="1:13" ht="51.6" customHeight="1" thickBot="1">
      <c r="A10" s="1045" t="s">
        <v>4521</v>
      </c>
      <c r="B10" s="1044" t="s">
        <v>4833</v>
      </c>
      <c r="C10" s="1044"/>
      <c r="D10" s="1054" t="s">
        <v>4834</v>
      </c>
      <c r="E10" s="1044" t="s">
        <v>4804</v>
      </c>
      <c r="F10" s="1043" t="s">
        <v>4555</v>
      </c>
      <c r="G10" s="1056">
        <v>1</v>
      </c>
      <c r="H10" s="1043" t="s">
        <v>4835</v>
      </c>
      <c r="I10" s="1044"/>
      <c r="J10" s="1046"/>
      <c r="K10" s="1046"/>
      <c r="L10" s="1046"/>
      <c r="M10" s="1046"/>
    </row>
    <row r="11" spans="1:13" ht="29.25" thickBot="1">
      <c r="A11" s="1048" t="s">
        <v>4522</v>
      </c>
      <c r="B11" s="1044" t="s">
        <v>4836</v>
      </c>
      <c r="C11" s="1044"/>
      <c r="D11" s="1054" t="s">
        <v>4837</v>
      </c>
      <c r="E11" s="1044" t="s">
        <v>4804</v>
      </c>
      <c r="F11" s="1043" t="s">
        <v>4555</v>
      </c>
      <c r="G11" s="1056">
        <v>1</v>
      </c>
      <c r="H11" s="1043" t="s">
        <v>4826</v>
      </c>
      <c r="I11" s="1044"/>
      <c r="J11" s="1046"/>
      <c r="K11" s="1046"/>
      <c r="L11" s="1046"/>
      <c r="M11" s="1046"/>
    </row>
    <row r="12" spans="1:13" ht="29.1" customHeight="1">
      <c r="A12" s="1212" t="s">
        <v>4528</v>
      </c>
      <c r="B12" s="1214" t="s">
        <v>4805</v>
      </c>
      <c r="C12" s="1214" t="s">
        <v>4806</v>
      </c>
      <c r="D12" s="1214" t="s">
        <v>4807</v>
      </c>
      <c r="E12" s="1214" t="s">
        <v>4804</v>
      </c>
      <c r="F12" s="1043" t="s">
        <v>4827</v>
      </c>
      <c r="G12" s="1216">
        <v>1</v>
      </c>
      <c r="H12" s="1214" t="s">
        <v>4808</v>
      </c>
      <c r="I12" s="1214"/>
      <c r="J12" s="1210"/>
      <c r="K12" s="1210"/>
      <c r="L12" s="1210"/>
      <c r="M12" s="1210"/>
    </row>
    <row r="13" spans="1:13" ht="15" thickBot="1">
      <c r="A13" s="1213"/>
      <c r="B13" s="1215"/>
      <c r="C13" s="1215"/>
      <c r="D13" s="1215"/>
      <c r="E13" s="1215"/>
      <c r="F13" s="1051"/>
      <c r="G13" s="1217"/>
      <c r="H13" s="1215"/>
      <c r="I13" s="1215"/>
      <c r="J13" s="1211"/>
      <c r="K13" s="1211"/>
      <c r="L13" s="1211"/>
      <c r="M13" s="1211"/>
    </row>
    <row r="14" spans="1:13" ht="91.5" customHeight="1" thickBot="1">
      <c r="A14" s="1048" t="s">
        <v>4684</v>
      </c>
      <c r="B14" s="1044" t="s">
        <v>4809</v>
      </c>
      <c r="C14" s="1044" t="s">
        <v>4810</v>
      </c>
      <c r="D14" s="1054" t="s">
        <v>4838</v>
      </c>
      <c r="E14" s="1044" t="s">
        <v>4804</v>
      </c>
      <c r="F14" s="1043" t="s">
        <v>4827</v>
      </c>
      <c r="G14" s="1056">
        <v>1</v>
      </c>
      <c r="H14" s="1043" t="s">
        <v>4828</v>
      </c>
      <c r="I14" s="1044"/>
      <c r="J14" s="1046"/>
      <c r="K14" s="1046"/>
      <c r="L14" s="1046"/>
      <c r="M14" s="1046"/>
    </row>
    <row r="15" spans="1:13" ht="15" thickBot="1">
      <c r="A15" s="1202" t="s">
        <v>4550</v>
      </c>
      <c r="B15" s="1203"/>
      <c r="C15" s="1203"/>
      <c r="D15" s="1203"/>
      <c r="E15" s="1203"/>
      <c r="F15" s="1203"/>
      <c r="G15" s="1203"/>
      <c r="H15" s="1203"/>
      <c r="I15" s="1203"/>
      <c r="J15" s="1203"/>
      <c r="K15" s="1203"/>
      <c r="L15" s="1203"/>
      <c r="M15" s="1204"/>
    </row>
    <row r="16" spans="1:13" ht="51.95" customHeight="1" thickBot="1">
      <c r="A16" s="1045" t="s">
        <v>4551</v>
      </c>
      <c r="B16" s="1044" t="s">
        <v>4811</v>
      </c>
      <c r="C16" s="1044"/>
      <c r="D16" s="1044" t="s">
        <v>4839</v>
      </c>
      <c r="E16" s="1044" t="s">
        <v>4753</v>
      </c>
      <c r="F16" s="1044" t="s">
        <v>4803</v>
      </c>
      <c r="G16" s="1056">
        <v>1</v>
      </c>
      <c r="H16" s="1043" t="s">
        <v>4835</v>
      </c>
      <c r="I16" s="1044"/>
      <c r="J16" s="1046"/>
      <c r="K16" s="1046"/>
      <c r="L16" s="1046"/>
      <c r="M16" s="1046"/>
    </row>
    <row r="17" spans="1:13" ht="37.5" customHeight="1">
      <c r="A17" s="1212" t="s">
        <v>4558</v>
      </c>
      <c r="B17" s="1214" t="s">
        <v>4812</v>
      </c>
      <c r="C17" s="1214"/>
      <c r="D17" s="1214" t="s">
        <v>4813</v>
      </c>
      <c r="E17" s="1214" t="s">
        <v>4753</v>
      </c>
      <c r="F17" s="1043" t="s">
        <v>4829</v>
      </c>
      <c r="G17" s="1216">
        <v>1</v>
      </c>
      <c r="H17" s="1214" t="s">
        <v>4814</v>
      </c>
      <c r="I17" s="1214"/>
      <c r="J17" s="1210"/>
      <c r="K17" s="1210"/>
      <c r="L17" s="1210"/>
      <c r="M17" s="1210"/>
    </row>
    <row r="18" spans="1:13" ht="15" thickBot="1">
      <c r="A18" s="1213"/>
      <c r="B18" s="1215"/>
      <c r="C18" s="1215"/>
      <c r="D18" s="1215"/>
      <c r="E18" s="1215"/>
      <c r="F18" s="1051"/>
      <c r="G18" s="1217"/>
      <c r="H18" s="1215"/>
      <c r="I18" s="1215"/>
      <c r="J18" s="1211"/>
      <c r="K18" s="1211"/>
      <c r="L18" s="1211"/>
      <c r="M18" s="1211"/>
    </row>
    <row r="19" spans="1:13" ht="54.95" customHeight="1">
      <c r="A19" s="1190" t="s">
        <v>4563</v>
      </c>
      <c r="B19" s="1191"/>
      <c r="C19" s="1191"/>
      <c r="D19" s="1191"/>
      <c r="E19" s="1191"/>
      <c r="F19" s="1191"/>
      <c r="G19" s="1191"/>
      <c r="H19" s="1191"/>
      <c r="I19" s="1191"/>
      <c r="J19" s="1191"/>
      <c r="K19" s="1191"/>
      <c r="L19" s="1191"/>
      <c r="M19" s="1192"/>
    </row>
    <row r="20" spans="1:13" ht="50.1" customHeight="1" thickBot="1">
      <c r="A20" s="1193" t="s">
        <v>4564</v>
      </c>
      <c r="B20" s="1194"/>
      <c r="C20" s="1194"/>
      <c r="D20" s="1194"/>
      <c r="E20" s="1194"/>
      <c r="F20" s="1194"/>
      <c r="G20" s="1194"/>
      <c r="H20" s="1194"/>
      <c r="I20" s="1194"/>
      <c r="J20" s="1194"/>
      <c r="K20" s="1194"/>
      <c r="L20" s="1194"/>
      <c r="M20" s="1195"/>
    </row>
  </sheetData>
  <mergeCells count="39">
    <mergeCell ref="M17:M18"/>
    <mergeCell ref="A19:M19"/>
    <mergeCell ref="A20:M20"/>
    <mergeCell ref="G17:G18"/>
    <mergeCell ref="H17:H18"/>
    <mergeCell ref="I17:I18"/>
    <mergeCell ref="J17:J18"/>
    <mergeCell ref="K17:K18"/>
    <mergeCell ref="L17:L18"/>
    <mergeCell ref="A17:A18"/>
    <mergeCell ref="B17:B18"/>
    <mergeCell ref="C17:C18"/>
    <mergeCell ref="D17:D18"/>
    <mergeCell ref="E17:E18"/>
    <mergeCell ref="A15:M15"/>
    <mergeCell ref="K12:K13"/>
    <mergeCell ref="L12:L13"/>
    <mergeCell ref="M12:M13"/>
    <mergeCell ref="A12:A13"/>
    <mergeCell ref="B12:B13"/>
    <mergeCell ref="C12:C13"/>
    <mergeCell ref="D12:D13"/>
    <mergeCell ref="E12:E13"/>
    <mergeCell ref="G12:G13"/>
    <mergeCell ref="H12:H13"/>
    <mergeCell ref="I12:I13"/>
    <mergeCell ref="J12:J13"/>
    <mergeCell ref="A8:M8"/>
    <mergeCell ref="G1:G2"/>
    <mergeCell ref="H1:H2"/>
    <mergeCell ref="I1:I2"/>
    <mergeCell ref="J1:M1"/>
    <mergeCell ref="A3:M3"/>
    <mergeCell ref="A1:A2"/>
    <mergeCell ref="B1:B2"/>
    <mergeCell ref="C1:C2"/>
    <mergeCell ref="D1:D2"/>
    <mergeCell ref="E1:E2"/>
    <mergeCell ref="F1:F2"/>
  </mergeCells>
  <phoneticPr fontId="164"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62F66-75BC-47D0-B338-7374A7BBABF3}">
  <sheetPr codeName="Sheet69"/>
  <dimension ref="A1:M19"/>
  <sheetViews>
    <sheetView view="pageBreakPreview" zoomScale="115" zoomScaleNormal="115" zoomScaleSheetLayoutView="115" workbookViewId="0">
      <selection activeCell="A7" sqref="A7:M7"/>
    </sheetView>
  </sheetViews>
  <sheetFormatPr defaultColWidth="8.7109375" defaultRowHeight="14.25"/>
  <cols>
    <col min="1" max="1" width="8.7109375" style="528"/>
    <col min="2" max="2" width="18.5703125" style="459" customWidth="1"/>
    <col min="3" max="3" width="16.42578125" style="459" customWidth="1"/>
    <col min="4" max="4" width="24.5703125" style="459" customWidth="1"/>
    <col min="5" max="5" width="15.5703125" style="459" customWidth="1"/>
    <col min="6" max="6" width="13.28515625" style="459" customWidth="1"/>
    <col min="7" max="7" width="13.42578125" style="459" customWidth="1"/>
    <col min="8" max="8" width="16.28515625" style="459" customWidth="1"/>
    <col min="9" max="9" width="13.140625" style="459" customWidth="1"/>
    <col min="10" max="13" width="5.5703125" style="528" customWidth="1"/>
    <col min="14" max="16384" width="8.7109375" style="459"/>
  </cols>
  <sheetData>
    <row r="1" spans="1:13" ht="26.45" customHeight="1">
      <c r="A1" s="1220" t="s">
        <v>4445</v>
      </c>
      <c r="B1" s="1219" t="s">
        <v>4198</v>
      </c>
      <c r="C1" s="1219" t="s">
        <v>4844</v>
      </c>
      <c r="D1" s="1219" t="s">
        <v>4845</v>
      </c>
      <c r="E1" s="1219" t="s">
        <v>4479</v>
      </c>
      <c r="F1" s="1219" t="s">
        <v>4201</v>
      </c>
      <c r="G1" s="1219" t="s">
        <v>4478</v>
      </c>
      <c r="H1" s="1219" t="s">
        <v>4846</v>
      </c>
      <c r="I1" s="1219" t="s">
        <v>4465</v>
      </c>
      <c r="J1" s="1219" t="s">
        <v>4843</v>
      </c>
      <c r="K1" s="1219"/>
      <c r="L1" s="1219"/>
      <c r="M1" s="1219"/>
    </row>
    <row r="2" spans="1:13" ht="57.6" customHeight="1">
      <c r="A2" s="1220"/>
      <c r="B2" s="1219"/>
      <c r="C2" s="1219"/>
      <c r="D2" s="1219"/>
      <c r="E2" s="1219"/>
      <c r="F2" s="1219"/>
      <c r="G2" s="1219"/>
      <c r="H2" s="1219"/>
      <c r="I2" s="1219"/>
      <c r="J2" s="1059" t="s">
        <v>4199</v>
      </c>
      <c r="K2" s="1059" t="s">
        <v>4443</v>
      </c>
      <c r="L2" s="1059" t="s">
        <v>1250</v>
      </c>
      <c r="M2" s="1059" t="s">
        <v>4463</v>
      </c>
    </row>
    <row r="3" spans="1:13">
      <c r="A3" s="1197" t="s">
        <v>4481</v>
      </c>
      <c r="B3" s="1197"/>
      <c r="C3" s="1197"/>
      <c r="D3" s="1197"/>
      <c r="E3" s="1197"/>
      <c r="F3" s="1197"/>
      <c r="G3" s="1197"/>
      <c r="H3" s="1197"/>
      <c r="I3" s="1197"/>
      <c r="J3" s="1197"/>
      <c r="K3" s="1197"/>
      <c r="L3" s="1197"/>
      <c r="M3" s="1197"/>
    </row>
    <row r="4" spans="1:13" ht="53.1" customHeight="1">
      <c r="A4" s="1018" t="s">
        <v>4482</v>
      </c>
      <c r="B4" s="1060" t="s">
        <v>4847</v>
      </c>
      <c r="C4" s="1060" t="s">
        <v>4848</v>
      </c>
      <c r="D4" s="1060" t="s">
        <v>4849</v>
      </c>
      <c r="E4" s="1060" t="s">
        <v>4457</v>
      </c>
      <c r="F4" s="1060" t="s">
        <v>4508</v>
      </c>
      <c r="G4" s="1060" t="s">
        <v>4480</v>
      </c>
      <c r="H4" s="1060" t="s">
        <v>4470</v>
      </c>
      <c r="I4" s="1040"/>
      <c r="J4" s="1018" t="s">
        <v>4461</v>
      </c>
      <c r="K4" s="1018" t="s">
        <v>4462</v>
      </c>
      <c r="L4" s="1018" t="s">
        <v>4441</v>
      </c>
      <c r="M4" s="1041" t="s">
        <v>4005</v>
      </c>
    </row>
    <row r="5" spans="1:13" ht="77.099999999999994" customHeight="1">
      <c r="A5" s="1018" t="s">
        <v>4493</v>
      </c>
      <c r="B5" s="1060" t="s">
        <v>4850</v>
      </c>
      <c r="C5" s="1060" t="s">
        <v>4851</v>
      </c>
      <c r="D5" s="1060" t="s">
        <v>4852</v>
      </c>
      <c r="E5" s="1060" t="s">
        <v>4516</v>
      </c>
      <c r="F5" s="1060" t="s">
        <v>4508</v>
      </c>
      <c r="G5" s="1060" t="s">
        <v>4853</v>
      </c>
      <c r="H5" s="1060" t="s">
        <v>4854</v>
      </c>
      <c r="I5" s="1040"/>
      <c r="J5" s="1018" t="s">
        <v>4461</v>
      </c>
      <c r="K5" s="1018" t="s">
        <v>4462</v>
      </c>
      <c r="L5" s="1018" t="s">
        <v>4441</v>
      </c>
      <c r="M5" s="1041" t="s">
        <v>4005</v>
      </c>
    </row>
    <row r="6" spans="1:13" ht="45.95" customHeight="1">
      <c r="A6" s="1018" t="s">
        <v>4497</v>
      </c>
      <c r="B6" s="1060" t="s">
        <v>4703</v>
      </c>
      <c r="C6" s="1060" t="s">
        <v>4840</v>
      </c>
      <c r="D6" s="1060" t="s">
        <v>4855</v>
      </c>
      <c r="E6" s="1060" t="s">
        <v>4516</v>
      </c>
      <c r="F6" s="1060" t="s">
        <v>4555</v>
      </c>
      <c r="G6" s="1060" t="s">
        <v>4856</v>
      </c>
      <c r="H6" s="1060" t="s">
        <v>4857</v>
      </c>
      <c r="I6" s="1040"/>
      <c r="J6" s="1018" t="s">
        <v>4461</v>
      </c>
      <c r="K6" s="1018" t="s">
        <v>4461</v>
      </c>
      <c r="L6" s="1018" t="s">
        <v>4462</v>
      </c>
      <c r="M6" s="1041" t="s">
        <v>4005</v>
      </c>
    </row>
    <row r="7" spans="1:13" ht="21.95" customHeight="1">
      <c r="A7" s="1197" t="s">
        <v>4518</v>
      </c>
      <c r="B7" s="1197"/>
      <c r="C7" s="1197"/>
      <c r="D7" s="1197"/>
      <c r="E7" s="1197"/>
      <c r="F7" s="1197"/>
      <c r="G7" s="1197"/>
      <c r="H7" s="1197"/>
      <c r="I7" s="1197"/>
      <c r="J7" s="1197"/>
      <c r="K7" s="1197"/>
      <c r="L7" s="1197"/>
      <c r="M7" s="1197"/>
    </row>
    <row r="8" spans="1:13" ht="147" customHeight="1">
      <c r="A8" s="1061" t="s">
        <v>4519</v>
      </c>
      <c r="B8" s="1060" t="s">
        <v>4858</v>
      </c>
      <c r="C8" s="1060" t="s">
        <v>4841</v>
      </c>
      <c r="D8" s="1060" t="s">
        <v>4862</v>
      </c>
      <c r="E8" s="1060" t="s">
        <v>4859</v>
      </c>
      <c r="F8" s="1060" t="s">
        <v>4496</v>
      </c>
      <c r="G8" s="1060" t="s">
        <v>4860</v>
      </c>
      <c r="H8" s="1060" t="s">
        <v>4861</v>
      </c>
      <c r="I8" s="1040"/>
      <c r="J8" s="1018" t="s">
        <v>4461</v>
      </c>
      <c r="K8" s="1018" t="s">
        <v>4461</v>
      </c>
      <c r="L8" s="1018" t="s">
        <v>4461</v>
      </c>
      <c r="M8" s="1018" t="s">
        <v>4549</v>
      </c>
    </row>
    <row r="9" spans="1:13" ht="51.95" customHeight="1">
      <c r="A9" s="1018" t="s">
        <v>4521</v>
      </c>
      <c r="B9" s="1060" t="s">
        <v>4863</v>
      </c>
      <c r="C9" s="1060" t="s">
        <v>4851</v>
      </c>
      <c r="D9" s="1060" t="s">
        <v>4864</v>
      </c>
      <c r="E9" s="1060" t="s">
        <v>4859</v>
      </c>
      <c r="F9" s="1060" t="s">
        <v>4496</v>
      </c>
      <c r="G9" s="1060" t="s">
        <v>4860</v>
      </c>
      <c r="H9" s="1060" t="s">
        <v>4865</v>
      </c>
      <c r="I9" s="1040"/>
      <c r="J9" s="1018" t="s">
        <v>4461</v>
      </c>
      <c r="K9" s="1018" t="s">
        <v>4462</v>
      </c>
      <c r="L9" s="1018" t="s">
        <v>4441</v>
      </c>
      <c r="M9" s="1018" t="s">
        <v>4549</v>
      </c>
    </row>
    <row r="10" spans="1:13" ht="55.5" customHeight="1">
      <c r="A10" s="1061" t="s">
        <v>4522</v>
      </c>
      <c r="B10" s="1060" t="s">
        <v>4866</v>
      </c>
      <c r="C10" s="1060" t="s">
        <v>4867</v>
      </c>
      <c r="D10" s="1060" t="s">
        <v>4867</v>
      </c>
      <c r="E10" s="1060" t="s">
        <v>4859</v>
      </c>
      <c r="F10" s="1060" t="s">
        <v>4508</v>
      </c>
      <c r="G10" s="1060" t="s">
        <v>4860</v>
      </c>
      <c r="H10" s="1060" t="s">
        <v>4868</v>
      </c>
      <c r="I10" s="1040"/>
      <c r="J10" s="1018" t="s">
        <v>4461</v>
      </c>
      <c r="K10" s="1018" t="s">
        <v>4461</v>
      </c>
      <c r="L10" s="1018" t="s">
        <v>4441</v>
      </c>
      <c r="M10" s="1018" t="s">
        <v>4549</v>
      </c>
    </row>
    <row r="11" spans="1:13" ht="28.5">
      <c r="A11" s="1018" t="s">
        <v>4528</v>
      </c>
      <c r="B11" s="1060" t="s">
        <v>4872</v>
      </c>
      <c r="C11" s="1060" t="s">
        <v>4851</v>
      </c>
      <c r="D11" s="1060" t="s">
        <v>4873</v>
      </c>
      <c r="E11" s="1060" t="s">
        <v>4874</v>
      </c>
      <c r="F11" s="1060" t="s">
        <v>4496</v>
      </c>
      <c r="G11" s="1060" t="s">
        <v>4860</v>
      </c>
      <c r="H11" s="1060" t="s">
        <v>4875</v>
      </c>
      <c r="I11" s="1040"/>
      <c r="J11" s="1018" t="s">
        <v>4461</v>
      </c>
      <c r="K11" s="1018" t="s">
        <v>4462</v>
      </c>
      <c r="L11" s="1018" t="s">
        <v>4441</v>
      </c>
      <c r="M11" s="1018" t="s">
        <v>4549</v>
      </c>
    </row>
    <row r="12" spans="1:13" ht="77.45" customHeight="1">
      <c r="A12" s="1018" t="s">
        <v>4684</v>
      </c>
      <c r="B12" s="1060" t="s">
        <v>4876</v>
      </c>
      <c r="C12" s="1060" t="s">
        <v>4841</v>
      </c>
      <c r="D12" s="1060" t="s">
        <v>4877</v>
      </c>
      <c r="E12" s="1060" t="s">
        <v>4859</v>
      </c>
      <c r="F12" s="1060" t="s">
        <v>4496</v>
      </c>
      <c r="G12" s="1060" t="s">
        <v>4878</v>
      </c>
      <c r="H12" s="1060" t="s">
        <v>4861</v>
      </c>
      <c r="I12" s="1040"/>
      <c r="J12" s="1018" t="s">
        <v>4461</v>
      </c>
      <c r="K12" s="1018" t="s">
        <v>4461</v>
      </c>
      <c r="L12" s="1018" t="s">
        <v>4441</v>
      </c>
      <c r="M12" s="1018" t="s">
        <v>4549</v>
      </c>
    </row>
    <row r="13" spans="1:13" ht="66" customHeight="1">
      <c r="A13" s="1018" t="s">
        <v>4685</v>
      </c>
      <c r="B13" s="1060" t="s">
        <v>4879</v>
      </c>
      <c r="C13" s="1060" t="s">
        <v>4841</v>
      </c>
      <c r="D13" s="1060" t="s">
        <v>4880</v>
      </c>
      <c r="E13" s="1060" t="s">
        <v>4859</v>
      </c>
      <c r="F13" s="1060" t="s">
        <v>4496</v>
      </c>
      <c r="G13" s="1060" t="s">
        <v>4860</v>
      </c>
      <c r="H13" s="1060" t="s">
        <v>4861</v>
      </c>
      <c r="I13" s="1040"/>
      <c r="J13" s="1018" t="s">
        <v>4461</v>
      </c>
      <c r="K13" s="1018" t="s">
        <v>4461</v>
      </c>
      <c r="L13" s="1018" t="s">
        <v>4441</v>
      </c>
      <c r="M13" s="1018" t="s">
        <v>4549</v>
      </c>
    </row>
    <row r="14" spans="1:13" ht="36" customHeight="1">
      <c r="A14" s="1018" t="s">
        <v>4686</v>
      </c>
      <c r="B14" s="1060" t="s">
        <v>4881</v>
      </c>
      <c r="C14" s="1060" t="s">
        <v>4841</v>
      </c>
      <c r="D14" s="1060" t="s">
        <v>4842</v>
      </c>
      <c r="E14" s="1060" t="s">
        <v>4859</v>
      </c>
      <c r="F14" s="1060" t="s">
        <v>4508</v>
      </c>
      <c r="G14" s="1060" t="s">
        <v>4860</v>
      </c>
      <c r="H14" s="1060" t="s">
        <v>4861</v>
      </c>
      <c r="I14" s="1040"/>
      <c r="J14" s="1018" t="s">
        <v>4461</v>
      </c>
      <c r="K14" s="1018" t="s">
        <v>4462</v>
      </c>
      <c r="L14" s="1018" t="s">
        <v>4441</v>
      </c>
      <c r="M14" s="1018" t="s">
        <v>4549</v>
      </c>
    </row>
    <row r="15" spans="1:13" ht="53.1" customHeight="1">
      <c r="A15" s="1061" t="s">
        <v>4687</v>
      </c>
      <c r="B15" s="1060" t="s">
        <v>4882</v>
      </c>
      <c r="C15" s="1060" t="s">
        <v>4841</v>
      </c>
      <c r="D15" s="1060" t="s">
        <v>4883</v>
      </c>
      <c r="E15" s="1060" t="s">
        <v>4859</v>
      </c>
      <c r="F15" s="1060" t="s">
        <v>4508</v>
      </c>
      <c r="G15" s="1060" t="s">
        <v>4860</v>
      </c>
      <c r="H15" s="1060" t="s">
        <v>4861</v>
      </c>
      <c r="I15" s="1040"/>
      <c r="J15" s="1018" t="s">
        <v>4461</v>
      </c>
      <c r="K15" s="1018" t="s">
        <v>4462</v>
      </c>
      <c r="L15" s="1018" t="s">
        <v>4441</v>
      </c>
      <c r="M15" s="1018" t="s">
        <v>4549</v>
      </c>
    </row>
    <row r="16" spans="1:13">
      <c r="A16" s="1197" t="s">
        <v>4550</v>
      </c>
      <c r="B16" s="1197"/>
      <c r="C16" s="1197"/>
      <c r="D16" s="1197"/>
      <c r="E16" s="1197"/>
      <c r="F16" s="1197"/>
      <c r="G16" s="1197"/>
      <c r="H16" s="1197"/>
      <c r="I16" s="1197"/>
      <c r="J16" s="1197"/>
      <c r="K16" s="1197"/>
      <c r="L16" s="1197"/>
      <c r="M16" s="1197"/>
    </row>
    <row r="17" spans="1:13" ht="55.5" customHeight="1">
      <c r="A17" s="1018" t="s">
        <v>4551</v>
      </c>
      <c r="B17" s="1060" t="s">
        <v>4869</v>
      </c>
      <c r="C17" s="1060" t="s">
        <v>4841</v>
      </c>
      <c r="D17" s="1060" t="s">
        <v>4870</v>
      </c>
      <c r="E17" s="1060" t="s">
        <v>4718</v>
      </c>
      <c r="F17" s="1060" t="s">
        <v>4508</v>
      </c>
      <c r="G17" s="1060" t="s">
        <v>4860</v>
      </c>
      <c r="H17" s="1060" t="s">
        <v>4871</v>
      </c>
      <c r="I17" s="1040"/>
      <c r="J17" s="1041" t="s">
        <v>4461</v>
      </c>
      <c r="K17" s="1041" t="s">
        <v>4461</v>
      </c>
      <c r="L17" s="1041" t="s">
        <v>4461</v>
      </c>
      <c r="M17" s="1041"/>
    </row>
    <row r="18" spans="1:13" ht="60" customHeight="1">
      <c r="A18" s="1191" t="s">
        <v>4563</v>
      </c>
      <c r="B18" s="1191"/>
      <c r="C18" s="1191"/>
      <c r="D18" s="1191"/>
      <c r="E18" s="1191"/>
      <c r="F18" s="1191"/>
      <c r="G18" s="1191"/>
      <c r="H18" s="1191"/>
      <c r="I18" s="1191"/>
      <c r="J18" s="1191"/>
      <c r="K18" s="1191"/>
      <c r="L18" s="1191"/>
      <c r="M18" s="1191"/>
    </row>
    <row r="19" spans="1:13" ht="50.45" customHeight="1">
      <c r="A19" s="1218" t="s">
        <v>4564</v>
      </c>
      <c r="B19" s="1218"/>
      <c r="C19" s="1218"/>
      <c r="D19" s="1218"/>
      <c r="E19" s="1218"/>
      <c r="F19" s="1218"/>
      <c r="G19" s="1218"/>
      <c r="H19" s="1218"/>
      <c r="I19" s="1218"/>
      <c r="J19" s="1218"/>
      <c r="K19" s="1218"/>
      <c r="L19" s="1218"/>
      <c r="M19" s="1218"/>
    </row>
  </sheetData>
  <mergeCells count="15">
    <mergeCell ref="A18:M18"/>
    <mergeCell ref="A19:M19"/>
    <mergeCell ref="C1:C2"/>
    <mergeCell ref="D1:D2"/>
    <mergeCell ref="H1:H2"/>
    <mergeCell ref="A16:M16"/>
    <mergeCell ref="A7:M7"/>
    <mergeCell ref="J1:M1"/>
    <mergeCell ref="A3:M3"/>
    <mergeCell ref="A1:A2"/>
    <mergeCell ref="B1:B2"/>
    <mergeCell ref="E1:E2"/>
    <mergeCell ref="F1:F2"/>
    <mergeCell ref="G1:G2"/>
    <mergeCell ref="I1:I2"/>
  </mergeCells>
  <phoneticPr fontId="164" type="noConversion"/>
  <printOptions horizontalCentered="1"/>
  <pageMargins left="0.25" right="0.25" top="0.75" bottom="0.75" header="0.3" footer="0.3"/>
  <pageSetup scale="55"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8277B-3097-4053-BF51-13CDDB921000}">
  <sheetPr codeName="Sheet67"/>
  <dimension ref="A1:M31"/>
  <sheetViews>
    <sheetView showGridLines="0" topLeftCell="A29" zoomScale="115" zoomScaleNormal="115" zoomScaleSheetLayoutView="70" zoomScalePageLayoutView="85" workbookViewId="0">
      <selection activeCell="J1" sqref="A1:XFD2"/>
    </sheetView>
  </sheetViews>
  <sheetFormatPr defaultColWidth="8.5703125" defaultRowHeight="20.100000000000001" customHeight="1"/>
  <cols>
    <col min="1" max="1" width="3.5703125" style="458" customWidth="1"/>
    <col min="2" max="2" width="21.42578125" style="458" customWidth="1"/>
    <col min="3" max="3" width="18" style="458" customWidth="1"/>
    <col min="4" max="4" width="21.42578125" style="458" customWidth="1"/>
    <col min="5" max="5" width="17.7109375" style="458" customWidth="1"/>
    <col min="6" max="6" width="14.42578125" style="458" customWidth="1"/>
    <col min="7" max="7" width="11.140625" style="458" customWidth="1"/>
    <col min="8" max="8" width="24.7109375" style="458" customWidth="1"/>
    <col min="9" max="9" width="18.140625" style="458" customWidth="1"/>
    <col min="10" max="13" width="3.5703125" style="458" customWidth="1"/>
    <col min="14" max="16384" width="8.5703125" style="458"/>
  </cols>
  <sheetData>
    <row r="1" spans="1:13" ht="40.5" customHeight="1">
      <c r="A1" s="1208" t="s">
        <v>4445</v>
      </c>
      <c r="B1" s="1205" t="s">
        <v>4198</v>
      </c>
      <c r="C1" s="1205" t="s">
        <v>4444</v>
      </c>
      <c r="D1" s="1205" t="s">
        <v>4466</v>
      </c>
      <c r="E1" s="1205" t="s">
        <v>4479</v>
      </c>
      <c r="F1" s="1205" t="s">
        <v>4201</v>
      </c>
      <c r="G1" s="1205" t="s">
        <v>4478</v>
      </c>
      <c r="H1" s="1205" t="s">
        <v>4533</v>
      </c>
      <c r="I1" s="1205" t="s">
        <v>4465</v>
      </c>
      <c r="J1" s="1205" t="s">
        <v>4442</v>
      </c>
      <c r="K1" s="1205"/>
      <c r="L1" s="1205"/>
      <c r="M1" s="1207"/>
    </row>
    <row r="2" spans="1:13" ht="61.5" customHeight="1">
      <c r="A2" s="1209"/>
      <c r="B2" s="1206"/>
      <c r="C2" s="1206"/>
      <c r="D2" s="1206"/>
      <c r="E2" s="1206"/>
      <c r="F2" s="1206"/>
      <c r="G2" s="1206"/>
      <c r="H2" s="1206"/>
      <c r="I2" s="1206"/>
      <c r="J2" s="992" t="s">
        <v>4199</v>
      </c>
      <c r="K2" s="992" t="s">
        <v>4443</v>
      </c>
      <c r="L2" s="992" t="s">
        <v>1250</v>
      </c>
      <c r="M2" s="993" t="s">
        <v>4463</v>
      </c>
    </row>
    <row r="3" spans="1:13" ht="40.5" customHeight="1">
      <c r="A3" s="990" t="s">
        <v>4446</v>
      </c>
      <c r="B3" s="989" t="s">
        <v>4447</v>
      </c>
      <c r="C3" s="989" t="s">
        <v>4449</v>
      </c>
      <c r="D3" s="989" t="s">
        <v>4456</v>
      </c>
      <c r="E3" s="991" t="s">
        <v>4457</v>
      </c>
      <c r="F3" s="1002" t="s">
        <v>4458</v>
      </c>
      <c r="G3" s="991" t="s">
        <v>4480</v>
      </c>
      <c r="H3" s="991" t="s">
        <v>4459</v>
      </c>
      <c r="I3" s="1001" t="s">
        <v>4460</v>
      </c>
      <c r="J3" s="998" t="s">
        <v>4461</v>
      </c>
      <c r="K3" s="998" t="s">
        <v>4462</v>
      </c>
      <c r="L3" s="998" t="s">
        <v>4441</v>
      </c>
      <c r="M3" s="994" t="s">
        <v>4005</v>
      </c>
    </row>
    <row r="4" spans="1:13" ht="41.1" customHeight="1">
      <c r="A4" s="996" t="s">
        <v>4448</v>
      </c>
      <c r="B4" s="997" t="s">
        <v>4451</v>
      </c>
      <c r="C4" s="997" t="s">
        <v>4449</v>
      </c>
      <c r="D4" s="997" t="s">
        <v>4464</v>
      </c>
      <c r="E4" s="1003" t="s">
        <v>4457</v>
      </c>
      <c r="F4" s="1004" t="s">
        <v>4458</v>
      </c>
      <c r="G4" s="1003" t="s">
        <v>4480</v>
      </c>
      <c r="H4" s="1003" t="s">
        <v>4459</v>
      </c>
      <c r="I4" s="1005" t="s">
        <v>4460</v>
      </c>
      <c r="J4" s="1000" t="s">
        <v>4461</v>
      </c>
      <c r="K4" s="1000" t="s">
        <v>4462</v>
      </c>
      <c r="L4" s="1000" t="s">
        <v>4441</v>
      </c>
      <c r="M4" s="1007" t="s">
        <v>4005</v>
      </c>
    </row>
    <row r="5" spans="1:13" ht="43.5" customHeight="1">
      <c r="A5" s="996" t="s">
        <v>4453</v>
      </c>
      <c r="B5" s="997" t="s">
        <v>4452</v>
      </c>
      <c r="C5" s="997" t="s">
        <v>4450</v>
      </c>
      <c r="D5" s="997" t="s">
        <v>4468</v>
      </c>
      <c r="E5" s="1003" t="s">
        <v>4457</v>
      </c>
      <c r="F5" s="1004" t="s">
        <v>4458</v>
      </c>
      <c r="G5" s="1003" t="s">
        <v>4480</v>
      </c>
      <c r="H5" s="1003" t="s">
        <v>4459</v>
      </c>
      <c r="I5" s="1005" t="s">
        <v>4460</v>
      </c>
      <c r="J5" s="1000" t="s">
        <v>4461</v>
      </c>
      <c r="K5" s="1000" t="s">
        <v>4462</v>
      </c>
      <c r="L5" s="1000" t="s">
        <v>4441</v>
      </c>
      <c r="M5" s="1007" t="s">
        <v>4005</v>
      </c>
    </row>
    <row r="6" spans="1:13" ht="41.1" customHeight="1">
      <c r="A6" s="996" t="s">
        <v>4454</v>
      </c>
      <c r="B6" s="997" t="s">
        <v>4452</v>
      </c>
      <c r="C6" s="997" t="s">
        <v>4467</v>
      </c>
      <c r="D6" s="1006" t="s">
        <v>4469</v>
      </c>
      <c r="E6" s="1003" t="s">
        <v>4457</v>
      </c>
      <c r="F6" s="1004" t="s">
        <v>4458</v>
      </c>
      <c r="G6" s="1003" t="s">
        <v>4480</v>
      </c>
      <c r="H6" s="1003" t="s">
        <v>4470</v>
      </c>
      <c r="I6" s="1003" t="s">
        <v>4472</v>
      </c>
      <c r="J6" s="1000" t="s">
        <v>4461</v>
      </c>
      <c r="K6" s="1000" t="s">
        <v>4462</v>
      </c>
      <c r="L6" s="1000" t="s">
        <v>4441</v>
      </c>
      <c r="M6" s="1007" t="s">
        <v>4005</v>
      </c>
    </row>
    <row r="7" spans="1:13" ht="41.1" customHeight="1" thickBot="1">
      <c r="A7" s="996" t="s">
        <v>4455</v>
      </c>
      <c r="B7" s="997" t="s">
        <v>4473</v>
      </c>
      <c r="C7" s="997" t="s">
        <v>4467</v>
      </c>
      <c r="D7" s="997" t="s">
        <v>4474</v>
      </c>
      <c r="E7" s="1003" t="s">
        <v>4475</v>
      </c>
      <c r="F7" s="1004" t="s">
        <v>4476</v>
      </c>
      <c r="G7" s="1003" t="s">
        <v>4480</v>
      </c>
      <c r="H7" s="1003" t="s">
        <v>4477</v>
      </c>
      <c r="I7" s="1003" t="s">
        <v>4471</v>
      </c>
      <c r="J7" s="1000" t="s">
        <v>4461</v>
      </c>
      <c r="K7" s="1000" t="s">
        <v>4462</v>
      </c>
      <c r="L7" s="1000" t="s">
        <v>4441</v>
      </c>
      <c r="M7" s="1007" t="s">
        <v>4005</v>
      </c>
    </row>
    <row r="8" spans="1:13" ht="20.100000000000001" customHeight="1" thickBot="1">
      <c r="A8" s="1237" t="s">
        <v>4481</v>
      </c>
      <c r="B8" s="1238"/>
      <c r="C8" s="1238"/>
      <c r="D8" s="1238"/>
      <c r="E8" s="1238"/>
      <c r="F8" s="1238"/>
      <c r="G8" s="1238"/>
      <c r="H8" s="1238"/>
      <c r="I8" s="1238"/>
      <c r="J8" s="1238"/>
      <c r="K8" s="1238"/>
      <c r="L8" s="1238"/>
      <c r="M8" s="1239"/>
    </row>
    <row r="9" spans="1:13" ht="60.6" customHeight="1">
      <c r="A9" s="1242" t="s">
        <v>4482</v>
      </c>
      <c r="B9" s="1240" t="s">
        <v>4483</v>
      </c>
      <c r="C9" s="1241" t="s">
        <v>4450</v>
      </c>
      <c r="D9" s="1008" t="s">
        <v>4484</v>
      </c>
      <c r="E9" s="1240" t="s">
        <v>4492</v>
      </c>
      <c r="F9" s="1240" t="s">
        <v>4489</v>
      </c>
      <c r="G9" s="1245" t="s">
        <v>4490</v>
      </c>
      <c r="H9" s="1246" t="s">
        <v>4525</v>
      </c>
      <c r="I9" s="1245" t="s">
        <v>4491</v>
      </c>
      <c r="J9" s="1243" t="s">
        <v>4461</v>
      </c>
      <c r="K9" s="1243" t="s">
        <v>4462</v>
      </c>
      <c r="L9" s="1243" t="s">
        <v>4441</v>
      </c>
      <c r="M9" s="1244" t="s">
        <v>4005</v>
      </c>
    </row>
    <row r="10" spans="1:13" ht="40.5" customHeight="1">
      <c r="A10" s="1230"/>
      <c r="B10" s="1232"/>
      <c r="C10" s="1231"/>
      <c r="D10" s="1011" t="s">
        <v>4485</v>
      </c>
      <c r="E10" s="1231"/>
      <c r="F10" s="1232"/>
      <c r="G10" s="1245"/>
      <c r="H10" s="1246"/>
      <c r="I10" s="1245"/>
      <c r="J10" s="1243"/>
      <c r="K10" s="1243"/>
      <c r="L10" s="1243"/>
      <c r="M10" s="1244"/>
    </row>
    <row r="11" spans="1:13" ht="68.099999999999994" customHeight="1">
      <c r="A11" s="1230"/>
      <c r="B11" s="1232"/>
      <c r="C11" s="1231"/>
      <c r="D11" s="1011" t="s">
        <v>4524</v>
      </c>
      <c r="E11" s="1231"/>
      <c r="F11" s="1232"/>
      <c r="G11" s="1245"/>
      <c r="H11" s="1246"/>
      <c r="I11" s="1245"/>
      <c r="J11" s="1243"/>
      <c r="K11" s="1243"/>
      <c r="L11" s="1243"/>
      <c r="M11" s="1244"/>
    </row>
    <row r="12" spans="1:13" ht="36" customHeight="1">
      <c r="A12" s="1230"/>
      <c r="B12" s="1232"/>
      <c r="C12" s="1231"/>
      <c r="D12" s="1011" t="s">
        <v>4486</v>
      </c>
      <c r="E12" s="1231"/>
      <c r="F12" s="1232"/>
      <c r="G12" s="1245"/>
      <c r="H12" s="1246"/>
      <c r="I12" s="1245"/>
      <c r="J12" s="1243"/>
      <c r="K12" s="1243"/>
      <c r="L12" s="1243"/>
      <c r="M12" s="1244"/>
    </row>
    <row r="13" spans="1:13" ht="42" customHeight="1">
      <c r="A13" s="1230"/>
      <c r="B13" s="1232"/>
      <c r="C13" s="1231"/>
      <c r="D13" s="1011" t="s">
        <v>4523</v>
      </c>
      <c r="E13" s="1231"/>
      <c r="F13" s="1232"/>
      <c r="G13" s="1245"/>
      <c r="H13" s="1246"/>
      <c r="I13" s="1245"/>
      <c r="J13" s="1243"/>
      <c r="K13" s="1243"/>
      <c r="L13" s="1243"/>
      <c r="M13" s="1244"/>
    </row>
    <row r="14" spans="1:13" ht="38.1" customHeight="1">
      <c r="A14" s="1230"/>
      <c r="B14" s="1232"/>
      <c r="C14" s="1231"/>
      <c r="D14" s="1011" t="s">
        <v>4487</v>
      </c>
      <c r="E14" s="1231"/>
      <c r="F14" s="1232"/>
      <c r="G14" s="1245"/>
      <c r="H14" s="1246"/>
      <c r="I14" s="1245"/>
      <c r="J14" s="1243"/>
      <c r="K14" s="1243"/>
      <c r="L14" s="1243"/>
      <c r="M14" s="1244"/>
    </row>
    <row r="15" spans="1:13" ht="44.45" customHeight="1">
      <c r="A15" s="1230"/>
      <c r="B15" s="1232"/>
      <c r="C15" s="1231"/>
      <c r="D15" s="1011" t="s">
        <v>4488</v>
      </c>
      <c r="E15" s="1231"/>
      <c r="F15" s="1232"/>
      <c r="G15" s="1245"/>
      <c r="H15" s="1246"/>
      <c r="I15" s="1245"/>
      <c r="J15" s="1243"/>
      <c r="K15" s="1243"/>
      <c r="L15" s="1243"/>
      <c r="M15" s="1244"/>
    </row>
    <row r="16" spans="1:13" ht="42" customHeight="1">
      <c r="A16" s="1014" t="s">
        <v>4493</v>
      </c>
      <c r="B16" s="1010" t="s">
        <v>4494</v>
      </c>
      <c r="C16" s="1010" t="s">
        <v>4495</v>
      </c>
      <c r="D16" s="1012" t="s">
        <v>4669</v>
      </c>
      <c r="E16" s="1011" t="s">
        <v>4457</v>
      </c>
      <c r="F16" s="1011" t="s">
        <v>4496</v>
      </c>
      <c r="G16" s="1245"/>
      <c r="H16" s="1246"/>
      <c r="I16" s="1245"/>
      <c r="J16" s="1243"/>
      <c r="K16" s="1243"/>
      <c r="L16" s="1243"/>
      <c r="M16" s="1244"/>
    </row>
    <row r="17" spans="1:13" ht="39.6" customHeight="1">
      <c r="A17" s="1014" t="s">
        <v>4497</v>
      </c>
      <c r="B17" s="1010" t="s">
        <v>4498</v>
      </c>
      <c r="C17" s="1010" t="s">
        <v>4495</v>
      </c>
      <c r="D17" s="1012" t="s">
        <v>4499</v>
      </c>
      <c r="E17" s="1011" t="s">
        <v>4457</v>
      </c>
      <c r="F17" s="1011" t="s">
        <v>4496</v>
      </c>
      <c r="G17" s="1245"/>
      <c r="H17" s="1246"/>
      <c r="I17" s="1245"/>
      <c r="J17" s="1243"/>
      <c r="K17" s="1243"/>
      <c r="L17" s="1243"/>
      <c r="M17" s="1244"/>
    </row>
    <row r="18" spans="1:13" ht="42.6" customHeight="1">
      <c r="A18" s="1014" t="s">
        <v>4500</v>
      </c>
      <c r="B18" s="1010" t="s">
        <v>4501</v>
      </c>
      <c r="C18" s="1010" t="s">
        <v>4495</v>
      </c>
      <c r="D18" s="1012" t="s">
        <v>4502</v>
      </c>
      <c r="E18" s="1011" t="s">
        <v>4457</v>
      </c>
      <c r="F18" s="1011" t="s">
        <v>4496</v>
      </c>
      <c r="G18" s="1245"/>
      <c r="H18" s="1246"/>
      <c r="I18" s="1245"/>
      <c r="J18" s="1243"/>
      <c r="K18" s="1243"/>
      <c r="L18" s="1243"/>
      <c r="M18" s="1244"/>
    </row>
    <row r="19" spans="1:13" ht="39.6" customHeight="1">
      <c r="A19" s="1014" t="s">
        <v>4503</v>
      </c>
      <c r="B19" s="1010" t="s">
        <v>4505</v>
      </c>
      <c r="C19" s="1011" t="s">
        <v>4506</v>
      </c>
      <c r="D19" s="1011" t="s">
        <v>4507</v>
      </c>
      <c r="E19" s="1011" t="s">
        <v>4457</v>
      </c>
      <c r="F19" s="1011" t="s">
        <v>4508</v>
      </c>
      <c r="G19" s="1018" t="s">
        <v>4509</v>
      </c>
      <c r="H19" s="1018" t="s">
        <v>4510</v>
      </c>
      <c r="I19" s="1015" t="s">
        <v>4512</v>
      </c>
      <c r="J19" s="1016" t="s">
        <v>4461</v>
      </c>
      <c r="K19" s="1016" t="s">
        <v>4462</v>
      </c>
      <c r="L19" s="1016" t="s">
        <v>4441</v>
      </c>
      <c r="M19" s="1017" t="s">
        <v>4005</v>
      </c>
    </row>
    <row r="20" spans="1:13" ht="42" customHeight="1" thickBot="1">
      <c r="A20" s="1014" t="s">
        <v>4504</v>
      </c>
      <c r="B20" s="1010" t="s">
        <v>4513</v>
      </c>
      <c r="C20" s="1012" t="s">
        <v>4514</v>
      </c>
      <c r="D20" s="1011" t="s">
        <v>4515</v>
      </c>
      <c r="E20" s="1011" t="s">
        <v>4516</v>
      </c>
      <c r="F20" s="1011" t="s">
        <v>4517</v>
      </c>
      <c r="G20" s="1018" t="s">
        <v>4509</v>
      </c>
      <c r="H20" s="1018" t="s">
        <v>4511</v>
      </c>
      <c r="I20" s="1015"/>
      <c r="J20" s="1016" t="s">
        <v>4461</v>
      </c>
      <c r="K20" s="1016" t="s">
        <v>4461</v>
      </c>
      <c r="L20" s="1016" t="s">
        <v>4461</v>
      </c>
      <c r="M20" s="1017" t="s">
        <v>4005</v>
      </c>
    </row>
    <row r="21" spans="1:13" ht="20.100000000000001" customHeight="1" thickBot="1">
      <c r="A21" s="1221" t="s">
        <v>4518</v>
      </c>
      <c r="B21" s="1222"/>
      <c r="C21" s="1222"/>
      <c r="D21" s="1222"/>
      <c r="E21" s="1222"/>
      <c r="F21" s="1222"/>
      <c r="G21" s="1222"/>
      <c r="H21" s="1222"/>
      <c r="I21" s="1222"/>
      <c r="J21" s="1222"/>
      <c r="K21" s="1222"/>
      <c r="L21" s="1222"/>
      <c r="M21" s="1223"/>
    </row>
    <row r="22" spans="1:13" ht="41.1" customHeight="1">
      <c r="A22" s="1013" t="s">
        <v>4519</v>
      </c>
      <c r="B22" s="1009" t="s">
        <v>4520</v>
      </c>
      <c r="C22" s="1008" t="s">
        <v>4450</v>
      </c>
      <c r="D22" s="1008" t="s">
        <v>4530</v>
      </c>
      <c r="E22" s="1008" t="s">
        <v>4475</v>
      </c>
      <c r="F22" s="1008" t="s">
        <v>4508</v>
      </c>
      <c r="G22" s="1019" t="s">
        <v>4531</v>
      </c>
      <c r="H22" s="1019" t="s">
        <v>4532</v>
      </c>
      <c r="I22" s="1020"/>
      <c r="J22" s="999" t="s">
        <v>4461</v>
      </c>
      <c r="K22" s="999" t="s">
        <v>4462</v>
      </c>
      <c r="L22" s="999" t="s">
        <v>4462</v>
      </c>
      <c r="M22" s="995" t="s">
        <v>4549</v>
      </c>
    </row>
    <row r="23" spans="1:13" ht="20.100000000000001" customHeight="1">
      <c r="A23" s="1230" t="s">
        <v>4521</v>
      </c>
      <c r="B23" s="1231" t="s">
        <v>4526</v>
      </c>
      <c r="C23" s="1232" t="s">
        <v>4534</v>
      </c>
      <c r="D23" s="1232" t="s">
        <v>4535</v>
      </c>
      <c r="E23" s="1232" t="s">
        <v>4536</v>
      </c>
      <c r="F23" s="1232" t="s">
        <v>4537</v>
      </c>
      <c r="G23" s="1233" t="s">
        <v>4538</v>
      </c>
      <c r="H23" s="1233" t="s">
        <v>4539</v>
      </c>
      <c r="I23" s="1234" t="s">
        <v>4540</v>
      </c>
      <c r="J23" s="1235" t="s">
        <v>4461</v>
      </c>
      <c r="K23" s="1235" t="s">
        <v>4462</v>
      </c>
      <c r="L23" s="1235" t="s">
        <v>4462</v>
      </c>
      <c r="M23" s="1236" t="s">
        <v>4549</v>
      </c>
    </row>
    <row r="24" spans="1:13" ht="40.5" customHeight="1">
      <c r="A24" s="1230"/>
      <c r="B24" s="1231"/>
      <c r="C24" s="1232"/>
      <c r="D24" s="1232"/>
      <c r="E24" s="1232"/>
      <c r="F24" s="1232"/>
      <c r="G24" s="1233"/>
      <c r="H24" s="1233"/>
      <c r="I24" s="1234"/>
      <c r="J24" s="1235"/>
      <c r="K24" s="1235"/>
      <c r="L24" s="1235"/>
      <c r="M24" s="1236"/>
    </row>
    <row r="25" spans="1:13" ht="41.1" customHeight="1">
      <c r="A25" s="1014" t="s">
        <v>4522</v>
      </c>
      <c r="B25" s="1011" t="s">
        <v>4527</v>
      </c>
      <c r="C25" s="1012" t="s">
        <v>4469</v>
      </c>
      <c r="D25" s="1011" t="s">
        <v>4541</v>
      </c>
      <c r="E25" s="1011" t="s">
        <v>4543</v>
      </c>
      <c r="F25" s="1011" t="s">
        <v>4544</v>
      </c>
      <c r="G25" s="1018" t="s">
        <v>4531</v>
      </c>
      <c r="H25" s="1018" t="s">
        <v>4545</v>
      </c>
      <c r="I25" s="1015" t="s">
        <v>4546</v>
      </c>
      <c r="J25" s="1016" t="s">
        <v>4461</v>
      </c>
      <c r="K25" s="1016" t="s">
        <v>4462</v>
      </c>
      <c r="L25" s="1016" t="s">
        <v>4462</v>
      </c>
      <c r="M25" s="1017" t="s">
        <v>4005</v>
      </c>
    </row>
    <row r="26" spans="1:13" ht="41.1" customHeight="1" thickBot="1">
      <c r="A26" s="1014" t="s">
        <v>4528</v>
      </c>
      <c r="B26" s="1011" t="s">
        <v>4529</v>
      </c>
      <c r="C26" s="1012" t="s">
        <v>4469</v>
      </c>
      <c r="D26" s="1012" t="s">
        <v>4542</v>
      </c>
      <c r="E26" s="1011" t="s">
        <v>4543</v>
      </c>
      <c r="F26" s="1011" t="s">
        <v>4508</v>
      </c>
      <c r="G26" s="1018" t="s">
        <v>4531</v>
      </c>
      <c r="H26" s="1018" t="s">
        <v>4547</v>
      </c>
      <c r="I26" s="1016" t="s">
        <v>4548</v>
      </c>
      <c r="J26" s="1016" t="s">
        <v>4461</v>
      </c>
      <c r="K26" s="1016" t="s">
        <v>4462</v>
      </c>
      <c r="L26" s="1016" t="s">
        <v>4462</v>
      </c>
      <c r="M26" s="1017" t="s">
        <v>4005</v>
      </c>
    </row>
    <row r="27" spans="1:13" ht="20.100000000000001" customHeight="1" thickBot="1">
      <c r="A27" s="1221" t="s">
        <v>4550</v>
      </c>
      <c r="B27" s="1222"/>
      <c r="C27" s="1222"/>
      <c r="D27" s="1222"/>
      <c r="E27" s="1222"/>
      <c r="F27" s="1222"/>
      <c r="G27" s="1222"/>
      <c r="H27" s="1222"/>
      <c r="I27" s="1222"/>
      <c r="J27" s="1222"/>
      <c r="K27" s="1222"/>
      <c r="L27" s="1222"/>
      <c r="M27" s="1223"/>
    </row>
    <row r="28" spans="1:13" ht="141.6" customHeight="1">
      <c r="A28" s="1013" t="s">
        <v>4551</v>
      </c>
      <c r="B28" s="1008" t="s">
        <v>4552</v>
      </c>
      <c r="C28" s="1021" t="s">
        <v>4514</v>
      </c>
      <c r="D28" s="1008" t="s">
        <v>4553</v>
      </c>
      <c r="E28" s="1008" t="s">
        <v>4554</v>
      </c>
      <c r="F28" s="1008" t="s">
        <v>4555</v>
      </c>
      <c r="G28" s="1019" t="s">
        <v>4531</v>
      </c>
      <c r="H28" s="1008" t="s">
        <v>4557</v>
      </c>
      <c r="I28" s="999" t="s">
        <v>4556</v>
      </c>
      <c r="J28" s="999" t="s">
        <v>4461</v>
      </c>
      <c r="K28" s="999" t="s">
        <v>4462</v>
      </c>
      <c r="L28" s="999" t="s">
        <v>4441</v>
      </c>
      <c r="M28" s="1022" t="s">
        <v>4005</v>
      </c>
    </row>
    <row r="29" spans="1:13" ht="222.6" customHeight="1">
      <c r="A29" s="1014" t="s">
        <v>4558</v>
      </c>
      <c r="B29" s="1011" t="s">
        <v>4559</v>
      </c>
      <c r="C29" s="1012" t="s">
        <v>4469</v>
      </c>
      <c r="D29" s="1011" t="s">
        <v>4560</v>
      </c>
      <c r="E29" s="1011" t="s">
        <v>4554</v>
      </c>
      <c r="F29" s="1011" t="s">
        <v>4555</v>
      </c>
      <c r="G29" s="1018" t="s">
        <v>4531</v>
      </c>
      <c r="H29" s="1012" t="s">
        <v>4562</v>
      </c>
      <c r="I29" s="1016" t="s">
        <v>4561</v>
      </c>
      <c r="J29" s="1016" t="s">
        <v>4461</v>
      </c>
      <c r="K29" s="1016" t="s">
        <v>4462</v>
      </c>
      <c r="L29" s="1016" t="s">
        <v>4441</v>
      </c>
      <c r="M29" s="1017" t="s">
        <v>4005</v>
      </c>
    </row>
    <row r="30" spans="1:13" ht="54.6" customHeight="1">
      <c r="A30" s="1227" t="s">
        <v>4563</v>
      </c>
      <c r="B30" s="1228"/>
      <c r="C30" s="1228"/>
      <c r="D30" s="1228"/>
      <c r="E30" s="1228"/>
      <c r="F30" s="1228"/>
      <c r="G30" s="1228"/>
      <c r="H30" s="1228"/>
      <c r="I30" s="1228"/>
      <c r="J30" s="1228"/>
      <c r="K30" s="1228"/>
      <c r="L30" s="1228"/>
      <c r="M30" s="1229"/>
    </row>
    <row r="31" spans="1:13" s="972" customFormat="1" ht="44.45" customHeight="1" thickBot="1">
      <c r="A31" s="1224" t="s">
        <v>4564</v>
      </c>
      <c r="B31" s="1225"/>
      <c r="C31" s="1225"/>
      <c r="D31" s="1225"/>
      <c r="E31" s="1225"/>
      <c r="F31" s="1225"/>
      <c r="G31" s="1225"/>
      <c r="H31" s="1225"/>
      <c r="I31" s="1225"/>
      <c r="J31" s="1225"/>
      <c r="K31" s="1225"/>
      <c r="L31" s="1225"/>
      <c r="M31" s="1226"/>
    </row>
  </sheetData>
  <mergeCells count="40">
    <mergeCell ref="A1:A2"/>
    <mergeCell ref="C1:C2"/>
    <mergeCell ref="I1:I2"/>
    <mergeCell ref="B1:B2"/>
    <mergeCell ref="D1:D2"/>
    <mergeCell ref="E1:E2"/>
    <mergeCell ref="F1:F2"/>
    <mergeCell ref="H1:H2"/>
    <mergeCell ref="M23:M24"/>
    <mergeCell ref="J1:M1"/>
    <mergeCell ref="A8:M8"/>
    <mergeCell ref="F9:F15"/>
    <mergeCell ref="G1:G2"/>
    <mergeCell ref="C9:C15"/>
    <mergeCell ref="B9:B15"/>
    <mergeCell ref="A9:A15"/>
    <mergeCell ref="E9:E15"/>
    <mergeCell ref="J9:J18"/>
    <mergeCell ref="K9:K18"/>
    <mergeCell ref="L9:L18"/>
    <mergeCell ref="M9:M18"/>
    <mergeCell ref="I9:I18"/>
    <mergeCell ref="H9:H18"/>
    <mergeCell ref="G9:G18"/>
    <mergeCell ref="A27:M27"/>
    <mergeCell ref="A31:M31"/>
    <mergeCell ref="A30:M30"/>
    <mergeCell ref="A21:M21"/>
    <mergeCell ref="A23:A24"/>
    <mergeCell ref="B23:B24"/>
    <mergeCell ref="C23:C24"/>
    <mergeCell ref="D23:D24"/>
    <mergeCell ref="E23:E24"/>
    <mergeCell ref="F23:F24"/>
    <mergeCell ref="G23:G24"/>
    <mergeCell ref="H23:H24"/>
    <mergeCell ref="I23:I24"/>
    <mergeCell ref="J23:J24"/>
    <mergeCell ref="K23:K24"/>
    <mergeCell ref="L23:L24"/>
  </mergeCells>
  <phoneticPr fontId="43" type="noConversion"/>
  <pageMargins left="0.7" right="0.45" top="0.79673611111111109" bottom="0.75" header="0.3" footer="0.3"/>
  <pageSetup paperSize="9" scale="77" fitToWidth="0" fitToHeight="0" orientation="landscape" r:id="rId1"/>
  <headerFooter>
    <oddHeader xml:space="preserve">&amp;C&amp;"-,Bold"&amp;14INSPECTION &amp; TEST PLAN
- PILING -&amp;R
Doc No：&lt;EMP&gt;-CIV-QAC-ITP-0001                 </oddHeader>
  </headerFooter>
  <rowBreaks count="2" manualBreakCount="2">
    <brk id="11" max="16383" man="1"/>
    <brk id="24" max="16383" man="1"/>
  </rowBreak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091298-CAF4-440C-8601-87056530AB30}">
  <sheetPr codeName="Sheet70"/>
  <dimension ref="A1:M19"/>
  <sheetViews>
    <sheetView view="pageBreakPreview" zoomScale="130" zoomScaleNormal="130" zoomScaleSheetLayoutView="130" workbookViewId="0">
      <selection activeCell="O5" sqref="O5"/>
    </sheetView>
  </sheetViews>
  <sheetFormatPr defaultColWidth="8.7109375" defaultRowHeight="14.25"/>
  <cols>
    <col min="1" max="1" width="3.85546875" style="459" bestFit="1" customWidth="1"/>
    <col min="2" max="2" width="15.140625" style="459" customWidth="1"/>
    <col min="3" max="3" width="12.5703125" style="459" customWidth="1"/>
    <col min="4" max="4" width="39.85546875" style="459" customWidth="1"/>
    <col min="5" max="5" width="10.85546875" style="459" customWidth="1"/>
    <col min="6" max="6" width="12.85546875" style="459" customWidth="1"/>
    <col min="7" max="7" width="12.28515625" style="528" customWidth="1"/>
    <col min="8" max="8" width="13" style="459" customWidth="1"/>
    <col min="9" max="9" width="15.85546875" style="459" customWidth="1"/>
    <col min="10" max="13" width="5.5703125" style="459" customWidth="1"/>
    <col min="14" max="16384" width="8.7109375" style="459"/>
  </cols>
  <sheetData>
    <row r="1" spans="1:13" s="458" customFormat="1" ht="40.5" customHeight="1">
      <c r="A1" s="1208" t="s">
        <v>4445</v>
      </c>
      <c r="B1" s="1205" t="s">
        <v>4198</v>
      </c>
      <c r="C1" s="1205" t="s">
        <v>4444</v>
      </c>
      <c r="D1" s="1205" t="s">
        <v>4466</v>
      </c>
      <c r="E1" s="1205" t="s">
        <v>4479</v>
      </c>
      <c r="F1" s="1205" t="s">
        <v>4201</v>
      </c>
      <c r="G1" s="1205" t="s">
        <v>4478</v>
      </c>
      <c r="H1" s="1205" t="s">
        <v>4533</v>
      </c>
      <c r="I1" s="1205" t="s">
        <v>4465</v>
      </c>
      <c r="J1" s="1205" t="s">
        <v>4442</v>
      </c>
      <c r="K1" s="1205"/>
      <c r="L1" s="1205"/>
      <c r="M1" s="1207"/>
    </row>
    <row r="2" spans="1:13" s="458" customFormat="1" ht="61.5" customHeight="1" thickBot="1">
      <c r="A2" s="1209"/>
      <c r="B2" s="1206"/>
      <c r="C2" s="1206"/>
      <c r="D2" s="1206"/>
      <c r="E2" s="1206"/>
      <c r="F2" s="1206"/>
      <c r="G2" s="1206"/>
      <c r="H2" s="1206"/>
      <c r="I2" s="1206"/>
      <c r="J2" s="992" t="s">
        <v>4199</v>
      </c>
      <c r="K2" s="992" t="s">
        <v>4443</v>
      </c>
      <c r="L2" s="992" t="s">
        <v>1250</v>
      </c>
      <c r="M2" s="993" t="s">
        <v>4463</v>
      </c>
    </row>
    <row r="3" spans="1:13" ht="15" thickBot="1">
      <c r="A3" s="1202" t="s">
        <v>4481</v>
      </c>
      <c r="B3" s="1203"/>
      <c r="C3" s="1203"/>
      <c r="D3" s="1203"/>
      <c r="E3" s="1203"/>
      <c r="F3" s="1203"/>
      <c r="G3" s="1203"/>
      <c r="H3" s="1203"/>
      <c r="I3" s="1203"/>
      <c r="J3" s="1203"/>
      <c r="K3" s="1203"/>
      <c r="L3" s="1203"/>
      <c r="M3" s="1204"/>
    </row>
    <row r="4" spans="1:13" ht="75.95" customHeight="1" thickBot="1">
      <c r="A4" s="1045" t="s">
        <v>4482</v>
      </c>
      <c r="B4" s="1044" t="s">
        <v>4771</v>
      </c>
      <c r="C4" s="1044" t="s">
        <v>4733</v>
      </c>
      <c r="D4" s="1043" t="s">
        <v>4772</v>
      </c>
      <c r="E4" s="1044" t="s">
        <v>4734</v>
      </c>
      <c r="F4" s="1044" t="s">
        <v>4735</v>
      </c>
      <c r="G4" s="1046" t="s">
        <v>4736</v>
      </c>
      <c r="H4" s="1044" t="s">
        <v>4737</v>
      </c>
      <c r="I4" s="1044" t="s">
        <v>4738</v>
      </c>
      <c r="J4" s="1046"/>
      <c r="K4" s="1046"/>
      <c r="L4" s="1046"/>
      <c r="M4" s="1046"/>
    </row>
    <row r="5" spans="1:13" ht="66" customHeight="1" thickBot="1">
      <c r="A5" s="1045" t="s">
        <v>4493</v>
      </c>
      <c r="B5" s="1044" t="s">
        <v>4773</v>
      </c>
      <c r="C5" s="1044" t="s">
        <v>4739</v>
      </c>
      <c r="D5" s="1043" t="s">
        <v>4774</v>
      </c>
      <c r="E5" s="1044" t="s">
        <v>4734</v>
      </c>
      <c r="F5" s="1044" t="s">
        <v>4740</v>
      </c>
      <c r="G5" s="1046" t="s">
        <v>4736</v>
      </c>
      <c r="H5" s="1044" t="s">
        <v>4741</v>
      </c>
      <c r="I5" s="1044"/>
      <c r="J5" s="1046"/>
      <c r="K5" s="1046"/>
      <c r="L5" s="1046"/>
      <c r="M5" s="1046"/>
    </row>
    <row r="6" spans="1:13" ht="72.599999999999994" customHeight="1" thickBot="1">
      <c r="A6" s="1045" t="s">
        <v>4497</v>
      </c>
      <c r="B6" s="1044" t="s">
        <v>4775</v>
      </c>
      <c r="C6" s="1044" t="s">
        <v>4742</v>
      </c>
      <c r="D6" s="1043" t="s">
        <v>4776</v>
      </c>
      <c r="E6" s="1044" t="s">
        <v>4734</v>
      </c>
      <c r="F6" s="1044" t="s">
        <v>4735</v>
      </c>
      <c r="G6" s="1047">
        <v>1</v>
      </c>
      <c r="H6" s="1044" t="s">
        <v>4743</v>
      </c>
      <c r="I6" s="1044" t="s">
        <v>4744</v>
      </c>
      <c r="J6" s="1046"/>
      <c r="K6" s="1046"/>
      <c r="L6" s="1046"/>
      <c r="M6" s="1046"/>
    </row>
    <row r="7" spans="1:13" ht="15" thickBot="1">
      <c r="A7" s="1202" t="s">
        <v>4518</v>
      </c>
      <c r="B7" s="1203"/>
      <c r="C7" s="1203"/>
      <c r="D7" s="1203"/>
      <c r="E7" s="1203"/>
      <c r="F7" s="1203"/>
      <c r="G7" s="1203"/>
      <c r="H7" s="1203"/>
      <c r="I7" s="1203"/>
      <c r="J7" s="1203"/>
      <c r="K7" s="1203"/>
      <c r="L7" s="1203"/>
      <c r="M7" s="1204"/>
    </row>
    <row r="8" spans="1:13" ht="60" customHeight="1" thickBot="1">
      <c r="A8" s="1048" t="s">
        <v>4519</v>
      </c>
      <c r="B8" s="1044" t="s">
        <v>4777</v>
      </c>
      <c r="C8" s="1044"/>
      <c r="D8" s="1044" t="s">
        <v>4778</v>
      </c>
      <c r="E8" s="1044" t="s">
        <v>4745</v>
      </c>
      <c r="F8" s="1044" t="s">
        <v>4746</v>
      </c>
      <c r="G8" s="1047">
        <v>1</v>
      </c>
      <c r="H8" s="1044" t="s">
        <v>4747</v>
      </c>
      <c r="I8" s="1044" t="s">
        <v>4748</v>
      </c>
      <c r="J8" s="1046"/>
      <c r="K8" s="1046"/>
      <c r="L8" s="1046"/>
      <c r="M8" s="1046"/>
    </row>
    <row r="9" spans="1:13" ht="29.25" thickBot="1">
      <c r="A9" s="1045" t="s">
        <v>4521</v>
      </c>
      <c r="B9" s="1044" t="s">
        <v>4779</v>
      </c>
      <c r="C9" s="1044" t="s">
        <v>4749</v>
      </c>
      <c r="D9" s="1043" t="s">
        <v>4770</v>
      </c>
      <c r="E9" s="1044" t="s">
        <v>4745</v>
      </c>
      <c r="F9" s="1044" t="s">
        <v>4746</v>
      </c>
      <c r="G9" s="1047">
        <v>1</v>
      </c>
      <c r="H9" s="1044" t="s">
        <v>4747</v>
      </c>
      <c r="I9" s="1044" t="s">
        <v>4750</v>
      </c>
      <c r="J9" s="1046"/>
      <c r="K9" s="1046"/>
      <c r="L9" s="1046"/>
      <c r="M9" s="1046"/>
    </row>
    <row r="10" spans="1:13" ht="44.1" customHeight="1">
      <c r="A10" s="1048" t="s">
        <v>4522</v>
      </c>
      <c r="B10" s="1044" t="s">
        <v>4780</v>
      </c>
      <c r="C10" s="1044" t="s">
        <v>4739</v>
      </c>
      <c r="D10" s="1049" t="s">
        <v>4796</v>
      </c>
      <c r="E10" s="1044" t="s">
        <v>4745</v>
      </c>
      <c r="F10" s="1044" t="s">
        <v>4746</v>
      </c>
      <c r="G10" s="1047">
        <v>1</v>
      </c>
      <c r="H10" s="1044" t="s">
        <v>4751</v>
      </c>
      <c r="I10" s="1044"/>
      <c r="J10" s="1046"/>
      <c r="K10" s="1046"/>
      <c r="L10" s="1046"/>
      <c r="M10" s="1046"/>
    </row>
    <row r="11" spans="1:13" ht="43.5" thickBot="1">
      <c r="A11" s="1050" t="s">
        <v>4528</v>
      </c>
      <c r="B11" s="1051" t="s">
        <v>4781</v>
      </c>
      <c r="C11" s="1051" t="s">
        <v>4752</v>
      </c>
      <c r="D11" s="1051" t="s">
        <v>4782</v>
      </c>
      <c r="E11" s="1051" t="s">
        <v>4745</v>
      </c>
      <c r="F11" s="1051" t="s">
        <v>4746</v>
      </c>
      <c r="G11" s="1052">
        <v>1</v>
      </c>
      <c r="H11" s="1051" t="s">
        <v>4751</v>
      </c>
      <c r="I11" s="1051"/>
      <c r="J11" s="1053"/>
      <c r="K11" s="1053"/>
      <c r="L11" s="1053"/>
      <c r="M11" s="1053"/>
    </row>
    <row r="12" spans="1:13" ht="57.75" thickBot="1">
      <c r="A12" s="1048" t="s">
        <v>4684</v>
      </c>
      <c r="B12" s="1044" t="s">
        <v>4783</v>
      </c>
      <c r="C12" s="1044" t="s">
        <v>4784</v>
      </c>
      <c r="D12" s="1054" t="s">
        <v>4785</v>
      </c>
      <c r="E12" s="1044" t="s">
        <v>4753</v>
      </c>
      <c r="F12" s="1044" t="s">
        <v>4746</v>
      </c>
      <c r="G12" s="1047">
        <v>1</v>
      </c>
      <c r="H12" s="1044" t="s">
        <v>4754</v>
      </c>
      <c r="I12" s="1044"/>
      <c r="J12" s="1046"/>
      <c r="K12" s="1046"/>
      <c r="L12" s="1046"/>
      <c r="M12" s="1046"/>
    </row>
    <row r="13" spans="1:13" ht="43.5" thickBot="1">
      <c r="A13" s="1055" t="s">
        <v>4685</v>
      </c>
      <c r="B13" s="1044" t="s">
        <v>4786</v>
      </c>
      <c r="C13" s="1044" t="s">
        <v>4787</v>
      </c>
      <c r="D13" s="1043" t="s">
        <v>4788</v>
      </c>
      <c r="E13" s="1044" t="s">
        <v>4755</v>
      </c>
      <c r="F13" s="1044" t="s">
        <v>4746</v>
      </c>
      <c r="G13" s="1047">
        <v>1</v>
      </c>
      <c r="H13" s="1044" t="s">
        <v>4754</v>
      </c>
      <c r="I13" s="1044"/>
      <c r="J13" s="1046"/>
      <c r="K13" s="1046"/>
      <c r="L13" s="1046"/>
      <c r="M13" s="1046"/>
    </row>
    <row r="14" spans="1:13" ht="15" thickBot="1">
      <c r="A14" s="1202" t="s">
        <v>4550</v>
      </c>
      <c r="B14" s="1203"/>
      <c r="C14" s="1203"/>
      <c r="D14" s="1203"/>
      <c r="E14" s="1203"/>
      <c r="F14" s="1203"/>
      <c r="G14" s="1203"/>
      <c r="H14" s="1203"/>
      <c r="I14" s="1203"/>
      <c r="J14" s="1203"/>
      <c r="K14" s="1203"/>
      <c r="L14" s="1203"/>
      <c r="M14" s="1204"/>
    </row>
    <row r="15" spans="1:13" ht="29.25" thickBot="1">
      <c r="A15" s="1050" t="s">
        <v>4551</v>
      </c>
      <c r="B15" s="1051" t="s">
        <v>4789</v>
      </c>
      <c r="C15" s="1051" t="s">
        <v>4756</v>
      </c>
      <c r="D15" s="1051" t="s">
        <v>4790</v>
      </c>
      <c r="E15" s="1051" t="s">
        <v>4757</v>
      </c>
      <c r="F15" s="1051" t="s">
        <v>4758</v>
      </c>
      <c r="G15" s="1053"/>
      <c r="H15" s="1051" t="s">
        <v>4754</v>
      </c>
      <c r="I15" s="1051" t="s">
        <v>4759</v>
      </c>
      <c r="J15" s="1053"/>
      <c r="K15" s="1053"/>
      <c r="L15" s="1053"/>
      <c r="M15" s="1053"/>
    </row>
    <row r="16" spans="1:13" ht="29.25" thickBot="1">
      <c r="A16" s="1050" t="s">
        <v>4558</v>
      </c>
      <c r="B16" s="1051" t="s">
        <v>4791</v>
      </c>
      <c r="C16" s="1051" t="s">
        <v>4760</v>
      </c>
      <c r="D16" s="1051" t="s">
        <v>4792</v>
      </c>
      <c r="E16" s="1051" t="s">
        <v>4757</v>
      </c>
      <c r="F16" s="1051" t="s">
        <v>4758</v>
      </c>
      <c r="G16" s="1053"/>
      <c r="H16" s="1051" t="s">
        <v>4754</v>
      </c>
      <c r="I16" s="1051" t="s">
        <v>4761</v>
      </c>
      <c r="J16" s="1053"/>
      <c r="K16" s="1053"/>
      <c r="L16" s="1053"/>
      <c r="M16" s="1053"/>
    </row>
    <row r="17" spans="1:13" ht="39.6" customHeight="1">
      <c r="A17" s="1045" t="s">
        <v>4762</v>
      </c>
      <c r="B17" s="1044" t="s">
        <v>4793</v>
      </c>
      <c r="C17" s="1044" t="s">
        <v>4763</v>
      </c>
      <c r="D17" s="1043" t="s">
        <v>4794</v>
      </c>
      <c r="E17" s="1044" t="s">
        <v>4764</v>
      </c>
      <c r="F17" s="1044" t="s">
        <v>4758</v>
      </c>
      <c r="G17" s="1046"/>
      <c r="H17" s="1044" t="s">
        <v>4754</v>
      </c>
      <c r="I17" s="1044" t="s">
        <v>4795</v>
      </c>
      <c r="J17" s="1046"/>
      <c r="K17" s="1046"/>
      <c r="L17" s="1046"/>
      <c r="M17" s="1046"/>
    </row>
    <row r="18" spans="1:13" ht="46.5" customHeight="1">
      <c r="A18" s="1227" t="s">
        <v>4563</v>
      </c>
      <c r="B18" s="1228"/>
      <c r="C18" s="1228"/>
      <c r="D18" s="1228"/>
      <c r="E18" s="1228"/>
      <c r="F18" s="1228"/>
      <c r="G18" s="1228"/>
      <c r="H18" s="1228"/>
      <c r="I18" s="1228"/>
      <c r="J18" s="1228"/>
      <c r="K18" s="1228"/>
      <c r="L18" s="1228"/>
      <c r="M18" s="1229"/>
    </row>
    <row r="19" spans="1:13" ht="51" customHeight="1" thickBot="1">
      <c r="A19" s="1247" t="s">
        <v>4564</v>
      </c>
      <c r="B19" s="1248"/>
      <c r="C19" s="1248"/>
      <c r="D19" s="1248"/>
      <c r="E19" s="1248"/>
      <c r="F19" s="1248"/>
      <c r="G19" s="1248"/>
      <c r="H19" s="1248"/>
      <c r="I19" s="1248"/>
      <c r="J19" s="1248"/>
      <c r="K19" s="1248"/>
      <c r="L19" s="1248"/>
      <c r="M19" s="1249"/>
    </row>
  </sheetData>
  <mergeCells count="15">
    <mergeCell ref="G1:G2"/>
    <mergeCell ref="H1:H2"/>
    <mergeCell ref="I1:I2"/>
    <mergeCell ref="J1:M1"/>
    <mergeCell ref="A1:A2"/>
    <mergeCell ref="B1:B2"/>
    <mergeCell ref="C1:C2"/>
    <mergeCell ref="D1:D2"/>
    <mergeCell ref="E1:E2"/>
    <mergeCell ref="F1:F2"/>
    <mergeCell ref="A19:M19"/>
    <mergeCell ref="A18:M18"/>
    <mergeCell ref="A14:M14"/>
    <mergeCell ref="A7:M7"/>
    <mergeCell ref="A3:M3"/>
  </mergeCells>
  <phoneticPr fontId="164" type="noConversion"/>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4025-D2F5-484F-B6F5-404C050B3312}">
  <sheetPr codeName="Sheet66">
    <tabColor theme="0" tint="-0.34998626667073579"/>
  </sheetPr>
  <dimension ref="A1:H8"/>
  <sheetViews>
    <sheetView zoomScale="85" zoomScaleNormal="85" workbookViewId="0">
      <selection activeCell="D3" sqref="D3"/>
    </sheetView>
  </sheetViews>
  <sheetFormatPr defaultColWidth="32.5703125" defaultRowHeight="15.75"/>
  <cols>
    <col min="1" max="1" width="8.85546875" style="33" customWidth="1"/>
    <col min="2" max="2" width="28.85546875" bestFit="1" customWidth="1"/>
    <col min="3" max="3" width="19" bestFit="1" customWidth="1"/>
    <col min="4" max="4" width="31.28515625" bestFit="1" customWidth="1"/>
    <col min="5" max="5" width="71.5703125" style="117" bestFit="1" customWidth="1"/>
    <col min="6" max="6" width="67" bestFit="1" customWidth="1"/>
    <col min="7" max="7" width="64.5703125" customWidth="1"/>
    <col min="8" max="8" width="82.140625" customWidth="1"/>
  </cols>
  <sheetData>
    <row r="1" spans="1:8" s="33" customFormat="1" ht="30" customHeight="1">
      <c r="A1" s="599" t="s">
        <v>4565</v>
      </c>
      <c r="B1" s="599" t="s">
        <v>4566</v>
      </c>
      <c r="C1" s="599" t="s">
        <v>4567</v>
      </c>
      <c r="D1" s="599" t="s">
        <v>4568</v>
      </c>
      <c r="E1" s="599"/>
    </row>
    <row r="2" spans="1:8" ht="110.25">
      <c r="A2" s="616">
        <v>1</v>
      </c>
      <c r="B2" s="107" t="s">
        <v>4569</v>
      </c>
      <c r="C2" s="107" t="s">
        <v>4570</v>
      </c>
      <c r="D2" s="107" t="s">
        <v>4571</v>
      </c>
      <c r="E2" s="600" t="s">
        <v>4606</v>
      </c>
    </row>
    <row r="3" spans="1:8" ht="126">
      <c r="A3" s="974" t="s">
        <v>4589</v>
      </c>
      <c r="B3" s="107" t="s">
        <v>4572</v>
      </c>
      <c r="C3" s="107" t="s">
        <v>4597</v>
      </c>
      <c r="D3" s="107" t="s">
        <v>4573</v>
      </c>
      <c r="E3" s="146" t="s">
        <v>4607</v>
      </c>
      <c r="F3" s="146" t="s">
        <v>4605</v>
      </c>
      <c r="G3" s="600" t="s">
        <v>4601</v>
      </c>
      <c r="H3" s="146" t="s">
        <v>4602</v>
      </c>
    </row>
    <row r="4" spans="1:8" ht="267.75">
      <c r="A4" s="616">
        <v>2</v>
      </c>
      <c r="B4" s="107" t="s">
        <v>4574</v>
      </c>
      <c r="C4" s="107" t="s">
        <v>4575</v>
      </c>
      <c r="D4" s="107" t="s">
        <v>4576</v>
      </c>
      <c r="E4" s="600" t="s">
        <v>4603</v>
      </c>
    </row>
    <row r="5" spans="1:8" ht="252">
      <c r="A5" s="616">
        <v>3</v>
      </c>
      <c r="B5" s="107" t="s">
        <v>4577</v>
      </c>
      <c r="C5" s="107" t="s">
        <v>4578</v>
      </c>
      <c r="D5" s="107" t="s">
        <v>4579</v>
      </c>
      <c r="E5" s="600" t="s">
        <v>4598</v>
      </c>
    </row>
    <row r="6" spans="1:8" ht="252">
      <c r="A6" s="616">
        <v>4</v>
      </c>
      <c r="B6" s="107" t="s">
        <v>4580</v>
      </c>
      <c r="C6" s="107" t="s">
        <v>4581</v>
      </c>
      <c r="D6" s="107" t="s">
        <v>4582</v>
      </c>
      <c r="E6" s="600" t="s">
        <v>4599</v>
      </c>
    </row>
    <row r="7" spans="1:8" ht="252">
      <c r="A7" s="616">
        <v>5</v>
      </c>
      <c r="B7" s="107" t="s">
        <v>4583</v>
      </c>
      <c r="C7" s="107" t="s">
        <v>4584</v>
      </c>
      <c r="D7" s="107" t="s">
        <v>4585</v>
      </c>
      <c r="E7" s="600" t="s">
        <v>4604</v>
      </c>
    </row>
    <row r="8" spans="1:8" ht="204.75">
      <c r="A8" s="616">
        <v>6</v>
      </c>
      <c r="B8" s="107" t="s">
        <v>4586</v>
      </c>
      <c r="C8" s="107" t="s">
        <v>4587</v>
      </c>
      <c r="D8" s="107" t="s">
        <v>4588</v>
      </c>
      <c r="E8" s="600" t="s">
        <v>4600</v>
      </c>
    </row>
  </sheetData>
  <phoneticPr fontId="164" type="noConversion"/>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4621AA-BADD-4401-A030-515593B941F9}">
  <sheetPr codeName="Sheet65"/>
  <dimension ref="C1:Z19"/>
  <sheetViews>
    <sheetView topLeftCell="B6" zoomScale="85" zoomScaleNormal="85" workbookViewId="0">
      <selection activeCell="H15" sqref="H15"/>
    </sheetView>
  </sheetViews>
  <sheetFormatPr defaultRowHeight="15.75"/>
  <cols>
    <col min="3" max="8" width="20.5703125" style="33" customWidth="1"/>
    <col min="9" max="9" width="16" style="33" customWidth="1"/>
    <col min="10" max="10" width="22.5703125" customWidth="1"/>
    <col min="13" max="13" width="27.85546875" customWidth="1"/>
    <col min="17" max="17" width="24.5703125" customWidth="1"/>
    <col min="22" max="22" width="25.5703125" customWidth="1"/>
  </cols>
  <sheetData>
    <row r="1" spans="3:26">
      <c r="F1" s="616"/>
    </row>
    <row r="2" spans="3:26">
      <c r="F2" s="616"/>
    </row>
    <row r="3" spans="3:26" ht="50.1" customHeight="1">
      <c r="C3" s="965" t="s">
        <v>4296</v>
      </c>
      <c r="D3" s="37" t="s">
        <v>4284</v>
      </c>
      <c r="E3" s="37" t="s">
        <v>4285</v>
      </c>
      <c r="F3" s="37" t="s">
        <v>4286</v>
      </c>
      <c r="G3" s="37" t="s">
        <v>4287</v>
      </c>
      <c r="H3" s="37" t="s">
        <v>4288</v>
      </c>
      <c r="I3" s="37" t="s">
        <v>4283</v>
      </c>
      <c r="J3" s="37" t="s">
        <v>4297</v>
      </c>
      <c r="L3" s="33" t="s">
        <v>4289</v>
      </c>
      <c r="M3" s="33" t="s">
        <v>4290</v>
      </c>
      <c r="N3" s="33"/>
    </row>
    <row r="4" spans="3:26" ht="50.1" customHeight="1">
      <c r="C4" s="971" t="s">
        <v>4274</v>
      </c>
      <c r="D4" s="971">
        <v>30</v>
      </c>
      <c r="E4" s="971">
        <v>25</v>
      </c>
      <c r="F4" s="971">
        <v>20</v>
      </c>
      <c r="G4" s="971">
        <v>15</v>
      </c>
      <c r="H4" s="971">
        <v>10</v>
      </c>
      <c r="I4" s="969">
        <f>SUM(D4:H4)</f>
        <v>100</v>
      </c>
      <c r="J4" s="967" t="s">
        <v>4380</v>
      </c>
      <c r="L4" s="33">
        <v>5</v>
      </c>
      <c r="M4" s="33" t="s">
        <v>4291</v>
      </c>
      <c r="N4" s="33"/>
    </row>
    <row r="5" spans="3:26" ht="50.1" customHeight="1">
      <c r="C5" s="620" t="s">
        <v>4275</v>
      </c>
      <c r="D5" s="966">
        <v>3</v>
      </c>
      <c r="E5" s="966">
        <v>5</v>
      </c>
      <c r="F5" s="966">
        <v>2</v>
      </c>
      <c r="G5" s="966">
        <v>2</v>
      </c>
      <c r="H5" s="966">
        <v>10</v>
      </c>
      <c r="I5" s="969" t="s">
        <v>31</v>
      </c>
      <c r="J5" s="967" t="s">
        <v>4380</v>
      </c>
      <c r="L5" s="33">
        <v>4</v>
      </c>
      <c r="M5" s="33" t="s">
        <v>4292</v>
      </c>
      <c r="N5" s="33"/>
    </row>
    <row r="6" spans="3:26" ht="50.1" customHeight="1">
      <c r="C6" s="620" t="s">
        <v>4276</v>
      </c>
      <c r="D6" s="968">
        <f>IFERROR(D4*D5/100,1)</f>
        <v>0.9</v>
      </c>
      <c r="E6" s="968">
        <f t="shared" ref="E6:H6" si="0">IFERROR(E4*E5/100,1)</f>
        <v>1.25</v>
      </c>
      <c r="F6" s="968">
        <f t="shared" si="0"/>
        <v>0.4</v>
      </c>
      <c r="G6" s="968">
        <f t="shared" si="0"/>
        <v>0.3</v>
      </c>
      <c r="H6" s="968">
        <f t="shared" si="0"/>
        <v>1</v>
      </c>
      <c r="I6" s="970">
        <f>ROUND(SUM(D6:H6),0)</f>
        <v>4</v>
      </c>
      <c r="J6" s="979" t="str">
        <f>IF(I6&gt;=3.5,"建議購買",IF(I6&gt;=2.5,"部分備品","不建議購買"))</f>
        <v>建議購買</v>
      </c>
      <c r="L6" s="33">
        <v>3</v>
      </c>
      <c r="M6" s="33" t="s">
        <v>4293</v>
      </c>
      <c r="N6" s="33"/>
    </row>
    <row r="7" spans="3:26" ht="50.1" customHeight="1">
      <c r="C7" s="620" t="s">
        <v>4277</v>
      </c>
      <c r="D7" s="620" t="s">
        <v>4278</v>
      </c>
      <c r="E7" s="620" t="s">
        <v>4279</v>
      </c>
      <c r="F7" s="620" t="s">
        <v>4280</v>
      </c>
      <c r="G7" s="620" t="s">
        <v>4281</v>
      </c>
      <c r="H7" s="620" t="s">
        <v>4282</v>
      </c>
      <c r="I7" s="620"/>
      <c r="J7" s="721"/>
      <c r="L7" s="33">
        <v>2</v>
      </c>
      <c r="M7" s="33" t="s">
        <v>4294</v>
      </c>
      <c r="N7" s="33"/>
    </row>
    <row r="8" spans="3:26">
      <c r="C8" s="616"/>
      <c r="D8" s="616"/>
      <c r="E8" s="616"/>
      <c r="F8" s="822"/>
      <c r="G8" s="616"/>
      <c r="L8" s="33">
        <v>1</v>
      </c>
      <c r="M8" s="33" t="s">
        <v>4295</v>
      </c>
      <c r="N8" s="33"/>
    </row>
    <row r="9" spans="3:26">
      <c r="C9" s="616"/>
      <c r="D9" s="616"/>
      <c r="E9" s="616"/>
      <c r="F9" s="822"/>
      <c r="G9" s="616"/>
    </row>
    <row r="10" spans="3:26">
      <c r="C10" s="599"/>
      <c r="D10" s="616"/>
      <c r="E10" s="616"/>
      <c r="F10" s="822"/>
      <c r="G10" s="616"/>
    </row>
    <row r="11" spans="3:26">
      <c r="C11" s="599"/>
      <c r="D11" s="616"/>
      <c r="E11" s="616"/>
      <c r="F11" s="822"/>
      <c r="G11" s="616"/>
    </row>
    <row r="13" spans="3:26" ht="47.25">
      <c r="D13" s="599" t="s">
        <v>4298</v>
      </c>
      <c r="E13" s="599" t="s">
        <v>4299</v>
      </c>
      <c r="F13" s="599" t="s">
        <v>4300</v>
      </c>
      <c r="G13" s="599" t="s">
        <v>4301</v>
      </c>
      <c r="I13" s="599" t="s">
        <v>4298</v>
      </c>
      <c r="J13" s="599" t="s">
        <v>4316</v>
      </c>
      <c r="K13" s="599" t="s">
        <v>4317</v>
      </c>
      <c r="M13" s="599" t="s">
        <v>4298</v>
      </c>
      <c r="N13" s="599" t="s">
        <v>4328</v>
      </c>
      <c r="O13" s="599" t="s">
        <v>4329</v>
      </c>
      <c r="P13" s="599" t="s">
        <v>4317</v>
      </c>
      <c r="R13" s="599" t="s">
        <v>4298</v>
      </c>
      <c r="S13" s="599" t="s">
        <v>4328</v>
      </c>
      <c r="T13" s="599" t="s">
        <v>4345</v>
      </c>
      <c r="U13" s="599" t="s">
        <v>4317</v>
      </c>
      <c r="W13" s="599" t="s">
        <v>4298</v>
      </c>
      <c r="X13" s="599" t="s">
        <v>4328</v>
      </c>
      <c r="Y13" s="599" t="s">
        <v>4359</v>
      </c>
      <c r="Z13" s="599" t="s">
        <v>4317</v>
      </c>
    </row>
    <row r="14" spans="3:26" ht="78.75">
      <c r="D14" s="913" t="s">
        <v>2494</v>
      </c>
      <c r="E14" s="107" t="s">
        <v>4302</v>
      </c>
      <c r="F14" s="107" t="s">
        <v>4303</v>
      </c>
      <c r="G14" s="107"/>
      <c r="I14" s="913" t="s">
        <v>4318</v>
      </c>
      <c r="J14" s="107" t="s">
        <v>4319</v>
      </c>
      <c r="K14" s="107">
        <v>5</v>
      </c>
      <c r="M14" s="913" t="s">
        <v>4330</v>
      </c>
      <c r="N14" s="107" t="s">
        <v>4331</v>
      </c>
      <c r="O14" s="107" t="s">
        <v>4332</v>
      </c>
      <c r="P14" s="107">
        <v>5</v>
      </c>
      <c r="R14" s="913" t="s">
        <v>4346</v>
      </c>
      <c r="S14" s="107" t="s">
        <v>4347</v>
      </c>
      <c r="T14" s="107" t="s">
        <v>4348</v>
      </c>
      <c r="U14" s="107" t="s">
        <v>4349</v>
      </c>
      <c r="W14" s="913" t="s">
        <v>4360</v>
      </c>
      <c r="X14" s="107" t="s">
        <v>4361</v>
      </c>
      <c r="Y14" s="107" t="s">
        <v>4362</v>
      </c>
      <c r="Z14" s="107">
        <v>5</v>
      </c>
    </row>
    <row r="15" spans="3:26" ht="78.75">
      <c r="D15" s="913" t="s">
        <v>4304</v>
      </c>
      <c r="E15" s="107" t="s">
        <v>4305</v>
      </c>
      <c r="F15" s="107" t="s">
        <v>4306</v>
      </c>
      <c r="G15" s="107"/>
      <c r="I15" s="913" t="s">
        <v>4320</v>
      </c>
      <c r="J15" s="107" t="s">
        <v>4321</v>
      </c>
      <c r="K15" s="107">
        <v>4</v>
      </c>
      <c r="M15" s="913" t="s">
        <v>4333</v>
      </c>
      <c r="N15" s="107" t="s">
        <v>4334</v>
      </c>
      <c r="O15" s="107" t="s">
        <v>4335</v>
      </c>
      <c r="P15" s="107">
        <v>4</v>
      </c>
      <c r="R15" s="913" t="s">
        <v>4350</v>
      </c>
      <c r="S15" s="107" t="s">
        <v>4351</v>
      </c>
      <c r="T15" s="107"/>
      <c r="U15" s="107">
        <v>2</v>
      </c>
      <c r="W15" s="913" t="s">
        <v>4363</v>
      </c>
      <c r="X15" s="107" t="s">
        <v>4364</v>
      </c>
      <c r="Y15" s="107" t="s">
        <v>4365</v>
      </c>
      <c r="Z15" s="107">
        <v>4</v>
      </c>
    </row>
    <row r="16" spans="3:26" ht="63">
      <c r="D16" s="913" t="s">
        <v>4307</v>
      </c>
      <c r="E16" s="107" t="s">
        <v>4308</v>
      </c>
      <c r="F16" s="107" t="s">
        <v>4309</v>
      </c>
      <c r="G16" s="107"/>
      <c r="I16" s="913" t="s">
        <v>4322</v>
      </c>
      <c r="J16" s="107" t="s">
        <v>4323</v>
      </c>
      <c r="K16" s="107">
        <v>3</v>
      </c>
      <c r="M16" s="913" t="s">
        <v>4336</v>
      </c>
      <c r="N16" s="107" t="s">
        <v>4337</v>
      </c>
      <c r="O16" s="107" t="s">
        <v>4338</v>
      </c>
      <c r="P16" s="107">
        <v>3</v>
      </c>
      <c r="R16" s="913" t="s">
        <v>4352</v>
      </c>
      <c r="S16" s="107" t="s">
        <v>4353</v>
      </c>
      <c r="T16" s="107"/>
      <c r="U16" s="107">
        <v>3</v>
      </c>
      <c r="W16" s="913" t="s">
        <v>4366</v>
      </c>
      <c r="X16" s="107" t="s">
        <v>4367</v>
      </c>
      <c r="Y16" s="107" t="s">
        <v>4368</v>
      </c>
      <c r="Z16" s="107">
        <v>3</v>
      </c>
    </row>
    <row r="17" spans="4:26" ht="47.25">
      <c r="D17" s="913" t="s">
        <v>4310</v>
      </c>
      <c r="E17" s="107" t="s">
        <v>4311</v>
      </c>
      <c r="F17" s="107" t="s">
        <v>4312</v>
      </c>
      <c r="G17" s="107"/>
      <c r="I17" s="913" t="s">
        <v>4324</v>
      </c>
      <c r="J17" s="107" t="s">
        <v>4325</v>
      </c>
      <c r="K17" s="107">
        <v>2</v>
      </c>
      <c r="M17" s="913" t="s">
        <v>4339</v>
      </c>
      <c r="N17" s="107" t="s">
        <v>4340</v>
      </c>
      <c r="O17" s="107" t="s">
        <v>4341</v>
      </c>
      <c r="P17" s="107">
        <v>2</v>
      </c>
      <c r="R17" s="913" t="s">
        <v>4354</v>
      </c>
      <c r="S17" s="107" t="s">
        <v>4355</v>
      </c>
      <c r="T17" s="107"/>
      <c r="U17" s="107">
        <v>4</v>
      </c>
      <c r="W17" s="913" t="s">
        <v>4369</v>
      </c>
      <c r="X17" s="107" t="s">
        <v>4370</v>
      </c>
      <c r="Y17" s="107" t="s">
        <v>4371</v>
      </c>
      <c r="Z17" s="107">
        <v>2</v>
      </c>
    </row>
    <row r="18" spans="4:26" ht="47.25">
      <c r="D18" s="913" t="s">
        <v>4313</v>
      </c>
      <c r="E18" s="107" t="s">
        <v>4314</v>
      </c>
      <c r="F18" s="107" t="s">
        <v>4315</v>
      </c>
      <c r="G18" s="107"/>
      <c r="I18" s="913" t="s">
        <v>4326</v>
      </c>
      <c r="J18" s="107" t="s">
        <v>4327</v>
      </c>
      <c r="K18" s="107">
        <v>1</v>
      </c>
      <c r="M18" s="913" t="s">
        <v>4342</v>
      </c>
      <c r="N18" s="107" t="s">
        <v>4343</v>
      </c>
      <c r="O18" s="107" t="s">
        <v>4344</v>
      </c>
      <c r="P18" s="107">
        <v>1</v>
      </c>
      <c r="R18" s="913" t="s">
        <v>4356</v>
      </c>
      <c r="S18" s="107" t="s">
        <v>4357</v>
      </c>
      <c r="T18" s="107"/>
      <c r="U18" s="107" t="s">
        <v>4358</v>
      </c>
      <c r="W18" s="913" t="s">
        <v>4372</v>
      </c>
      <c r="X18" s="107" t="s">
        <v>4373</v>
      </c>
      <c r="Y18" s="107" t="s">
        <v>4374</v>
      </c>
      <c r="Z18" s="107">
        <v>1</v>
      </c>
    </row>
    <row r="19" spans="4:26">
      <c r="D19" s="914" t="s">
        <v>4379</v>
      </c>
      <c r="I19" t="s">
        <v>4375</v>
      </c>
      <c r="J19" s="33"/>
      <c r="K19" s="33"/>
      <c r="L19" s="33"/>
      <c r="M19" s="33"/>
      <c r="N19" t="s">
        <v>4376</v>
      </c>
      <c r="R19" t="s">
        <v>4377</v>
      </c>
      <c r="W19" t="s">
        <v>4378</v>
      </c>
    </row>
  </sheetData>
  <phoneticPr fontId="164" type="noConversion"/>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1B8F4-F0AE-4CA7-B490-B5209461365E}">
  <sheetPr codeName="Sheet29">
    <tabColor theme="6"/>
  </sheetPr>
  <dimension ref="A1:J21"/>
  <sheetViews>
    <sheetView topLeftCell="A2" zoomScaleNormal="100" workbookViewId="0">
      <selection activeCell="B29" sqref="B29"/>
    </sheetView>
  </sheetViews>
  <sheetFormatPr defaultRowHeight="15.75" outlineLevelRow="1"/>
  <cols>
    <col min="1" max="1" width="6.5703125" style="33" bestFit="1" customWidth="1"/>
    <col min="2" max="2" width="34.42578125" style="40" customWidth="1"/>
    <col min="3" max="3" width="80.7109375" style="40" bestFit="1" customWidth="1"/>
    <col min="4" max="4" width="8.7109375" style="39" bestFit="1" customWidth="1"/>
    <col min="5" max="5" width="11.7109375" style="39" bestFit="1" customWidth="1"/>
    <col min="6" max="6" width="24.5703125" style="39" bestFit="1" customWidth="1"/>
    <col min="7" max="7" width="24.5703125" style="39" customWidth="1"/>
    <col min="8" max="8" width="24.28515625" style="2" bestFit="1" customWidth="1"/>
    <col min="9" max="9" width="20.42578125" style="2" customWidth="1"/>
  </cols>
  <sheetData>
    <row r="1" spans="1:10" ht="180" hidden="1" customHeight="1" outlineLevel="1"/>
    <row r="2" spans="1:10" s="1" customFormat="1" ht="31.5" collapsed="1">
      <c r="A2" s="37" t="s">
        <v>0</v>
      </c>
      <c r="B2" s="37" t="s">
        <v>314</v>
      </c>
      <c r="C2" s="38" t="s">
        <v>315</v>
      </c>
      <c r="D2" s="38" t="s">
        <v>316</v>
      </c>
      <c r="E2" s="38" t="s">
        <v>59</v>
      </c>
      <c r="F2" s="38" t="s">
        <v>27</v>
      </c>
      <c r="G2"/>
    </row>
    <row r="3" spans="1:10">
      <c r="A3" s="32">
        <f>ROW()-2</f>
        <v>1</v>
      </c>
      <c r="B3" s="35" t="s">
        <v>606</v>
      </c>
      <c r="C3" s="57" t="s">
        <v>92</v>
      </c>
      <c r="D3" s="52">
        <v>6</v>
      </c>
      <c r="E3" s="31" t="s">
        <v>67</v>
      </c>
      <c r="F3" s="31" t="s">
        <v>73</v>
      </c>
      <c r="G3"/>
    </row>
    <row r="4" spans="1:10">
      <c r="G4"/>
      <c r="H4" s="46"/>
      <c r="I4" s="34" t="s">
        <v>322</v>
      </c>
    </row>
    <row r="5" spans="1:10">
      <c r="G5"/>
      <c r="H5" s="44" t="s">
        <v>73</v>
      </c>
      <c r="I5" s="45">
        <f t="shared" ref="I5:I10" si="0">COUNTIF($F$3:$F$939,H5)</f>
        <v>1</v>
      </c>
      <c r="J5" s="1160">
        <f>SUM(I5:I6)</f>
        <v>1</v>
      </c>
    </row>
    <row r="6" spans="1:10">
      <c r="G6"/>
      <c r="H6" s="44" t="s">
        <v>49</v>
      </c>
      <c r="I6" s="45">
        <f t="shared" si="0"/>
        <v>0</v>
      </c>
      <c r="J6" s="1160"/>
    </row>
    <row r="7" spans="1:10">
      <c r="G7"/>
      <c r="H7" s="44" t="s">
        <v>241</v>
      </c>
      <c r="I7" s="45">
        <f t="shared" si="0"/>
        <v>0</v>
      </c>
      <c r="J7" s="51"/>
    </row>
    <row r="8" spans="1:10">
      <c r="G8"/>
      <c r="H8" s="44" t="s">
        <v>331</v>
      </c>
      <c r="I8" s="45">
        <f t="shared" si="0"/>
        <v>0</v>
      </c>
      <c r="J8" s="51"/>
    </row>
    <row r="9" spans="1:10">
      <c r="G9"/>
      <c r="H9" s="44" t="s">
        <v>213</v>
      </c>
      <c r="I9" s="45">
        <f t="shared" si="0"/>
        <v>0</v>
      </c>
      <c r="J9" s="51"/>
    </row>
    <row r="10" spans="1:10">
      <c r="G10"/>
      <c r="H10" s="44" t="s">
        <v>336</v>
      </c>
      <c r="I10" s="45">
        <f t="shared" si="0"/>
        <v>0</v>
      </c>
      <c r="J10" s="2"/>
    </row>
    <row r="11" spans="1:10">
      <c r="G11"/>
      <c r="H11" s="2" t="s">
        <v>304</v>
      </c>
      <c r="I11" s="2">
        <f>SUM(I5:I10)</f>
        <v>1</v>
      </c>
      <c r="J11" s="51"/>
    </row>
    <row r="12" spans="1:10">
      <c r="G12"/>
      <c r="H12" s="2" t="s">
        <v>310</v>
      </c>
      <c r="I12" s="2">
        <f>COUNTIF(E:E,"v")</f>
        <v>1</v>
      </c>
      <c r="J12" s="51"/>
    </row>
    <row r="13" spans="1:10">
      <c r="G13"/>
      <c r="H13" s="2" t="s">
        <v>343</v>
      </c>
      <c r="I13" s="59">
        <f>SUM(I12/I11)</f>
        <v>1</v>
      </c>
      <c r="J13" s="51"/>
    </row>
    <row r="14" spans="1:10">
      <c r="G14"/>
      <c r="H14" s="2" t="s">
        <v>313</v>
      </c>
      <c r="I14" s="59" cm="1">
        <f t="array" ref="I14">SUM(I5:I6/I11)</f>
        <v>1</v>
      </c>
      <c r="J14" s="51"/>
    </row>
    <row r="20" spans="8:9">
      <c r="H20" s="33" t="s">
        <v>348</v>
      </c>
      <c r="I20" s="130">
        <v>45569</v>
      </c>
    </row>
    <row r="21" spans="8:9">
      <c r="I21" s="131" t="s">
        <v>522</v>
      </c>
    </row>
  </sheetData>
  <mergeCells count="1">
    <mergeCell ref="J5:J6"/>
  </mergeCells>
  <phoneticPr fontId="164" type="noConversion"/>
  <conditionalFormatting sqref="A3:F3">
    <cfRule type="expression" dxfId="72" priority="1">
      <formula>($F3)="Approved"</formula>
    </cfRule>
    <cfRule type="expression" dxfId="71" priority="2">
      <formula>($F3)="Approved with comments"</formula>
    </cfRule>
    <cfRule type="expression" dxfId="70" priority="3">
      <formula>($F3)="Pending"</formula>
    </cfRule>
    <cfRule type="expression" dxfId="69" priority="4">
      <formula>$F3="Rejected"</formula>
    </cfRule>
    <cfRule type="expression" dxfId="68" priority="5">
      <formula>$F3="Revise &amp; Resubmit"</formula>
    </cfRule>
  </conditionalFormatting>
  <conditionalFormatting sqref="B1:B1048576">
    <cfRule type="duplicateValues" dxfId="67" priority="6"/>
  </conditionalFormatting>
  <dataValidations count="1">
    <dataValidation type="list" allowBlank="1" showInputMessage="1" showErrorMessage="1" sqref="F3" xr:uid="{C13C11CB-2043-43BB-9ACD-FE871428FACA}">
      <formula1>#REF!</formula1>
    </dataValidation>
  </dataValidations>
  <pageMargins left="0.7" right="0.7" top="0.75" bottom="0.75" header="0.3" footer="0.3"/>
  <drawing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EF0A9-2972-46E5-AB84-0138FF4A2BE7}">
  <sheetPr codeName="Sheet25">
    <tabColor theme="6"/>
  </sheetPr>
  <dimension ref="A1:J18"/>
  <sheetViews>
    <sheetView workbookViewId="0">
      <pane xSplit="2" ySplit="2" topLeftCell="C3" activePane="bottomRight" state="frozen"/>
      <selection activeCell="B29" sqref="B29"/>
      <selection pane="topRight" activeCell="B29" sqref="B29"/>
      <selection pane="bottomLeft" activeCell="B29" sqref="B29"/>
      <selection pane="bottomRight" activeCell="B29" sqref="B29"/>
    </sheetView>
  </sheetViews>
  <sheetFormatPr defaultRowHeight="15.75" outlineLevelRow="1"/>
  <cols>
    <col min="1" max="1" width="6.5703125" style="33" bestFit="1" customWidth="1"/>
    <col min="2" max="2" width="34.42578125" style="40" customWidth="1"/>
    <col min="3" max="3" width="80.7109375" style="40" bestFit="1" customWidth="1"/>
    <col min="4" max="4" width="8.7109375" style="39" bestFit="1" customWidth="1"/>
    <col min="5" max="5" width="11.7109375" style="39" bestFit="1" customWidth="1"/>
    <col min="6" max="6" width="24.5703125" style="39" bestFit="1" customWidth="1"/>
    <col min="7" max="7" width="24.5703125" style="39" customWidth="1"/>
    <col min="8" max="8" width="24.28515625" style="2" bestFit="1" customWidth="1"/>
    <col min="9" max="9" width="20.42578125" style="2" customWidth="1"/>
  </cols>
  <sheetData>
    <row r="1" spans="1:10" ht="180" hidden="1" customHeight="1" outlineLevel="1"/>
    <row r="2" spans="1:10" s="1" customFormat="1" ht="31.5" collapsed="1">
      <c r="A2" s="37" t="s">
        <v>0</v>
      </c>
      <c r="B2" s="37" t="s">
        <v>314</v>
      </c>
      <c r="C2" s="38" t="s">
        <v>315</v>
      </c>
      <c r="D2" s="38" t="s">
        <v>316</v>
      </c>
      <c r="E2" s="38" t="s">
        <v>59</v>
      </c>
      <c r="F2" s="38" t="s">
        <v>27</v>
      </c>
      <c r="G2"/>
    </row>
    <row r="3" spans="1:10">
      <c r="A3" s="32">
        <f>ROW()-2</f>
        <v>1</v>
      </c>
      <c r="B3" s="35" t="s">
        <v>516</v>
      </c>
      <c r="C3" s="57" t="s">
        <v>517</v>
      </c>
      <c r="D3" s="52">
        <v>5</v>
      </c>
      <c r="E3" s="31" t="str">
        <f>IF(F3="No submit","No submit","v")</f>
        <v>v</v>
      </c>
      <c r="F3" s="31" t="s">
        <v>73</v>
      </c>
      <c r="G3"/>
    </row>
    <row r="4" spans="1:10">
      <c r="A4" s="32">
        <f>ROW()-2</f>
        <v>2</v>
      </c>
      <c r="B4" s="35" t="s">
        <v>518</v>
      </c>
      <c r="C4" s="57" t="s">
        <v>519</v>
      </c>
      <c r="D4" s="52">
        <v>8</v>
      </c>
      <c r="E4" s="31" t="str">
        <f>IF(F4="No submit","No submit","v")</f>
        <v>v</v>
      </c>
      <c r="F4" s="31" t="s">
        <v>73</v>
      </c>
      <c r="G4"/>
      <c r="H4" s="46"/>
      <c r="I4" s="34" t="s">
        <v>322</v>
      </c>
    </row>
    <row r="5" spans="1:10">
      <c r="A5" s="32">
        <f>ROW()-2</f>
        <v>3</v>
      </c>
      <c r="B5" s="35" t="s">
        <v>520</v>
      </c>
      <c r="C5" s="57" t="s">
        <v>521</v>
      </c>
      <c r="D5" s="52">
        <v>6</v>
      </c>
      <c r="E5" s="31" t="str">
        <f>IF(F5="No submit","No submit","v")</f>
        <v>v</v>
      </c>
      <c r="F5" s="31" t="s">
        <v>73</v>
      </c>
      <c r="G5"/>
      <c r="H5" s="44" t="s">
        <v>73</v>
      </c>
      <c r="I5" s="45">
        <f t="shared" ref="I5:I10" si="0">COUNTIF($F$3:$F$941,H5)</f>
        <v>3</v>
      </c>
      <c r="J5" s="1160">
        <f>SUM(I5:I6)</f>
        <v>3</v>
      </c>
    </row>
    <row r="6" spans="1:10">
      <c r="G6"/>
      <c r="H6" s="44" t="s">
        <v>49</v>
      </c>
      <c r="I6" s="45">
        <f t="shared" si="0"/>
        <v>0</v>
      </c>
      <c r="J6" s="1160"/>
    </row>
    <row r="7" spans="1:10">
      <c r="G7"/>
      <c r="H7" s="44" t="s">
        <v>241</v>
      </c>
      <c r="I7" s="45">
        <f t="shared" si="0"/>
        <v>0</v>
      </c>
      <c r="J7" s="51"/>
    </row>
    <row r="8" spans="1:10">
      <c r="G8"/>
      <c r="H8" s="44" t="s">
        <v>331</v>
      </c>
      <c r="I8" s="45">
        <f t="shared" si="0"/>
        <v>0</v>
      </c>
      <c r="J8" s="51"/>
    </row>
    <row r="9" spans="1:10">
      <c r="G9"/>
      <c r="H9" s="44" t="s">
        <v>213</v>
      </c>
      <c r="I9" s="45">
        <f t="shared" si="0"/>
        <v>0</v>
      </c>
      <c r="J9" s="51"/>
    </row>
    <row r="10" spans="1:10">
      <c r="G10"/>
      <c r="H10" s="44" t="s">
        <v>336</v>
      </c>
      <c r="I10" s="45">
        <f t="shared" si="0"/>
        <v>0</v>
      </c>
      <c r="J10" s="2"/>
    </row>
    <row r="11" spans="1:10">
      <c r="G11"/>
      <c r="H11" s="2" t="s">
        <v>304</v>
      </c>
      <c r="I11" s="2">
        <f>SUM(I5:I10)</f>
        <v>3</v>
      </c>
      <c r="J11" s="51"/>
    </row>
    <row r="12" spans="1:10">
      <c r="G12"/>
      <c r="H12" s="2" t="s">
        <v>310</v>
      </c>
      <c r="I12" s="2">
        <f>COUNTIF(E:E,"v")</f>
        <v>3</v>
      </c>
      <c r="J12" s="51"/>
    </row>
    <row r="13" spans="1:10">
      <c r="G13"/>
      <c r="H13" s="2" t="s">
        <v>343</v>
      </c>
      <c r="I13" s="59">
        <f>SUM(I12/I11)</f>
        <v>1</v>
      </c>
      <c r="J13" s="51"/>
    </row>
    <row r="14" spans="1:10">
      <c r="G14"/>
      <c r="H14" s="2" t="s">
        <v>313</v>
      </c>
      <c r="I14" s="59" cm="1">
        <f t="array" ref="I14">SUM(I5:I6/I11)</f>
        <v>1</v>
      </c>
      <c r="J14" s="51"/>
    </row>
    <row r="17" spans="8:9">
      <c r="H17" s="33" t="s">
        <v>348</v>
      </c>
      <c r="I17" s="130">
        <v>45569</v>
      </c>
    </row>
    <row r="18" spans="8:9">
      <c r="I18" s="131" t="s">
        <v>522</v>
      </c>
    </row>
  </sheetData>
  <mergeCells count="1">
    <mergeCell ref="J5:J6"/>
  </mergeCells>
  <phoneticPr fontId="164" type="noConversion"/>
  <conditionalFormatting sqref="A3:F5">
    <cfRule type="expression" dxfId="66" priority="1">
      <formula>($F3)="Approved"</formula>
    </cfRule>
    <cfRule type="expression" dxfId="65" priority="2">
      <formula>($F3)="Approved with comments"</formula>
    </cfRule>
    <cfRule type="expression" dxfId="64" priority="3">
      <formula>($F3)="Pending"</formula>
    </cfRule>
    <cfRule type="expression" dxfId="63" priority="4">
      <formula>$F3="Rejected"</formula>
    </cfRule>
    <cfRule type="expression" dxfId="62" priority="5">
      <formula>$F3="Revise &amp; Resubmit"</formula>
    </cfRule>
  </conditionalFormatting>
  <conditionalFormatting sqref="B1:B1048576">
    <cfRule type="duplicateValues" dxfId="61" priority="6"/>
  </conditionalFormatting>
  <dataValidations disablePrompts="1" count="1">
    <dataValidation type="list" allowBlank="1" showInputMessage="1" showErrorMessage="1" sqref="F3:F5" xr:uid="{85359A6B-0946-46DF-99C6-F35A9290B705}">
      <formula1>#REF!</formula1>
    </dataValidation>
  </dataValidations>
  <pageMargins left="0.7" right="0.7" top="0.75" bottom="0.75" header="0.3" footer="0.3"/>
  <drawing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C09D4-38CD-4E7E-90BE-701044E9C507}">
  <sheetPr codeName="Sheet241">
    <tabColor theme="6"/>
  </sheetPr>
  <dimension ref="A1:J17"/>
  <sheetViews>
    <sheetView zoomScale="115" zoomScaleNormal="115" workbookViewId="0">
      <pane xSplit="2" ySplit="2" topLeftCell="C3" activePane="bottomRight" state="frozen"/>
      <selection activeCell="B29" sqref="B29"/>
      <selection pane="topRight" activeCell="B29" sqref="B29"/>
      <selection pane="bottomLeft" activeCell="B29" sqref="B29"/>
      <selection pane="bottomRight" activeCell="B29" sqref="B29"/>
    </sheetView>
  </sheetViews>
  <sheetFormatPr defaultRowHeight="15.75" outlineLevelRow="1"/>
  <cols>
    <col min="1" max="1" width="6.5703125" style="33" bestFit="1" customWidth="1"/>
    <col min="2" max="2" width="34.42578125" style="40" customWidth="1"/>
    <col min="3" max="3" width="85.28515625" style="40" bestFit="1" customWidth="1"/>
    <col min="4" max="4" width="8.7109375" style="39" bestFit="1" customWidth="1"/>
    <col min="5" max="5" width="11.7109375" style="39" bestFit="1" customWidth="1"/>
    <col min="6" max="6" width="24.5703125" style="39" bestFit="1" customWidth="1"/>
    <col min="7" max="7" width="9.7109375" style="39" customWidth="1"/>
    <col min="8" max="8" width="24.28515625" style="2" bestFit="1" customWidth="1"/>
    <col min="9" max="9" width="20.42578125" style="2" customWidth="1"/>
  </cols>
  <sheetData>
    <row r="1" spans="1:10" ht="180" hidden="1" customHeight="1" outlineLevel="1"/>
    <row r="2" spans="1:10" s="1" customFormat="1" ht="31.5" collapsed="1">
      <c r="A2" s="37" t="s">
        <v>0</v>
      </c>
      <c r="B2" s="37" t="s">
        <v>314</v>
      </c>
      <c r="C2" s="38" t="s">
        <v>315</v>
      </c>
      <c r="D2" s="38" t="s">
        <v>316</v>
      </c>
      <c r="E2" s="38" t="s">
        <v>59</v>
      </c>
      <c r="F2" s="38" t="s">
        <v>27</v>
      </c>
      <c r="G2" s="42"/>
    </row>
    <row r="3" spans="1:10">
      <c r="A3" s="32">
        <f>ROW()-2</f>
        <v>1</v>
      </c>
      <c r="B3" s="35" t="s">
        <v>489</v>
      </c>
      <c r="C3" s="57" t="s">
        <v>490</v>
      </c>
      <c r="D3" s="52">
        <v>3</v>
      </c>
      <c r="E3" s="31" t="str">
        <f>IF(F3="No submit","No submit","v")</f>
        <v>v</v>
      </c>
      <c r="F3" s="31" t="s">
        <v>73</v>
      </c>
    </row>
    <row r="4" spans="1:10">
      <c r="A4" s="32">
        <f t="shared" ref="A4:A15" si="0">ROW()-2</f>
        <v>2</v>
      </c>
      <c r="B4" s="35" t="s">
        <v>491</v>
      </c>
      <c r="C4" s="57" t="s">
        <v>492</v>
      </c>
      <c r="D4" s="52">
        <v>7</v>
      </c>
      <c r="E4" s="31" t="str">
        <f>IF(F4="No submit","No submit","v")</f>
        <v>v</v>
      </c>
      <c r="F4" s="31" t="s">
        <v>73</v>
      </c>
      <c r="H4" s="46"/>
      <c r="I4" s="34" t="s">
        <v>322</v>
      </c>
    </row>
    <row r="5" spans="1:10">
      <c r="A5" s="32">
        <f t="shared" si="0"/>
        <v>3</v>
      </c>
      <c r="B5" s="35" t="s">
        <v>493</v>
      </c>
      <c r="C5" s="57" t="s">
        <v>494</v>
      </c>
      <c r="D5" s="52">
        <v>7</v>
      </c>
      <c r="E5" s="31" t="str">
        <f t="shared" ref="E5:E11" si="1">IF(F5="No submit","No submit","v")</f>
        <v>v</v>
      </c>
      <c r="F5" s="31" t="s">
        <v>73</v>
      </c>
      <c r="H5" s="44" t="s">
        <v>73</v>
      </c>
      <c r="I5" s="45">
        <f t="shared" ref="I5:I10" si="2">COUNTIF($F$3:$F$951,H5)</f>
        <v>12</v>
      </c>
      <c r="J5" s="1160">
        <f>SUM(I5:I6)</f>
        <v>13</v>
      </c>
    </row>
    <row r="6" spans="1:10">
      <c r="A6" s="32">
        <f t="shared" si="0"/>
        <v>4</v>
      </c>
      <c r="B6" s="35" t="s">
        <v>495</v>
      </c>
      <c r="C6" s="57" t="s">
        <v>496</v>
      </c>
      <c r="D6" s="52">
        <v>5</v>
      </c>
      <c r="E6" s="31" t="str">
        <f t="shared" si="1"/>
        <v>v</v>
      </c>
      <c r="F6" s="31" t="s">
        <v>73</v>
      </c>
      <c r="H6" s="44" t="s">
        <v>49</v>
      </c>
      <c r="I6" s="45">
        <f t="shared" si="2"/>
        <v>1</v>
      </c>
      <c r="J6" s="1160"/>
    </row>
    <row r="7" spans="1:10">
      <c r="A7" s="32">
        <f t="shared" si="0"/>
        <v>5</v>
      </c>
      <c r="B7" s="35" t="s">
        <v>497</v>
      </c>
      <c r="C7" s="57" t="s">
        <v>498</v>
      </c>
      <c r="D7" s="52">
        <v>4</v>
      </c>
      <c r="E7" s="31" t="str">
        <f t="shared" si="1"/>
        <v>v</v>
      </c>
      <c r="F7" s="31" t="s">
        <v>73</v>
      </c>
      <c r="H7" s="44" t="s">
        <v>241</v>
      </c>
      <c r="I7" s="45">
        <f t="shared" si="2"/>
        <v>0</v>
      </c>
      <c r="J7" s="51"/>
    </row>
    <row r="8" spans="1:10">
      <c r="A8" s="32">
        <f t="shared" si="0"/>
        <v>6</v>
      </c>
      <c r="B8" s="35" t="s">
        <v>499</v>
      </c>
      <c r="C8" s="57" t="s">
        <v>500</v>
      </c>
      <c r="D8" s="52">
        <v>4</v>
      </c>
      <c r="E8" s="31" t="str">
        <f t="shared" si="1"/>
        <v>v</v>
      </c>
      <c r="F8" s="31" t="s">
        <v>73</v>
      </c>
      <c r="H8" s="44" t="s">
        <v>331</v>
      </c>
      <c r="I8" s="45">
        <f t="shared" si="2"/>
        <v>0</v>
      </c>
      <c r="J8" s="51"/>
    </row>
    <row r="9" spans="1:10">
      <c r="A9" s="32">
        <f t="shared" si="0"/>
        <v>7</v>
      </c>
      <c r="B9" s="35" t="s">
        <v>501</v>
      </c>
      <c r="C9" s="57" t="s">
        <v>502</v>
      </c>
      <c r="D9" s="52">
        <v>6</v>
      </c>
      <c r="E9" s="31" t="str">
        <f t="shared" si="1"/>
        <v>v</v>
      </c>
      <c r="F9" s="31" t="s">
        <v>73</v>
      </c>
      <c r="H9" s="44" t="s">
        <v>213</v>
      </c>
      <c r="I9" s="45">
        <f t="shared" si="2"/>
        <v>0</v>
      </c>
      <c r="J9" s="51"/>
    </row>
    <row r="10" spans="1:10">
      <c r="A10" s="32">
        <f t="shared" si="0"/>
        <v>8</v>
      </c>
      <c r="B10" s="35" t="s">
        <v>503</v>
      </c>
      <c r="C10" s="57" t="s">
        <v>504</v>
      </c>
      <c r="D10" s="52">
        <v>2</v>
      </c>
      <c r="E10" s="31" t="str">
        <f t="shared" si="1"/>
        <v>v</v>
      </c>
      <c r="F10" s="31" t="s">
        <v>73</v>
      </c>
      <c r="H10" s="44" t="s">
        <v>336</v>
      </c>
      <c r="I10" s="45">
        <f t="shared" si="2"/>
        <v>0</v>
      </c>
      <c r="J10" s="2"/>
    </row>
    <row r="11" spans="1:10">
      <c r="A11" s="32">
        <f t="shared" si="0"/>
        <v>9</v>
      </c>
      <c r="B11" s="35" t="s">
        <v>505</v>
      </c>
      <c r="C11" s="57" t="s">
        <v>506</v>
      </c>
      <c r="D11" s="52">
        <v>2</v>
      </c>
      <c r="E11" s="31" t="str">
        <f t="shared" si="1"/>
        <v>v</v>
      </c>
      <c r="F11" s="31" t="s">
        <v>73</v>
      </c>
      <c r="H11" s="2" t="s">
        <v>304</v>
      </c>
      <c r="I11" s="2">
        <f>SUM(I5:I10)</f>
        <v>13</v>
      </c>
      <c r="J11" s="51"/>
    </row>
    <row r="12" spans="1:10">
      <c r="A12" s="32">
        <f t="shared" si="0"/>
        <v>10</v>
      </c>
      <c r="B12" s="35" t="s">
        <v>507</v>
      </c>
      <c r="C12" s="36" t="s">
        <v>508</v>
      </c>
      <c r="D12" s="52">
        <v>2</v>
      </c>
      <c r="E12" s="31" t="s">
        <v>67</v>
      </c>
      <c r="F12" s="31" t="s">
        <v>73</v>
      </c>
      <c r="H12" s="2" t="s">
        <v>310</v>
      </c>
      <c r="I12" s="2">
        <f>COUNTIF(E:E,"v")</f>
        <v>13</v>
      </c>
      <c r="J12" s="51"/>
    </row>
    <row r="13" spans="1:10">
      <c r="A13" s="32">
        <f t="shared" si="0"/>
        <v>11</v>
      </c>
      <c r="B13" s="35" t="s">
        <v>509</v>
      </c>
      <c r="C13" s="36" t="s">
        <v>510</v>
      </c>
      <c r="D13" s="52">
        <v>2</v>
      </c>
      <c r="E13" s="31" t="s">
        <v>67</v>
      </c>
      <c r="F13" s="31" t="s">
        <v>73</v>
      </c>
      <c r="H13" s="2" t="s">
        <v>343</v>
      </c>
      <c r="I13" s="59">
        <f>SUM(I12/I11)</f>
        <v>1</v>
      </c>
      <c r="J13" s="51"/>
    </row>
    <row r="14" spans="1:10">
      <c r="A14" s="32">
        <f t="shared" si="0"/>
        <v>12</v>
      </c>
      <c r="B14" s="35" t="s">
        <v>511</v>
      </c>
      <c r="C14" s="36" t="s">
        <v>512</v>
      </c>
      <c r="D14" s="52">
        <v>1</v>
      </c>
      <c r="E14" s="31" t="str">
        <f>IF(F14="No submit","No submit","v")</f>
        <v>v</v>
      </c>
      <c r="F14" s="31" t="s">
        <v>49</v>
      </c>
      <c r="H14" s="2" t="s">
        <v>313</v>
      </c>
      <c r="I14" s="59" cm="1">
        <f t="array" ref="I14">SUM(I5:I6/I11)</f>
        <v>1</v>
      </c>
      <c r="J14" s="51"/>
    </row>
    <row r="15" spans="1:10">
      <c r="A15" s="32">
        <f t="shared" si="0"/>
        <v>13</v>
      </c>
      <c r="B15" s="35" t="s">
        <v>513</v>
      </c>
      <c r="C15" s="36" t="s">
        <v>514</v>
      </c>
      <c r="D15" s="52">
        <v>1</v>
      </c>
      <c r="E15" s="31" t="s">
        <v>67</v>
      </c>
      <c r="F15" s="31" t="s">
        <v>73</v>
      </c>
      <c r="H15"/>
      <c r="I15"/>
      <c r="J15" s="51"/>
    </row>
    <row r="16" spans="1:10">
      <c r="C16" s="40" t="s">
        <v>515</v>
      </c>
      <c r="H16"/>
      <c r="I16"/>
      <c r="J16" s="51"/>
    </row>
    <row r="17" spans="8:9">
      <c r="H17" s="33" t="s">
        <v>348</v>
      </c>
      <c r="I17" s="130">
        <v>45569</v>
      </c>
    </row>
  </sheetData>
  <mergeCells count="1">
    <mergeCell ref="J5:J6"/>
  </mergeCells>
  <phoneticPr fontId="164" type="noConversion"/>
  <conditionalFormatting sqref="A3:F15">
    <cfRule type="expression" dxfId="60" priority="1">
      <formula>($F3)="Approved"</formula>
    </cfRule>
    <cfRule type="expression" dxfId="59" priority="2">
      <formula>($F3)="Approved with comments"</formula>
    </cfRule>
    <cfRule type="expression" dxfId="58" priority="3">
      <formula>($F3)="Pending"</formula>
    </cfRule>
    <cfRule type="expression" dxfId="57" priority="4">
      <formula>($F3)="Rejected"</formula>
    </cfRule>
    <cfRule type="expression" dxfId="56" priority="5">
      <formula>$F3="Revise &amp; Resubmit"</formula>
    </cfRule>
  </conditionalFormatting>
  <conditionalFormatting sqref="B1:B1048576">
    <cfRule type="duplicateValues" dxfId="55" priority="6"/>
  </conditionalFormatting>
  <dataValidations count="1">
    <dataValidation type="list" allowBlank="1" showInputMessage="1" showErrorMessage="1" sqref="F3:F15" xr:uid="{B66E9A9E-C4A3-4180-8CA4-A78E6F42BF3E}">
      <formula1>#REF!</formula1>
    </dataValidation>
  </dataValidations>
  <pageMargins left="0.7" right="0.7" top="0.75" bottom="0.75" header="0.3" footer="0.3"/>
  <drawing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25DE4-C5C9-412B-B68F-6017C69B2F55}">
  <sheetPr codeName="Sheet26">
    <tabColor theme="6"/>
  </sheetPr>
  <dimension ref="A1:J37"/>
  <sheetViews>
    <sheetView workbookViewId="0">
      <pane xSplit="2" ySplit="2" topLeftCell="C3" activePane="bottomRight" state="frozen"/>
      <selection activeCell="B29" sqref="B29"/>
      <selection pane="topRight" activeCell="B29" sqref="B29"/>
      <selection pane="bottomLeft" activeCell="B29" sqref="B29"/>
      <selection pane="bottomRight" activeCell="B29" sqref="B29"/>
    </sheetView>
  </sheetViews>
  <sheetFormatPr defaultRowHeight="15.75" outlineLevelRow="1"/>
  <cols>
    <col min="1" max="1" width="6.5703125" style="33" bestFit="1" customWidth="1"/>
    <col min="2" max="2" width="34.42578125" style="40" customWidth="1"/>
    <col min="3" max="3" width="36.7109375" style="40" customWidth="1"/>
    <col min="4" max="4" width="8.7109375" style="39" bestFit="1" customWidth="1"/>
    <col min="5" max="5" width="11.7109375" style="39" bestFit="1" customWidth="1"/>
    <col min="6" max="6" width="24.5703125" style="39" bestFit="1" customWidth="1"/>
    <col min="7" max="7" width="24.5703125" style="39" customWidth="1"/>
    <col min="8" max="8" width="24.28515625" style="2" bestFit="1" customWidth="1"/>
    <col min="9" max="9" width="20.42578125" style="2" customWidth="1"/>
  </cols>
  <sheetData>
    <row r="1" spans="1:10" ht="180" hidden="1" customHeight="1" outlineLevel="1"/>
    <row r="2" spans="1:10" s="1" customFormat="1" ht="31.5" collapsed="1">
      <c r="A2" s="37" t="s">
        <v>0</v>
      </c>
      <c r="B2" s="37" t="s">
        <v>314</v>
      </c>
      <c r="C2" s="38" t="s">
        <v>315</v>
      </c>
      <c r="D2" s="38" t="s">
        <v>316</v>
      </c>
      <c r="E2" s="38" t="s">
        <v>59</v>
      </c>
      <c r="F2" s="38" t="s">
        <v>27</v>
      </c>
      <c r="G2"/>
    </row>
    <row r="3" spans="1:10">
      <c r="A3" s="32">
        <f>ROW()-2</f>
        <v>1</v>
      </c>
      <c r="B3" s="35" t="s">
        <v>523</v>
      </c>
      <c r="C3" s="57" t="s">
        <v>524</v>
      </c>
      <c r="D3" s="52">
        <v>11</v>
      </c>
      <c r="E3" s="31" t="s">
        <v>67</v>
      </c>
      <c r="F3" s="31" t="s">
        <v>49</v>
      </c>
      <c r="G3"/>
    </row>
    <row r="4" spans="1:10">
      <c r="A4" s="32">
        <f t="shared" ref="A4:A11" si="0">ROW()-2</f>
        <v>2</v>
      </c>
      <c r="B4" s="35" t="s">
        <v>525</v>
      </c>
      <c r="C4" s="57" t="s">
        <v>526</v>
      </c>
      <c r="D4" s="52">
        <v>7</v>
      </c>
      <c r="E4" s="31" t="s">
        <v>67</v>
      </c>
      <c r="F4" s="31" t="s">
        <v>73</v>
      </c>
      <c r="G4"/>
      <c r="H4" s="46"/>
      <c r="I4" s="34" t="s">
        <v>322</v>
      </c>
    </row>
    <row r="5" spans="1:10">
      <c r="A5" s="32">
        <f t="shared" si="0"/>
        <v>3</v>
      </c>
      <c r="B5" s="35" t="s">
        <v>527</v>
      </c>
      <c r="C5" s="57" t="s">
        <v>528</v>
      </c>
      <c r="D5" s="52">
        <v>4</v>
      </c>
      <c r="E5" s="31" t="s">
        <v>67</v>
      </c>
      <c r="F5" s="31" t="s">
        <v>213</v>
      </c>
      <c r="G5"/>
      <c r="H5" s="44" t="s">
        <v>73</v>
      </c>
      <c r="I5" s="45">
        <f t="shared" ref="I5:I10" si="1">COUNTIF($F$3:$F$960,H5)</f>
        <v>28</v>
      </c>
      <c r="J5" s="1160">
        <f>SUM(I5:I6)</f>
        <v>30</v>
      </c>
    </row>
    <row r="6" spans="1:10">
      <c r="A6" s="32">
        <f t="shared" si="0"/>
        <v>4</v>
      </c>
      <c r="B6" s="35" t="s">
        <v>529</v>
      </c>
      <c r="C6" s="57" t="s">
        <v>530</v>
      </c>
      <c r="D6" s="52">
        <v>8</v>
      </c>
      <c r="E6" s="31" t="s">
        <v>67</v>
      </c>
      <c r="F6" s="31" t="s">
        <v>73</v>
      </c>
      <c r="G6"/>
      <c r="H6" s="44" t="s">
        <v>49</v>
      </c>
      <c r="I6" s="45">
        <f t="shared" si="1"/>
        <v>2</v>
      </c>
      <c r="J6" s="1160"/>
    </row>
    <row r="7" spans="1:10">
      <c r="A7" s="32">
        <f t="shared" si="0"/>
        <v>5</v>
      </c>
      <c r="B7" s="35" t="s">
        <v>531</v>
      </c>
      <c r="C7" s="57" t="s">
        <v>532</v>
      </c>
      <c r="D7" s="52">
        <v>6</v>
      </c>
      <c r="E7" s="31" t="s">
        <v>67</v>
      </c>
      <c r="F7" s="31" t="s">
        <v>73</v>
      </c>
      <c r="G7"/>
      <c r="H7" s="44" t="s">
        <v>241</v>
      </c>
      <c r="I7" s="45">
        <f t="shared" si="1"/>
        <v>0</v>
      </c>
      <c r="J7" s="51"/>
    </row>
    <row r="8" spans="1:10">
      <c r="A8" s="32">
        <f t="shared" si="0"/>
        <v>6</v>
      </c>
      <c r="B8" s="35" t="s">
        <v>533</v>
      </c>
      <c r="C8" s="57" t="s">
        <v>534</v>
      </c>
      <c r="D8" s="52">
        <v>4</v>
      </c>
      <c r="E8" s="31" t="s">
        <v>67</v>
      </c>
      <c r="F8" s="31" t="s">
        <v>73</v>
      </c>
      <c r="G8"/>
      <c r="H8" s="44" t="s">
        <v>331</v>
      </c>
      <c r="I8" s="45">
        <f t="shared" si="1"/>
        <v>0</v>
      </c>
      <c r="J8" s="51"/>
    </row>
    <row r="9" spans="1:10">
      <c r="A9" s="32">
        <f t="shared" si="0"/>
        <v>7</v>
      </c>
      <c r="B9" s="35" t="s">
        <v>535</v>
      </c>
      <c r="C9" s="57" t="s">
        <v>536</v>
      </c>
      <c r="D9" s="52">
        <v>4</v>
      </c>
      <c r="E9" s="31" t="s">
        <v>67</v>
      </c>
      <c r="F9" s="31" t="s">
        <v>73</v>
      </c>
      <c r="G9"/>
      <c r="H9" s="44" t="s">
        <v>213</v>
      </c>
      <c r="I9" s="45">
        <f t="shared" si="1"/>
        <v>1</v>
      </c>
      <c r="J9" s="51"/>
    </row>
    <row r="10" spans="1:10">
      <c r="A10" s="32">
        <f t="shared" si="0"/>
        <v>8</v>
      </c>
      <c r="B10" s="35" t="s">
        <v>537</v>
      </c>
      <c r="C10" s="57" t="s">
        <v>538</v>
      </c>
      <c r="D10" s="52">
        <v>6</v>
      </c>
      <c r="E10" s="31" t="s">
        <v>67</v>
      </c>
      <c r="F10" s="31" t="s">
        <v>73</v>
      </c>
      <c r="G10"/>
      <c r="H10" s="44" t="s">
        <v>336</v>
      </c>
      <c r="I10" s="45">
        <f t="shared" si="1"/>
        <v>4</v>
      </c>
      <c r="J10" s="2"/>
    </row>
    <row r="11" spans="1:10">
      <c r="A11" s="32">
        <f t="shared" si="0"/>
        <v>9</v>
      </c>
      <c r="B11" s="35" t="s">
        <v>539</v>
      </c>
      <c r="C11" s="57" t="s">
        <v>540</v>
      </c>
      <c r="D11" s="52">
        <v>4</v>
      </c>
      <c r="E11" s="31" t="s">
        <v>67</v>
      </c>
      <c r="F11" s="31" t="s">
        <v>73</v>
      </c>
      <c r="G11"/>
      <c r="H11" s="2" t="s">
        <v>304</v>
      </c>
      <c r="I11" s="2">
        <f>SUM(I5:I10)</f>
        <v>35</v>
      </c>
      <c r="J11" s="51"/>
    </row>
    <row r="12" spans="1:10">
      <c r="A12" s="32">
        <v>10</v>
      </c>
      <c r="B12" s="35" t="s">
        <v>541</v>
      </c>
      <c r="C12" s="57" t="s">
        <v>542</v>
      </c>
      <c r="D12" s="52">
        <v>5</v>
      </c>
      <c r="E12" s="31" t="s">
        <v>67</v>
      </c>
      <c r="F12" s="31" t="s">
        <v>73</v>
      </c>
      <c r="G12"/>
      <c r="H12" s="2" t="s">
        <v>310</v>
      </c>
      <c r="I12" s="2">
        <f>COUNTIF(E:E,"v")</f>
        <v>31</v>
      </c>
      <c r="J12" s="51"/>
    </row>
    <row r="13" spans="1:10">
      <c r="A13" s="32">
        <v>11</v>
      </c>
      <c r="B13" s="35" t="s">
        <v>543</v>
      </c>
      <c r="C13" s="57" t="s">
        <v>536</v>
      </c>
      <c r="D13" s="52">
        <v>3</v>
      </c>
      <c r="E13" s="31" t="s">
        <v>67</v>
      </c>
      <c r="F13" s="31" t="s">
        <v>73</v>
      </c>
      <c r="G13"/>
      <c r="J13" s="51"/>
    </row>
    <row r="14" spans="1:10">
      <c r="A14" s="32">
        <v>12</v>
      </c>
      <c r="B14" s="35" t="s">
        <v>544</v>
      </c>
      <c r="C14" s="57" t="s">
        <v>545</v>
      </c>
      <c r="D14" s="52">
        <v>4</v>
      </c>
      <c r="E14" s="31" t="s">
        <v>67</v>
      </c>
      <c r="F14" s="31" t="s">
        <v>73</v>
      </c>
      <c r="G14"/>
      <c r="H14" s="2" t="s">
        <v>343</v>
      </c>
      <c r="I14" s="59">
        <f>SUM(I12/I11)</f>
        <v>0.88571428571428568</v>
      </c>
      <c r="J14" s="51"/>
    </row>
    <row r="15" spans="1:10">
      <c r="A15" s="32">
        <v>13</v>
      </c>
      <c r="B15" s="35" t="s">
        <v>546</v>
      </c>
      <c r="C15" s="57" t="s">
        <v>547</v>
      </c>
      <c r="D15" s="52">
        <v>4</v>
      </c>
      <c r="E15" s="31" t="s">
        <v>67</v>
      </c>
      <c r="F15" s="31" t="s">
        <v>73</v>
      </c>
      <c r="G15"/>
      <c r="I15" s="59"/>
      <c r="J15" s="51"/>
    </row>
    <row r="16" spans="1:10">
      <c r="A16" s="32">
        <v>14</v>
      </c>
      <c r="B16" s="35" t="s">
        <v>548</v>
      </c>
      <c r="C16" s="57" t="s">
        <v>549</v>
      </c>
      <c r="D16" s="52">
        <v>4</v>
      </c>
      <c r="E16" s="31" t="s">
        <v>67</v>
      </c>
      <c r="F16" s="31" t="s">
        <v>73</v>
      </c>
      <c r="G16"/>
      <c r="H16" s="2" t="s">
        <v>313</v>
      </c>
      <c r="I16" s="59" cm="1">
        <f t="array" ref="I16">SUM(I5:I6/I11)</f>
        <v>0.85714285714285721</v>
      </c>
      <c r="J16" s="51"/>
    </row>
    <row r="17" spans="1:9">
      <c r="A17" s="32">
        <v>15</v>
      </c>
      <c r="B17" s="35" t="s">
        <v>550</v>
      </c>
      <c r="C17" s="57" t="s">
        <v>551</v>
      </c>
      <c r="D17" s="52">
        <v>6</v>
      </c>
      <c r="E17" s="31" t="s">
        <v>67</v>
      </c>
      <c r="F17" s="31" t="s">
        <v>73</v>
      </c>
      <c r="H17"/>
      <c r="I17"/>
    </row>
    <row r="18" spans="1:9">
      <c r="A18" s="32">
        <v>16</v>
      </c>
      <c r="B18" s="35" t="s">
        <v>552</v>
      </c>
      <c r="C18" s="57" t="s">
        <v>553</v>
      </c>
      <c r="D18" s="52">
        <v>4</v>
      </c>
      <c r="E18" s="31" t="s">
        <v>67</v>
      </c>
      <c r="F18" s="31" t="s">
        <v>73</v>
      </c>
      <c r="H18"/>
      <c r="I18"/>
    </row>
    <row r="19" spans="1:9">
      <c r="A19" s="32">
        <v>17</v>
      </c>
      <c r="B19" s="35" t="s">
        <v>554</v>
      </c>
      <c r="C19" s="57" t="s">
        <v>555</v>
      </c>
      <c r="D19" s="52">
        <v>4</v>
      </c>
      <c r="E19" s="31" t="s">
        <v>67</v>
      </c>
      <c r="F19" s="31" t="s">
        <v>73</v>
      </c>
      <c r="H19" s="33" t="s">
        <v>348</v>
      </c>
      <c r="I19" s="130">
        <v>45569</v>
      </c>
    </row>
    <row r="20" spans="1:9">
      <c r="A20" s="32">
        <v>18</v>
      </c>
      <c r="B20" s="35" t="s">
        <v>556</v>
      </c>
      <c r="C20" s="57" t="s">
        <v>557</v>
      </c>
      <c r="D20" s="52">
        <v>3</v>
      </c>
      <c r="E20" s="31" t="s">
        <v>67</v>
      </c>
      <c r="F20" s="31" t="s">
        <v>73</v>
      </c>
      <c r="H20" s="33"/>
      <c r="I20" s="130"/>
    </row>
    <row r="21" spans="1:9">
      <c r="A21" s="32">
        <v>19</v>
      </c>
      <c r="B21" s="35" t="s">
        <v>558</v>
      </c>
      <c r="C21" s="57" t="s">
        <v>559</v>
      </c>
      <c r="D21" s="52">
        <v>3</v>
      </c>
      <c r="E21" s="31" t="s">
        <v>67</v>
      </c>
      <c r="F21" s="31" t="s">
        <v>73</v>
      </c>
    </row>
    <row r="22" spans="1:9">
      <c r="A22" s="133">
        <v>21</v>
      </c>
      <c r="B22" s="141" t="s">
        <v>560</v>
      </c>
      <c r="C22" s="151" t="s">
        <v>561</v>
      </c>
      <c r="D22" s="143">
        <v>3</v>
      </c>
      <c r="E22" s="121" t="s">
        <v>67</v>
      </c>
      <c r="F22" s="121" t="s">
        <v>73</v>
      </c>
    </row>
    <row r="23" spans="1:9">
      <c r="A23" s="133">
        <v>22</v>
      </c>
      <c r="B23" s="141" t="s">
        <v>562</v>
      </c>
      <c r="C23" s="151" t="s">
        <v>563</v>
      </c>
      <c r="D23" s="143">
        <v>4</v>
      </c>
      <c r="E23" s="121" t="s">
        <v>67</v>
      </c>
      <c r="F23" s="121" t="s">
        <v>49</v>
      </c>
    </row>
    <row r="24" spans="1:9">
      <c r="A24" s="133">
        <v>23</v>
      </c>
      <c r="B24" s="141" t="s">
        <v>564</v>
      </c>
      <c r="C24" s="151" t="s">
        <v>565</v>
      </c>
      <c r="D24" s="143">
        <v>3</v>
      </c>
      <c r="E24" s="121" t="s">
        <v>67</v>
      </c>
      <c r="F24" s="121" t="s">
        <v>73</v>
      </c>
    </row>
    <row r="25" spans="1:9">
      <c r="A25" s="133">
        <v>24</v>
      </c>
      <c r="B25" s="141" t="s">
        <v>566</v>
      </c>
      <c r="C25" s="151" t="s">
        <v>567</v>
      </c>
      <c r="D25" s="143">
        <v>4</v>
      </c>
      <c r="E25" s="121" t="s">
        <v>67</v>
      </c>
      <c r="F25" s="121" t="s">
        <v>73</v>
      </c>
    </row>
    <row r="26" spans="1:9">
      <c r="A26" s="133">
        <v>25</v>
      </c>
      <c r="B26" s="141" t="s">
        <v>568</v>
      </c>
      <c r="C26" s="151" t="s">
        <v>569</v>
      </c>
      <c r="D26" s="143">
        <v>3</v>
      </c>
      <c r="E26" s="121" t="s">
        <v>67</v>
      </c>
      <c r="F26" s="121" t="s">
        <v>73</v>
      </c>
    </row>
    <row r="27" spans="1:9">
      <c r="A27" s="133">
        <v>26</v>
      </c>
      <c r="B27" s="141" t="s">
        <v>570</v>
      </c>
      <c r="C27" s="151" t="s">
        <v>571</v>
      </c>
      <c r="D27" s="143">
        <v>3</v>
      </c>
      <c r="E27" s="121" t="s">
        <v>67</v>
      </c>
      <c r="F27" s="121" t="s">
        <v>73</v>
      </c>
    </row>
    <row r="28" spans="1:9">
      <c r="A28" s="133">
        <v>27</v>
      </c>
      <c r="B28" s="141" t="s">
        <v>572</v>
      </c>
      <c r="C28" s="151" t="s">
        <v>573</v>
      </c>
      <c r="D28" s="143">
        <v>2</v>
      </c>
      <c r="E28" s="121" t="s">
        <v>67</v>
      </c>
      <c r="F28" s="121" t="s">
        <v>73</v>
      </c>
    </row>
    <row r="29" spans="1:9">
      <c r="A29" s="133">
        <v>28</v>
      </c>
      <c r="B29" s="141" t="s">
        <v>574</v>
      </c>
      <c r="C29" s="151" t="s">
        <v>575</v>
      </c>
      <c r="D29" s="143">
        <v>3</v>
      </c>
      <c r="E29" s="121" t="s">
        <v>67</v>
      </c>
      <c r="F29" s="121" t="s">
        <v>73</v>
      </c>
    </row>
    <row r="30" spans="1:9">
      <c r="A30" s="133">
        <v>29</v>
      </c>
      <c r="B30" s="141" t="s">
        <v>576</v>
      </c>
      <c r="C30" s="151" t="s">
        <v>577</v>
      </c>
      <c r="D30" s="143">
        <v>3</v>
      </c>
      <c r="E30" s="121" t="s">
        <v>67</v>
      </c>
      <c r="F30" s="121" t="s">
        <v>73</v>
      </c>
    </row>
    <row r="31" spans="1:9">
      <c r="A31" s="133">
        <v>30</v>
      </c>
      <c r="B31" s="141" t="s">
        <v>578</v>
      </c>
      <c r="C31" s="151" t="s">
        <v>579</v>
      </c>
      <c r="D31" s="143">
        <v>3</v>
      </c>
      <c r="E31" s="121" t="s">
        <v>67</v>
      </c>
      <c r="F31" s="121" t="s">
        <v>73</v>
      </c>
    </row>
    <row r="32" spans="1:9">
      <c r="A32" s="133">
        <v>31</v>
      </c>
      <c r="B32" s="141" t="s">
        <v>580</v>
      </c>
      <c r="C32" s="151" t="s">
        <v>581</v>
      </c>
      <c r="D32" s="143">
        <v>3</v>
      </c>
      <c r="E32" s="121" t="s">
        <v>67</v>
      </c>
      <c r="F32" s="121" t="s">
        <v>73</v>
      </c>
    </row>
    <row r="33" spans="1:6">
      <c r="A33" s="109">
        <v>20</v>
      </c>
      <c r="B33" s="110" t="s">
        <v>582</v>
      </c>
      <c r="C33" s="144" t="s">
        <v>583</v>
      </c>
      <c r="D33" s="111">
        <v>6</v>
      </c>
      <c r="E33" s="112" t="s">
        <v>67</v>
      </c>
      <c r="F33" s="112" t="s">
        <v>73</v>
      </c>
    </row>
    <row r="34" spans="1:6">
      <c r="A34" s="133">
        <v>32</v>
      </c>
      <c r="B34" s="141" t="s">
        <v>38</v>
      </c>
      <c r="C34" s="142" t="s">
        <v>584</v>
      </c>
      <c r="D34" s="143"/>
      <c r="E34" s="121"/>
      <c r="F34" s="121" t="s">
        <v>336</v>
      </c>
    </row>
    <row r="35" spans="1:6">
      <c r="A35" s="133">
        <v>33</v>
      </c>
      <c r="B35" s="141" t="s">
        <v>38</v>
      </c>
      <c r="C35" s="142" t="s">
        <v>585</v>
      </c>
      <c r="D35" s="143"/>
      <c r="E35" s="121"/>
      <c r="F35" s="121" t="s">
        <v>336</v>
      </c>
    </row>
    <row r="36" spans="1:6">
      <c r="A36" s="133">
        <v>34</v>
      </c>
      <c r="B36" s="141" t="s">
        <v>38</v>
      </c>
      <c r="C36" s="142" t="s">
        <v>586</v>
      </c>
      <c r="D36" s="143"/>
      <c r="E36" s="121"/>
      <c r="F36" s="121" t="s">
        <v>336</v>
      </c>
    </row>
    <row r="37" spans="1:6">
      <c r="A37" s="133">
        <v>35</v>
      </c>
      <c r="B37" s="141" t="s">
        <v>38</v>
      </c>
      <c r="C37" s="142" t="s">
        <v>587</v>
      </c>
      <c r="D37" s="143"/>
      <c r="E37" s="121"/>
      <c r="F37" s="121" t="s">
        <v>336</v>
      </c>
    </row>
  </sheetData>
  <mergeCells count="1">
    <mergeCell ref="J5:J6"/>
  </mergeCells>
  <phoneticPr fontId="164" type="noConversion"/>
  <conditionalFormatting sqref="A34:B37 D34:F37">
    <cfRule type="expression" dxfId="54" priority="1">
      <formula>($F34)="Approved"</formula>
    </cfRule>
    <cfRule type="expression" dxfId="53" priority="2">
      <formula>($F34)="Approved with comments"</formula>
    </cfRule>
    <cfRule type="expression" dxfId="52" priority="3">
      <formula>($F34)="Pending"</formula>
    </cfRule>
    <cfRule type="expression" dxfId="51" priority="4">
      <formula>$F34="Rejected"</formula>
    </cfRule>
    <cfRule type="expression" dxfId="50" priority="5">
      <formula>$F34="Revise &amp; Resubmit"</formula>
    </cfRule>
  </conditionalFormatting>
  <conditionalFormatting sqref="A3:F33">
    <cfRule type="expression" dxfId="49" priority="21">
      <formula>($F3)="Approved"</formula>
    </cfRule>
    <cfRule type="expression" dxfId="48" priority="22">
      <formula>($F3)="Approved with comments"</formula>
    </cfRule>
    <cfRule type="expression" dxfId="47" priority="23">
      <formula>($F3)="Pending"</formula>
    </cfRule>
    <cfRule type="expression" dxfId="46" priority="24">
      <formula>$F3="Rejected"</formula>
    </cfRule>
    <cfRule type="expression" dxfId="45" priority="25">
      <formula>$F3="Revise &amp; Resubmit"</formula>
    </cfRule>
  </conditionalFormatting>
  <conditionalFormatting sqref="B1:B1048576">
    <cfRule type="duplicateValues" dxfId="44" priority="696"/>
  </conditionalFormatting>
  <dataValidations count="1">
    <dataValidation type="list" allowBlank="1" showInputMessage="1" showErrorMessage="1" sqref="F3:F37" xr:uid="{AE60F0B8-0380-4A3D-8FAC-7715834C3BE1}">
      <formula1>#REF!</formula1>
    </dataValidation>
  </dataValidations>
  <pageMargins left="0.7" right="0.7" top="0.75" bottom="0.75" header="0.3" footer="0.3"/>
  <drawing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2E26D-7D08-4B0C-9625-CCD5474421F7}">
  <sheetPr codeName="Sheet28">
    <tabColor theme="6"/>
  </sheetPr>
  <dimension ref="A1:J19"/>
  <sheetViews>
    <sheetView topLeftCell="A2" workbookViewId="0">
      <selection activeCell="B29" sqref="B29"/>
    </sheetView>
  </sheetViews>
  <sheetFormatPr defaultRowHeight="15.75" outlineLevelRow="1"/>
  <cols>
    <col min="1" max="1" width="6.5703125" style="33" bestFit="1" customWidth="1"/>
    <col min="2" max="2" width="34.42578125" style="40" customWidth="1"/>
    <col min="3" max="3" width="80.7109375" style="40" bestFit="1" customWidth="1"/>
    <col min="4" max="4" width="8.7109375" style="39" bestFit="1" customWidth="1"/>
    <col min="5" max="5" width="11.7109375" style="39" bestFit="1" customWidth="1"/>
    <col min="6" max="6" width="24.5703125" style="39" bestFit="1" customWidth="1"/>
    <col min="7" max="7" width="24.5703125" style="39" customWidth="1"/>
    <col min="8" max="8" width="24.28515625" style="2" bestFit="1" customWidth="1"/>
    <col min="9" max="9" width="20.42578125" style="2" customWidth="1"/>
  </cols>
  <sheetData>
    <row r="1" spans="1:10" ht="180" hidden="1" customHeight="1" outlineLevel="1"/>
    <row r="2" spans="1:10" s="1" customFormat="1" ht="31.5" collapsed="1">
      <c r="A2" s="37" t="s">
        <v>0</v>
      </c>
      <c r="B2" s="37" t="s">
        <v>314</v>
      </c>
      <c r="C2" s="38" t="s">
        <v>315</v>
      </c>
      <c r="D2" s="38" t="s">
        <v>316</v>
      </c>
      <c r="E2" s="38" t="s">
        <v>59</v>
      </c>
      <c r="F2" s="38" t="s">
        <v>27</v>
      </c>
      <c r="G2"/>
    </row>
    <row r="3" spans="1:10">
      <c r="A3" s="32">
        <f t="shared" ref="A3:A8" si="0">ROW()-2</f>
        <v>1</v>
      </c>
      <c r="B3" s="35" t="s">
        <v>595</v>
      </c>
      <c r="C3" s="57" t="s">
        <v>589</v>
      </c>
      <c r="D3" s="52">
        <v>5</v>
      </c>
      <c r="E3" s="31" t="s">
        <v>67</v>
      </c>
      <c r="F3" s="31" t="s">
        <v>73</v>
      </c>
      <c r="G3"/>
    </row>
    <row r="4" spans="1:10">
      <c r="A4" s="32">
        <f t="shared" si="0"/>
        <v>2</v>
      </c>
      <c r="B4" s="35" t="s">
        <v>596</v>
      </c>
      <c r="C4" s="57" t="s">
        <v>597</v>
      </c>
      <c r="D4" s="52">
        <v>5</v>
      </c>
      <c r="E4" s="31" t="s">
        <v>67</v>
      </c>
      <c r="F4" s="31" t="s">
        <v>73</v>
      </c>
      <c r="G4"/>
      <c r="H4" s="46"/>
      <c r="I4" s="34" t="s">
        <v>322</v>
      </c>
    </row>
    <row r="5" spans="1:10">
      <c r="A5" s="32">
        <f t="shared" si="0"/>
        <v>3</v>
      </c>
      <c r="B5" s="35" t="s">
        <v>598</v>
      </c>
      <c r="C5" s="57" t="s">
        <v>599</v>
      </c>
      <c r="D5" s="52">
        <v>7</v>
      </c>
      <c r="E5" s="31" t="s">
        <v>67</v>
      </c>
      <c r="F5" s="31" t="s">
        <v>73</v>
      </c>
      <c r="G5"/>
      <c r="H5" s="44" t="s">
        <v>73</v>
      </c>
      <c r="I5" s="45">
        <f t="shared" ref="I5:I10" si="1">COUNTIF($F$3:$F$919,H5)</f>
        <v>6</v>
      </c>
      <c r="J5" s="1160">
        <f>SUM(I5:I6)</f>
        <v>6</v>
      </c>
    </row>
    <row r="6" spans="1:10">
      <c r="A6" s="32">
        <f t="shared" si="0"/>
        <v>4</v>
      </c>
      <c r="B6" s="35" t="s">
        <v>600</v>
      </c>
      <c r="C6" s="57" t="s">
        <v>601</v>
      </c>
      <c r="D6" s="52">
        <v>9</v>
      </c>
      <c r="E6" s="31" t="s">
        <v>67</v>
      </c>
      <c r="F6" s="31" t="s">
        <v>73</v>
      </c>
      <c r="G6"/>
      <c r="H6" s="44" t="s">
        <v>49</v>
      </c>
      <c r="I6" s="45">
        <f t="shared" si="1"/>
        <v>0</v>
      </c>
      <c r="J6" s="1160"/>
    </row>
    <row r="7" spans="1:10">
      <c r="A7" s="32">
        <f t="shared" si="0"/>
        <v>5</v>
      </c>
      <c r="B7" s="35" t="s">
        <v>602</v>
      </c>
      <c r="C7" s="57" t="s">
        <v>603</v>
      </c>
      <c r="D7" s="52">
        <v>7</v>
      </c>
      <c r="E7" s="31" t="s">
        <v>67</v>
      </c>
      <c r="F7" s="31" t="s">
        <v>73</v>
      </c>
      <c r="G7"/>
      <c r="H7" s="44" t="s">
        <v>241</v>
      </c>
      <c r="I7" s="45">
        <f t="shared" si="1"/>
        <v>0</v>
      </c>
      <c r="J7" s="51"/>
    </row>
    <row r="8" spans="1:10">
      <c r="A8" s="32">
        <f t="shared" si="0"/>
        <v>6</v>
      </c>
      <c r="B8" s="35" t="s">
        <v>604</v>
      </c>
      <c r="C8" s="57" t="s">
        <v>605</v>
      </c>
      <c r="D8" s="52">
        <v>10</v>
      </c>
      <c r="E8" s="31" t="s">
        <v>67</v>
      </c>
      <c r="F8" s="31" t="s">
        <v>73</v>
      </c>
      <c r="G8"/>
      <c r="H8" s="44" t="s">
        <v>331</v>
      </c>
      <c r="I8" s="45">
        <f t="shared" si="1"/>
        <v>0</v>
      </c>
      <c r="J8" s="51"/>
    </row>
    <row r="9" spans="1:10">
      <c r="G9"/>
      <c r="H9" s="44" t="s">
        <v>213</v>
      </c>
      <c r="I9" s="45">
        <f t="shared" si="1"/>
        <v>0</v>
      </c>
      <c r="J9" s="51"/>
    </row>
    <row r="10" spans="1:10">
      <c r="G10"/>
      <c r="H10" s="44" t="s">
        <v>336</v>
      </c>
      <c r="I10" s="45">
        <f t="shared" si="1"/>
        <v>0</v>
      </c>
      <c r="J10" s="2"/>
    </row>
    <row r="11" spans="1:10">
      <c r="G11"/>
      <c r="H11" s="2" t="s">
        <v>304</v>
      </c>
      <c r="I11" s="2">
        <f>SUM(I5:I10)</f>
        <v>6</v>
      </c>
      <c r="J11" s="51"/>
    </row>
    <row r="12" spans="1:10">
      <c r="G12"/>
      <c r="H12" s="2" t="s">
        <v>310</v>
      </c>
      <c r="I12" s="2">
        <f>COUNTIF(E:E,"v")</f>
        <v>6</v>
      </c>
      <c r="J12" s="51"/>
    </row>
    <row r="13" spans="1:10">
      <c r="G13"/>
      <c r="H13" s="2" t="s">
        <v>343</v>
      </c>
      <c r="I13" s="59">
        <f>SUM(I12/I11)</f>
        <v>1</v>
      </c>
      <c r="J13" s="51"/>
    </row>
    <row r="14" spans="1:10">
      <c r="G14"/>
      <c r="H14" s="2" t="s">
        <v>313</v>
      </c>
      <c r="I14" s="59" cm="1">
        <f t="array" ref="I14">SUM(I5:I6/I11)</f>
        <v>1</v>
      </c>
      <c r="J14" s="51"/>
    </row>
    <row r="18" spans="8:9">
      <c r="H18" s="33" t="s">
        <v>348</v>
      </c>
      <c r="I18" s="130">
        <v>45569</v>
      </c>
    </row>
    <row r="19" spans="8:9">
      <c r="I19" s="131" t="s">
        <v>522</v>
      </c>
    </row>
  </sheetData>
  <mergeCells count="1">
    <mergeCell ref="J5:J6"/>
  </mergeCells>
  <phoneticPr fontId="164" type="noConversion"/>
  <conditionalFormatting sqref="A3:F8">
    <cfRule type="expression" dxfId="43" priority="1">
      <formula>($F3)="Approved"</formula>
    </cfRule>
    <cfRule type="expression" dxfId="42" priority="2">
      <formula>($F3)="Approved with comments"</formula>
    </cfRule>
    <cfRule type="expression" dxfId="41" priority="3">
      <formula>($F3)="Pending"</formula>
    </cfRule>
    <cfRule type="expression" dxfId="40" priority="4">
      <formula>$F3="Rejected"</formula>
    </cfRule>
    <cfRule type="expression" dxfId="39" priority="5">
      <formula>$F3="Revise &amp; Resubmit"</formula>
    </cfRule>
  </conditionalFormatting>
  <conditionalFormatting sqref="B1:B1048576">
    <cfRule type="duplicateValues" dxfId="38" priority="6"/>
  </conditionalFormatting>
  <dataValidations count="1">
    <dataValidation type="list" allowBlank="1" showInputMessage="1" showErrorMessage="1" sqref="F3:F8" xr:uid="{182BA581-2979-46A7-BACB-AA074D42B50B}">
      <formula1>#REF!</formula1>
    </dataValidation>
  </dataValidations>
  <pageMargins left="0.7" right="0.7" top="0.75" bottom="0.75" header="0.3" footer="0.3"/>
  <drawing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71063-CE3D-428E-BBCA-63E1E17679CD}">
  <sheetPr codeName="Sheet19">
    <tabColor theme="0" tint="-0.34998626667073579"/>
  </sheetPr>
  <dimension ref="A1:K16"/>
  <sheetViews>
    <sheetView topLeftCell="A2" zoomScale="85" zoomScaleNormal="85" workbookViewId="0">
      <selection activeCell="B29" sqref="B29"/>
    </sheetView>
  </sheetViews>
  <sheetFormatPr defaultRowHeight="15.75" outlineLevelRow="1"/>
  <cols>
    <col min="1" max="1" width="6.5703125" style="33" bestFit="1" customWidth="1"/>
    <col min="2" max="2" width="34.42578125" style="40" customWidth="1"/>
    <col min="3" max="3" width="59.28515625" style="40" customWidth="1"/>
    <col min="4" max="4" width="8.7109375" style="39" bestFit="1" customWidth="1"/>
    <col min="5" max="5" width="11.7109375" style="39" bestFit="1" customWidth="1"/>
    <col min="6" max="6" width="24.5703125" style="39" bestFit="1" customWidth="1"/>
    <col min="7" max="7" width="51.28515625" style="40" customWidth="1"/>
    <col min="8" max="8" width="31.42578125" style="40" customWidth="1"/>
    <col min="9" max="9" width="24.28515625" style="2" bestFit="1" customWidth="1"/>
    <col min="10" max="10" width="20.42578125" style="2" customWidth="1"/>
  </cols>
  <sheetData>
    <row r="1" spans="1:11" ht="180" hidden="1" customHeight="1" outlineLevel="1"/>
    <row r="2" spans="1:11" s="1" customFormat="1" ht="31.5" collapsed="1">
      <c r="A2" s="37" t="s">
        <v>0</v>
      </c>
      <c r="B2" s="37" t="s">
        <v>314</v>
      </c>
      <c r="C2" s="38" t="s">
        <v>315</v>
      </c>
      <c r="D2" s="38" t="s">
        <v>316</v>
      </c>
      <c r="E2" s="38" t="s">
        <v>59</v>
      </c>
      <c r="F2" s="119" t="s">
        <v>27</v>
      </c>
      <c r="G2" s="119" t="s">
        <v>607</v>
      </c>
      <c r="H2" s="40"/>
      <c r="J2" s="2"/>
    </row>
    <row r="3" spans="1:11">
      <c r="A3" s="32">
        <f>ROW()-2</f>
        <v>1</v>
      </c>
      <c r="B3" s="35" t="s">
        <v>608</v>
      </c>
      <c r="C3" s="57" t="s">
        <v>609</v>
      </c>
      <c r="D3" s="52">
        <v>1</v>
      </c>
      <c r="E3" s="31" t="str">
        <f>IF(F3="No submit","No submit","v")</f>
        <v>v</v>
      </c>
      <c r="F3" s="121" t="s">
        <v>73</v>
      </c>
      <c r="G3" s="31" t="str">
        <f t="shared" ref="G3:G11" si="0">IF(I3="No submit","No submit","v")</f>
        <v>v</v>
      </c>
    </row>
    <row r="4" spans="1:11">
      <c r="A4" s="32">
        <f>ROW()-2</f>
        <v>2</v>
      </c>
      <c r="B4" s="35" t="s">
        <v>610</v>
      </c>
      <c r="C4" s="57" t="s">
        <v>611</v>
      </c>
      <c r="D4" s="52">
        <v>2</v>
      </c>
      <c r="E4" s="31" t="str">
        <f>IF(F4="No submit","No submit","v")</f>
        <v>v</v>
      </c>
      <c r="F4" s="121" t="s">
        <v>73</v>
      </c>
      <c r="G4" s="31" t="str">
        <f t="shared" si="0"/>
        <v>v</v>
      </c>
      <c r="H4" s="118"/>
      <c r="I4" s="34" t="s">
        <v>322</v>
      </c>
    </row>
    <row r="5" spans="1:11">
      <c r="A5" s="32">
        <f>ROW()-2</f>
        <v>3</v>
      </c>
      <c r="B5" s="35" t="s">
        <v>612</v>
      </c>
      <c r="C5" s="132" t="s">
        <v>613</v>
      </c>
      <c r="D5" s="52">
        <v>2</v>
      </c>
      <c r="E5" s="52" t="s">
        <v>67</v>
      </c>
      <c r="F5" s="121" t="s">
        <v>241</v>
      </c>
      <c r="G5" s="31" t="str">
        <f t="shared" si="0"/>
        <v>v</v>
      </c>
      <c r="H5" s="44" t="s">
        <v>73</v>
      </c>
      <c r="I5" s="45">
        <f t="shared" ref="I5:I10" si="1">COUNTIF($F$3:$F$944,H5)</f>
        <v>4</v>
      </c>
      <c r="J5" s="1160">
        <f>SUM(I5:I8)</f>
        <v>10</v>
      </c>
      <c r="K5" s="1160"/>
    </row>
    <row r="6" spans="1:11">
      <c r="A6" s="32">
        <f t="shared" ref="A6:A14" si="2">ROW()-2</f>
        <v>4</v>
      </c>
      <c r="B6" s="35" t="s">
        <v>614</v>
      </c>
      <c r="C6" s="132" t="s">
        <v>615</v>
      </c>
      <c r="D6" s="52" t="s">
        <v>616</v>
      </c>
      <c r="E6" s="52" t="s">
        <v>67</v>
      </c>
      <c r="F6" s="121" t="s">
        <v>73</v>
      </c>
      <c r="G6" s="31" t="str">
        <f t="shared" si="0"/>
        <v>v</v>
      </c>
      <c r="H6" s="44" t="s">
        <v>49</v>
      </c>
      <c r="I6" s="45">
        <f t="shared" si="1"/>
        <v>3</v>
      </c>
      <c r="J6" s="1160"/>
      <c r="K6" s="1160"/>
    </row>
    <row r="7" spans="1:11">
      <c r="A7" s="32">
        <f t="shared" si="2"/>
        <v>5</v>
      </c>
      <c r="B7" s="35" t="s">
        <v>617</v>
      </c>
      <c r="C7" s="147" t="s">
        <v>618</v>
      </c>
      <c r="D7" s="52">
        <v>3</v>
      </c>
      <c r="E7" s="52" t="s">
        <v>67</v>
      </c>
      <c r="F7" s="121" t="s">
        <v>49</v>
      </c>
      <c r="G7" s="31" t="str">
        <f t="shared" si="0"/>
        <v>v</v>
      </c>
      <c r="H7" s="44" t="s">
        <v>241</v>
      </c>
      <c r="I7" s="45">
        <f t="shared" si="1"/>
        <v>3</v>
      </c>
      <c r="J7" s="1160"/>
      <c r="K7" s="1160"/>
    </row>
    <row r="8" spans="1:11">
      <c r="A8" s="150">
        <f t="shared" si="2"/>
        <v>6</v>
      </c>
      <c r="B8" s="147" t="s">
        <v>619</v>
      </c>
      <c r="C8" s="57" t="s">
        <v>620</v>
      </c>
      <c r="D8" s="52" t="s">
        <v>616</v>
      </c>
      <c r="E8" s="31" t="s">
        <v>67</v>
      </c>
      <c r="F8" s="121" t="s">
        <v>49</v>
      </c>
      <c r="G8" s="31" t="str">
        <f t="shared" si="0"/>
        <v>v</v>
      </c>
      <c r="H8" s="44" t="s">
        <v>331</v>
      </c>
      <c r="I8" s="45">
        <f t="shared" si="1"/>
        <v>0</v>
      </c>
      <c r="J8" s="1160"/>
      <c r="K8" s="1160"/>
    </row>
    <row r="9" spans="1:11">
      <c r="A9" s="187">
        <f t="shared" si="2"/>
        <v>7</v>
      </c>
      <c r="B9" s="147" t="s">
        <v>621</v>
      </c>
      <c r="C9" s="132" t="s">
        <v>622</v>
      </c>
      <c r="D9" s="52" t="s">
        <v>616</v>
      </c>
      <c r="E9" s="52" t="s">
        <v>67</v>
      </c>
      <c r="F9" s="121" t="s">
        <v>241</v>
      </c>
      <c r="G9" s="31" t="str">
        <f t="shared" si="0"/>
        <v>v</v>
      </c>
      <c r="H9" s="44" t="s">
        <v>213</v>
      </c>
      <c r="I9" s="45">
        <f t="shared" si="1"/>
        <v>0</v>
      </c>
      <c r="K9" s="33"/>
    </row>
    <row r="10" spans="1:11">
      <c r="A10" s="150">
        <f t="shared" si="2"/>
        <v>8</v>
      </c>
      <c r="B10" s="35" t="s">
        <v>623</v>
      </c>
      <c r="C10" s="147" t="s">
        <v>624</v>
      </c>
      <c r="D10" s="52">
        <v>1</v>
      </c>
      <c r="E10" s="52" t="s">
        <v>67</v>
      </c>
      <c r="F10" s="121" t="s">
        <v>73</v>
      </c>
      <c r="G10" s="31" t="str">
        <f t="shared" si="0"/>
        <v>v</v>
      </c>
      <c r="H10" s="44" t="s">
        <v>336</v>
      </c>
      <c r="I10" s="45">
        <f t="shared" si="1"/>
        <v>3</v>
      </c>
      <c r="K10" s="33"/>
    </row>
    <row r="11" spans="1:11">
      <c r="A11" s="32">
        <f t="shared" si="2"/>
        <v>9</v>
      </c>
      <c r="B11" s="36" t="s">
        <v>625</v>
      </c>
      <c r="C11" s="132" t="s">
        <v>626</v>
      </c>
      <c r="D11" s="52" t="s">
        <v>616</v>
      </c>
      <c r="E11" s="52" t="s">
        <v>67</v>
      </c>
      <c r="F11" s="121" t="s">
        <v>241</v>
      </c>
      <c r="G11" s="121" t="str">
        <f t="shared" si="0"/>
        <v>v</v>
      </c>
      <c r="H11" s="2" t="s">
        <v>304</v>
      </c>
      <c r="I11" s="2">
        <f>SUM(I5:I10)</f>
        <v>13</v>
      </c>
      <c r="K11" s="33"/>
    </row>
    <row r="12" spans="1:11">
      <c r="A12" s="109">
        <f t="shared" si="2"/>
        <v>10</v>
      </c>
      <c r="B12" s="35" t="s">
        <v>627</v>
      </c>
      <c r="C12" s="132" t="s">
        <v>628</v>
      </c>
      <c r="D12" s="52"/>
      <c r="E12" s="52"/>
      <c r="F12" s="121" t="s">
        <v>336</v>
      </c>
      <c r="G12" s="152">
        <v>45642</v>
      </c>
      <c r="H12" s="2" t="s">
        <v>310</v>
      </c>
      <c r="I12" s="2">
        <f>COUNTIF(E:E,"v")</f>
        <v>10</v>
      </c>
      <c r="K12" s="33"/>
    </row>
    <row r="13" spans="1:11">
      <c r="A13" s="109">
        <f t="shared" si="2"/>
        <v>11</v>
      </c>
      <c r="B13" s="134" t="s">
        <v>629</v>
      </c>
      <c r="C13" s="132" t="s">
        <v>630</v>
      </c>
      <c r="D13" s="52"/>
      <c r="E13" s="52"/>
      <c r="F13" s="121" t="s">
        <v>336</v>
      </c>
      <c r="G13" s="120">
        <v>45750</v>
      </c>
      <c r="H13" s="2" t="s">
        <v>343</v>
      </c>
      <c r="I13" s="59">
        <f>SUM(I12/I11)</f>
        <v>0.76923076923076927</v>
      </c>
      <c r="K13" s="51"/>
    </row>
    <row r="14" spans="1:11">
      <c r="A14" s="109">
        <f t="shared" si="2"/>
        <v>12</v>
      </c>
      <c r="B14" s="134" t="s">
        <v>631</v>
      </c>
      <c r="C14" s="132" t="s">
        <v>632</v>
      </c>
      <c r="D14" s="52" t="s">
        <v>633</v>
      </c>
      <c r="E14" s="52" t="s">
        <v>67</v>
      </c>
      <c r="F14" s="121" t="s">
        <v>49</v>
      </c>
      <c r="G14" s="121" t="str">
        <f>IF(I14="No submit","No submit","v")</f>
        <v>v</v>
      </c>
      <c r="H14" s="2" t="s">
        <v>313</v>
      </c>
      <c r="I14" s="59" cm="1">
        <f t="array" ref="I14">SUM(I5:I6/I11)</f>
        <v>0.53846153846153855</v>
      </c>
      <c r="K14" s="51"/>
    </row>
    <row r="15" spans="1:11">
      <c r="A15" s="32">
        <f>ROW()-2</f>
        <v>13</v>
      </c>
      <c r="B15" s="35" t="s">
        <v>634</v>
      </c>
      <c r="C15" s="132" t="s">
        <v>635</v>
      </c>
      <c r="D15" s="52"/>
      <c r="E15" s="52"/>
      <c r="F15" s="121" t="s">
        <v>336</v>
      </c>
      <c r="G15" s="120">
        <v>45898</v>
      </c>
      <c r="I15" s="39"/>
      <c r="K15" s="2"/>
    </row>
    <row r="16" spans="1:11">
      <c r="A16" s="39"/>
      <c r="B16" s="39"/>
      <c r="C16" s="39"/>
      <c r="G16" s="39"/>
      <c r="H16" s="40" t="s">
        <v>56</v>
      </c>
      <c r="I16" s="130">
        <v>45569</v>
      </c>
      <c r="K16" s="51"/>
    </row>
  </sheetData>
  <autoFilter ref="A2:F2" xr:uid="{9CE71063-CE3D-428E-BBCA-63E1E17679CD}"/>
  <sortState xmlns:xlrd2="http://schemas.microsoft.com/office/spreadsheetml/2017/richdata2" ref="B3:G15">
    <sortCondition ref="B3:B15"/>
  </sortState>
  <mergeCells count="2">
    <mergeCell ref="K5:K8"/>
    <mergeCell ref="J5:J8"/>
  </mergeCells>
  <phoneticPr fontId="164" type="noConversion"/>
  <conditionalFormatting sqref="A8 A10:A11">
    <cfRule type="expression" dxfId="37" priority="1198">
      <formula>($F9)="Approved"</formula>
    </cfRule>
    <cfRule type="expression" dxfId="36" priority="1199">
      <formula>($F9)="Approved with comments"</formula>
    </cfRule>
    <cfRule type="expression" dxfId="35" priority="1200">
      <formula>($F9)="Pending"</formula>
    </cfRule>
    <cfRule type="expression" dxfId="34" priority="1201">
      <formula>$F9="Rejected"</formula>
    </cfRule>
  </conditionalFormatting>
  <conditionalFormatting sqref="A9">
    <cfRule type="expression" dxfId="33" priority="1">
      <formula>(#REF!)="Approved"</formula>
    </cfRule>
    <cfRule type="expression" dxfId="32" priority="2">
      <formula>(#REF!)="Approved with comments"</formula>
    </cfRule>
    <cfRule type="expression" dxfId="31" priority="3">
      <formula>(#REF!)="Pending"</formula>
    </cfRule>
    <cfRule type="expression" dxfId="30" priority="4">
      <formula>#REF!="Rejected"</formula>
    </cfRule>
  </conditionalFormatting>
  <conditionalFormatting sqref="A12:A14">
    <cfRule type="expression" dxfId="29" priority="1214">
      <formula>(#REF!)="Approved"</formula>
    </cfRule>
    <cfRule type="expression" dxfId="28" priority="1215">
      <formula>(#REF!)="Approved with comments"</formula>
    </cfRule>
    <cfRule type="expression" dxfId="27" priority="1216">
      <formula>(#REF!)="Pending"</formula>
    </cfRule>
    <cfRule type="expression" dxfId="26" priority="1217">
      <formula>#REF!="Rejected"</formula>
    </cfRule>
  </conditionalFormatting>
  <conditionalFormatting sqref="A15">
    <cfRule type="expression" dxfId="25" priority="45">
      <formula>($F16)="Approved"</formula>
    </cfRule>
    <cfRule type="expression" dxfId="24" priority="46">
      <formula>($F16)="Approved with comments"</formula>
    </cfRule>
    <cfRule type="expression" dxfId="23" priority="47">
      <formula>($F16)="Pending"</formula>
    </cfRule>
    <cfRule type="expression" dxfId="22" priority="48">
      <formula>$F16="Rejected"</formula>
    </cfRule>
  </conditionalFormatting>
  <conditionalFormatting sqref="A3:G7 C8:F9">
    <cfRule type="expression" dxfId="21" priority="17">
      <formula>($F3)="Approved"</formula>
    </cfRule>
    <cfRule type="expression" dxfId="20" priority="18">
      <formula>($F3)="Approved with comments"</formula>
    </cfRule>
    <cfRule type="expression" dxfId="19" priority="19">
      <formula>($F3)="Pending"</formula>
    </cfRule>
    <cfRule type="expression" dxfId="18" priority="20">
      <formula>$F3="Rejected"</formula>
    </cfRule>
  </conditionalFormatting>
  <conditionalFormatting sqref="B10:F10">
    <cfRule type="expression" dxfId="17" priority="41">
      <formula>($F10)="Approved"</formula>
    </cfRule>
    <cfRule type="expression" dxfId="16" priority="42">
      <formula>($F10)="Approved with comments"</formula>
    </cfRule>
    <cfRule type="expression" dxfId="15" priority="43">
      <formula>($F10)="Pending"</formula>
    </cfRule>
    <cfRule type="expression" dxfId="14" priority="44">
      <formula>$F10="Rejected"</formula>
    </cfRule>
  </conditionalFormatting>
  <conditionalFormatting sqref="B11:G15">
    <cfRule type="expression" dxfId="13" priority="5">
      <formula>($F11)="Approved"</formula>
    </cfRule>
    <cfRule type="expression" dxfId="12" priority="6">
      <formula>($F11)="Approved with comments"</formula>
    </cfRule>
    <cfRule type="expression" dxfId="11" priority="7">
      <formula>($F11)="Pending"</formula>
    </cfRule>
    <cfRule type="expression" dxfId="10" priority="8">
      <formula>$F11="Rejected"</formula>
    </cfRule>
  </conditionalFormatting>
  <conditionalFormatting sqref="G8:G10">
    <cfRule type="expression" dxfId="9" priority="9">
      <formula>($F8)="Approved"</formula>
    </cfRule>
    <cfRule type="expression" dxfId="8" priority="10">
      <formula>($F8)="Approved with comments"</formula>
    </cfRule>
    <cfRule type="expression" dxfId="7" priority="11">
      <formula>($F8)="Pending"</formula>
    </cfRule>
    <cfRule type="expression" dxfId="6" priority="12">
      <formula>$F8="Rejected"</formula>
    </cfRule>
  </conditionalFormatting>
  <dataValidations count="1">
    <dataValidation type="list" allowBlank="1" showInputMessage="1" showErrorMessage="1" sqref="F3:F15" xr:uid="{1D669174-62DB-4422-A69F-24106E9F4A3B}">
      <formula1>#REF!</formula1>
    </dataValidation>
  </dataValidations>
  <pageMargins left="0.7" right="0.7" top="0.75" bottom="0.75" header="0.3" footer="0.3"/>
  <pageSetup orientation="portrait" verticalDpi="360"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4E205-BFA3-4C48-B36B-FF73A8C08DEB}">
  <sheetPr codeName="Sheet27">
    <tabColor theme="6"/>
  </sheetPr>
  <dimension ref="A1:J18"/>
  <sheetViews>
    <sheetView zoomScaleNormal="100" workbookViewId="0">
      <pane xSplit="2" ySplit="2" topLeftCell="C3" activePane="bottomRight" state="frozen"/>
      <selection activeCell="B29" sqref="B29"/>
      <selection pane="topRight" activeCell="B29" sqref="B29"/>
      <selection pane="bottomLeft" activeCell="B29" sqref="B29"/>
      <selection pane="bottomRight" activeCell="B29" sqref="B29"/>
    </sheetView>
  </sheetViews>
  <sheetFormatPr defaultRowHeight="15.75" outlineLevelRow="1"/>
  <cols>
    <col min="1" max="1" width="6.5703125" style="33" bestFit="1" customWidth="1"/>
    <col min="2" max="2" width="34.42578125" style="40" customWidth="1"/>
    <col min="3" max="3" width="80.7109375" style="40" bestFit="1" customWidth="1"/>
    <col min="4" max="4" width="8.7109375" style="39" bestFit="1" customWidth="1"/>
    <col min="5" max="5" width="11.7109375" style="39" bestFit="1" customWidth="1"/>
    <col min="6" max="6" width="24.5703125" style="39" bestFit="1" customWidth="1"/>
    <col min="7" max="7" width="24.5703125" style="39" customWidth="1"/>
    <col min="8" max="8" width="24.28515625" style="2" bestFit="1" customWidth="1"/>
    <col min="9" max="9" width="20.42578125" style="2" customWidth="1"/>
  </cols>
  <sheetData>
    <row r="1" spans="1:10" ht="180" hidden="1" customHeight="1" outlineLevel="1"/>
    <row r="2" spans="1:10" s="1" customFormat="1" ht="31.5" collapsed="1">
      <c r="A2" s="37" t="s">
        <v>0</v>
      </c>
      <c r="B2" s="37" t="s">
        <v>314</v>
      </c>
      <c r="C2" s="38" t="s">
        <v>315</v>
      </c>
      <c r="D2" s="38" t="s">
        <v>316</v>
      </c>
      <c r="E2" s="38" t="s">
        <v>59</v>
      </c>
      <c r="F2" s="38" t="s">
        <v>27</v>
      </c>
      <c r="G2"/>
    </row>
    <row r="3" spans="1:10">
      <c r="A3" s="32">
        <f>ROW()-2</f>
        <v>1</v>
      </c>
      <c r="B3" s="35" t="s">
        <v>588</v>
      </c>
      <c r="C3" s="57" t="s">
        <v>589</v>
      </c>
      <c r="D3" s="52">
        <v>6</v>
      </c>
      <c r="E3" s="31" t="s">
        <v>67</v>
      </c>
      <c r="F3" s="31" t="s">
        <v>73</v>
      </c>
      <c r="G3"/>
    </row>
    <row r="4" spans="1:10">
      <c r="A4" s="32">
        <f>ROW()-2</f>
        <v>2</v>
      </c>
      <c r="B4" s="35" t="s">
        <v>590</v>
      </c>
      <c r="C4" s="57" t="s">
        <v>308</v>
      </c>
      <c r="D4" s="52">
        <v>12</v>
      </c>
      <c r="E4" s="31" t="s">
        <v>67</v>
      </c>
      <c r="F4" s="31" t="s">
        <v>73</v>
      </c>
      <c r="G4"/>
      <c r="H4" s="46"/>
      <c r="I4" s="34" t="s">
        <v>322</v>
      </c>
    </row>
    <row r="5" spans="1:10">
      <c r="A5" s="32">
        <v>3</v>
      </c>
      <c r="B5" s="35" t="s">
        <v>591</v>
      </c>
      <c r="C5" s="57" t="s">
        <v>592</v>
      </c>
      <c r="D5" s="52">
        <v>7</v>
      </c>
      <c r="E5" s="31" t="s">
        <v>67</v>
      </c>
      <c r="F5" s="31" t="s">
        <v>73</v>
      </c>
      <c r="G5"/>
      <c r="H5" s="44" t="s">
        <v>73</v>
      </c>
      <c r="I5" s="45">
        <f t="shared" ref="I5:I10" si="0">COUNTIF($F$3:$F$942,H5)</f>
        <v>4</v>
      </c>
      <c r="J5" s="1160">
        <f>SUM(I5:I6)</f>
        <v>4</v>
      </c>
    </row>
    <row r="6" spans="1:10">
      <c r="A6" s="32">
        <f>ROW()-2</f>
        <v>4</v>
      </c>
      <c r="B6" s="35" t="s">
        <v>593</v>
      </c>
      <c r="C6" s="57" t="s">
        <v>594</v>
      </c>
      <c r="D6" s="52">
        <v>3</v>
      </c>
      <c r="E6" s="31" t="s">
        <v>67</v>
      </c>
      <c r="F6" s="31" t="s">
        <v>73</v>
      </c>
      <c r="G6"/>
      <c r="H6" s="44" t="s">
        <v>49</v>
      </c>
      <c r="I6" s="45">
        <f t="shared" si="0"/>
        <v>0</v>
      </c>
      <c r="J6" s="1160"/>
    </row>
    <row r="7" spans="1:10">
      <c r="G7"/>
      <c r="H7" s="44" t="s">
        <v>241</v>
      </c>
      <c r="I7" s="45">
        <f t="shared" si="0"/>
        <v>0</v>
      </c>
      <c r="J7" s="51"/>
    </row>
    <row r="8" spans="1:10">
      <c r="G8"/>
      <c r="H8" s="44" t="s">
        <v>331</v>
      </c>
      <c r="I8" s="45">
        <f t="shared" si="0"/>
        <v>0</v>
      </c>
      <c r="J8" s="51"/>
    </row>
    <row r="9" spans="1:10">
      <c r="G9"/>
      <c r="H9" s="44" t="s">
        <v>213</v>
      </c>
      <c r="I9" s="45">
        <f t="shared" si="0"/>
        <v>0</v>
      </c>
      <c r="J9" s="51"/>
    </row>
    <row r="10" spans="1:10">
      <c r="G10"/>
      <c r="H10" s="44" t="s">
        <v>336</v>
      </c>
      <c r="I10" s="45">
        <f t="shared" si="0"/>
        <v>0</v>
      </c>
      <c r="J10" s="2"/>
    </row>
    <row r="11" spans="1:10">
      <c r="G11"/>
      <c r="H11" s="2" t="s">
        <v>304</v>
      </c>
      <c r="I11" s="2">
        <f>SUM(I5:I10)</f>
        <v>4</v>
      </c>
      <c r="J11" s="51"/>
    </row>
    <row r="12" spans="1:10">
      <c r="G12"/>
      <c r="H12" s="2" t="s">
        <v>310</v>
      </c>
      <c r="I12" s="2">
        <f>COUNTIF(E:E,"v")</f>
        <v>4</v>
      </c>
      <c r="J12" s="51"/>
    </row>
    <row r="13" spans="1:10">
      <c r="G13"/>
      <c r="H13" s="2" t="s">
        <v>343</v>
      </c>
      <c r="I13" s="59">
        <f>SUM(I12/I11)</f>
        <v>1</v>
      </c>
      <c r="J13" s="51"/>
    </row>
    <row r="14" spans="1:10">
      <c r="G14"/>
      <c r="H14" s="2" t="s">
        <v>313</v>
      </c>
      <c r="I14" s="59" cm="1">
        <f t="array" ref="I14">SUM(I5:I6/I11)</f>
        <v>1</v>
      </c>
      <c r="J14" s="51"/>
    </row>
    <row r="17" spans="8:9">
      <c r="H17" s="33" t="s">
        <v>348</v>
      </c>
      <c r="I17" s="130">
        <v>45569</v>
      </c>
    </row>
    <row r="18" spans="8:9">
      <c r="I18" s="131" t="s">
        <v>522</v>
      </c>
    </row>
  </sheetData>
  <mergeCells count="1">
    <mergeCell ref="J5:J6"/>
  </mergeCells>
  <phoneticPr fontId="164" type="noConversion"/>
  <conditionalFormatting sqref="A3:F6">
    <cfRule type="expression" dxfId="5" priority="1">
      <formula>($F3)="Approved"</formula>
    </cfRule>
    <cfRule type="expression" dxfId="4" priority="2">
      <formula>($F3)="Approved with comments"</formula>
    </cfRule>
    <cfRule type="expression" dxfId="3" priority="3">
      <formula>($F3)="Pending"</formula>
    </cfRule>
    <cfRule type="expression" dxfId="2" priority="4">
      <formula>$F3="Rejected"</formula>
    </cfRule>
    <cfRule type="expression" dxfId="1" priority="5">
      <formula>$F3="Revise &amp; Resubmit"</formula>
    </cfRule>
  </conditionalFormatting>
  <conditionalFormatting sqref="B1:B1048576">
    <cfRule type="duplicateValues" dxfId="0" priority="671"/>
  </conditionalFormatting>
  <dataValidations count="1">
    <dataValidation type="list" allowBlank="1" showInputMessage="1" showErrorMessage="1" sqref="F3:F6" xr:uid="{28D93FB8-9383-4E0A-8483-970FA0299BD4}">
      <formula1>#REF!</formula1>
    </dataValidation>
  </dataValidations>
  <pageMargins left="0.7" right="0.7" top="0.75" bottom="0.75" header="0.3" footer="0.3"/>
  <drawing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DF91F-2C00-40D6-BBCF-B79C1D3A9B27}">
  <sheetPr codeName="Module___7"/>
  <dimension ref="B1:E91"/>
  <sheetViews>
    <sheetView topLeftCell="A75" zoomScaleNormal="100" workbookViewId="0">
      <selection activeCell="E40" sqref="E40"/>
    </sheetView>
  </sheetViews>
  <sheetFormatPr defaultColWidth="9.85546875" defaultRowHeight="16.5"/>
  <cols>
    <col min="1" max="1" width="9.85546875" style="296"/>
    <col min="2" max="2" width="10.42578125" style="296" bestFit="1" customWidth="1"/>
    <col min="3" max="3" width="30.5703125" style="296" bestFit="1" customWidth="1"/>
    <col min="4" max="4" width="93.42578125" style="296" bestFit="1" customWidth="1"/>
    <col min="5" max="5" width="29.7109375" style="296" bestFit="1" customWidth="1"/>
    <col min="6" max="16384" width="9.85546875" style="296"/>
  </cols>
  <sheetData>
    <row r="1" spans="2:5">
      <c r="B1" s="295" t="s">
        <v>1781</v>
      </c>
      <c r="C1" s="295" t="s">
        <v>1782</v>
      </c>
      <c r="D1" s="295"/>
      <c r="E1" s="295"/>
    </row>
    <row r="2" spans="2:5">
      <c r="B2" s="295" t="s">
        <v>1783</v>
      </c>
      <c r="C2" s="295" t="s">
        <v>1784</v>
      </c>
      <c r="D2" s="295" t="s">
        <v>1785</v>
      </c>
      <c r="E2" s="295"/>
    </row>
    <row r="3" spans="2:5">
      <c r="B3" s="295"/>
      <c r="C3" s="1250" t="s">
        <v>1786</v>
      </c>
      <c r="D3" s="295" t="s">
        <v>1787</v>
      </c>
      <c r="E3" s="295"/>
    </row>
    <row r="4" spans="2:5">
      <c r="B4" s="295"/>
      <c r="C4" s="1251"/>
      <c r="D4" s="295" t="s">
        <v>1788</v>
      </c>
      <c r="E4" s="295"/>
    </row>
    <row r="5" spans="2:5" ht="16.5" customHeight="1">
      <c r="B5" s="295"/>
      <c r="C5" s="1251"/>
      <c r="D5" s="295" t="s">
        <v>1789</v>
      </c>
      <c r="E5" s="295"/>
    </row>
    <row r="6" spans="2:5" ht="16.5" customHeight="1">
      <c r="B6" s="295"/>
      <c r="C6" s="1251"/>
      <c r="D6" s="295" t="s">
        <v>1790</v>
      </c>
      <c r="E6" s="295"/>
    </row>
    <row r="7" spans="2:5" ht="16.5" customHeight="1">
      <c r="B7" s="295"/>
      <c r="C7" s="1252"/>
      <c r="D7" s="295" t="s">
        <v>1791</v>
      </c>
      <c r="E7" s="295"/>
    </row>
    <row r="8" spans="2:5" ht="16.5" customHeight="1">
      <c r="B8" s="295" t="s">
        <v>1792</v>
      </c>
      <c r="C8" s="295" t="s">
        <v>1793</v>
      </c>
      <c r="D8" s="295" t="s">
        <v>1794</v>
      </c>
      <c r="E8" s="295"/>
    </row>
    <row r="9" spans="2:5" ht="49.5">
      <c r="B9" s="295"/>
      <c r="C9" s="295"/>
      <c r="D9" s="297" t="s">
        <v>1795</v>
      </c>
      <c r="E9" s="295"/>
    </row>
    <row r="10" spans="2:5" ht="16.5" customHeight="1">
      <c r="B10" s="295"/>
      <c r="E10" s="295"/>
    </row>
    <row r="11" spans="2:5">
      <c r="B11" s="295" t="s">
        <v>1796</v>
      </c>
      <c r="C11" s="295"/>
      <c r="D11" s="297" t="s">
        <v>1797</v>
      </c>
      <c r="E11" s="295"/>
    </row>
    <row r="12" spans="2:5">
      <c r="B12" s="298" t="s">
        <v>1798</v>
      </c>
      <c r="C12" s="299"/>
      <c r="D12" s="300"/>
      <c r="E12" s="295"/>
    </row>
    <row r="13" spans="2:5">
      <c r="B13" s="295"/>
      <c r="C13" s="1253" t="s">
        <v>1799</v>
      </c>
      <c r="D13" s="1254"/>
      <c r="E13" s="295"/>
    </row>
    <row r="14" spans="2:5">
      <c r="B14" s="295"/>
      <c r="C14" s="295"/>
      <c r="D14" s="295" t="s">
        <v>1800</v>
      </c>
      <c r="E14" s="295"/>
    </row>
    <row r="15" spans="2:5">
      <c r="B15" s="295"/>
      <c r="C15" s="295"/>
      <c r="D15" s="301" t="s">
        <v>1801</v>
      </c>
      <c r="E15" s="295"/>
    </row>
    <row r="16" spans="2:5">
      <c r="B16" s="295"/>
      <c r="C16" s="295"/>
      <c r="D16" s="301" t="s">
        <v>1802</v>
      </c>
      <c r="E16" s="295"/>
    </row>
    <row r="17" spans="2:5">
      <c r="B17" s="295"/>
      <c r="C17" s="295" t="s">
        <v>1803</v>
      </c>
      <c r="D17" s="301" t="s">
        <v>1804</v>
      </c>
      <c r="E17" s="295"/>
    </row>
    <row r="18" spans="2:5">
      <c r="B18" s="295"/>
      <c r="C18" s="295" t="s">
        <v>1805</v>
      </c>
      <c r="D18" s="301" t="s">
        <v>1806</v>
      </c>
      <c r="E18" s="295"/>
    </row>
    <row r="19" spans="2:5">
      <c r="B19" s="295"/>
      <c r="C19" s="295"/>
      <c r="D19" s="301" t="s">
        <v>1807</v>
      </c>
      <c r="E19" s="295"/>
    </row>
    <row r="20" spans="2:5">
      <c r="B20" s="295"/>
      <c r="C20" s="295"/>
      <c r="D20" s="301" t="s">
        <v>1808</v>
      </c>
      <c r="E20" s="295"/>
    </row>
    <row r="21" spans="2:5">
      <c r="B21" s="295"/>
      <c r="C21" s="295"/>
      <c r="D21" s="301" t="s">
        <v>1809</v>
      </c>
      <c r="E21" s="295"/>
    </row>
    <row r="22" spans="2:5">
      <c r="B22" s="295"/>
      <c r="C22" s="295" t="s">
        <v>1810</v>
      </c>
      <c r="D22" s="301" t="s">
        <v>1811</v>
      </c>
      <c r="E22" s="295"/>
    </row>
    <row r="23" spans="2:5">
      <c r="B23" s="295"/>
      <c r="C23" s="295"/>
      <c r="D23" s="301" t="s">
        <v>1812</v>
      </c>
      <c r="E23" s="295"/>
    </row>
    <row r="24" spans="2:5">
      <c r="B24" s="295"/>
      <c r="C24" s="295"/>
      <c r="D24" s="301" t="s">
        <v>1813</v>
      </c>
      <c r="E24" s="295"/>
    </row>
    <row r="25" spans="2:5">
      <c r="B25" s="295"/>
      <c r="C25" s="295"/>
      <c r="D25" s="301" t="s">
        <v>1814</v>
      </c>
      <c r="E25" s="295"/>
    </row>
    <row r="26" spans="2:5">
      <c r="B26" s="295"/>
      <c r="C26" s="295"/>
      <c r="D26" s="301" t="s">
        <v>1815</v>
      </c>
      <c r="E26" s="295"/>
    </row>
    <row r="27" spans="2:5">
      <c r="B27" s="295"/>
      <c r="C27" s="295" t="s">
        <v>1816</v>
      </c>
      <c r="D27" s="301" t="s">
        <v>1817</v>
      </c>
      <c r="E27" s="295"/>
    </row>
    <row r="28" spans="2:5">
      <c r="B28" s="295"/>
      <c r="C28" s="295" t="s">
        <v>1818</v>
      </c>
      <c r="D28" s="301" t="s">
        <v>1819</v>
      </c>
      <c r="E28" s="295" t="s">
        <v>1820</v>
      </c>
    </row>
    <row r="29" spans="2:5">
      <c r="B29" s="295"/>
      <c r="C29" s="295"/>
      <c r="D29" s="301" t="s">
        <v>1821</v>
      </c>
      <c r="E29" s="295" t="s">
        <v>1820</v>
      </c>
    </row>
    <row r="30" spans="2:5">
      <c r="B30" s="295"/>
      <c r="C30" s="295"/>
      <c r="D30" s="295"/>
      <c r="E30" s="295" t="s">
        <v>1822</v>
      </c>
    </row>
    <row r="31" spans="2:5">
      <c r="B31" s="295"/>
      <c r="C31" s="295" t="s">
        <v>1823</v>
      </c>
      <c r="D31" s="301" t="s">
        <v>1824</v>
      </c>
      <c r="E31" s="295"/>
    </row>
    <row r="32" spans="2:5">
      <c r="B32" s="295"/>
      <c r="C32" s="295"/>
      <c r="D32" s="301" t="s">
        <v>1825</v>
      </c>
      <c r="E32" s="295"/>
    </row>
    <row r="33" spans="2:5">
      <c r="B33" s="295"/>
      <c r="C33" s="295"/>
      <c r="D33" s="295" t="s">
        <v>1826</v>
      </c>
      <c r="E33" s="295"/>
    </row>
    <row r="34" spans="2:5">
      <c r="B34" s="295"/>
      <c r="C34" s="295"/>
      <c r="D34" s="301" t="s">
        <v>1827</v>
      </c>
      <c r="E34" s="295"/>
    </row>
    <row r="35" spans="2:5">
      <c r="B35" s="295"/>
      <c r="C35" s="295" t="s">
        <v>1828</v>
      </c>
      <c r="D35" s="301" t="s">
        <v>1829</v>
      </c>
      <c r="E35" s="295"/>
    </row>
    <row r="36" spans="2:5">
      <c r="B36" s="295"/>
      <c r="C36" s="295" t="s">
        <v>1830</v>
      </c>
      <c r="D36" s="301" t="s">
        <v>1831</v>
      </c>
      <c r="E36" s="295"/>
    </row>
    <row r="37" spans="2:5">
      <c r="B37" s="295"/>
      <c r="C37" s="295" t="s">
        <v>1832</v>
      </c>
      <c r="D37" s="301" t="s">
        <v>1833</v>
      </c>
      <c r="E37" s="295"/>
    </row>
    <row r="38" spans="2:5">
      <c r="B38" s="295" t="s">
        <v>1834</v>
      </c>
      <c r="C38" s="295" t="s">
        <v>1835</v>
      </c>
      <c r="D38" s="301" t="s">
        <v>1836</v>
      </c>
      <c r="E38" s="295"/>
    </row>
    <row r="39" spans="2:5">
      <c r="B39" s="295"/>
      <c r="C39" s="295"/>
      <c r="D39" s="301" t="s">
        <v>1837</v>
      </c>
      <c r="E39" s="295"/>
    </row>
    <row r="40" spans="2:5">
      <c r="B40" s="295"/>
      <c r="C40" s="295"/>
      <c r="D40" s="301" t="s">
        <v>1838</v>
      </c>
      <c r="E40" s="295"/>
    </row>
    <row r="41" spans="2:5">
      <c r="B41" s="295" t="s">
        <v>1839</v>
      </c>
      <c r="C41" s="295"/>
      <c r="D41" s="295"/>
      <c r="E41" s="295"/>
    </row>
    <row r="42" spans="2:5">
      <c r="B42" s="295"/>
      <c r="C42" s="295" t="s">
        <v>1840</v>
      </c>
      <c r="D42" s="295"/>
      <c r="E42" s="295"/>
    </row>
    <row r="43" spans="2:5">
      <c r="B43" s="295"/>
      <c r="C43" s="295"/>
      <c r="D43" s="295" t="s">
        <v>1800</v>
      </c>
      <c r="E43" s="295"/>
    </row>
    <row r="44" spans="2:5">
      <c r="B44" s="295"/>
      <c r="C44" s="295"/>
      <c r="D44" s="301" t="s">
        <v>1801</v>
      </c>
      <c r="E44" s="295"/>
    </row>
    <row r="45" spans="2:5">
      <c r="B45" s="295"/>
      <c r="C45" s="295"/>
      <c r="D45" s="301" t="s">
        <v>1802</v>
      </c>
      <c r="E45" s="295"/>
    </row>
    <row r="46" spans="2:5">
      <c r="B46" s="295"/>
      <c r="C46" s="295" t="s">
        <v>1803</v>
      </c>
      <c r="D46" s="301" t="s">
        <v>1804</v>
      </c>
      <c r="E46" s="295"/>
    </row>
    <row r="47" spans="2:5">
      <c r="B47" s="295"/>
      <c r="C47" s="295" t="s">
        <v>1841</v>
      </c>
      <c r="D47" s="301" t="s">
        <v>1842</v>
      </c>
      <c r="E47" s="295"/>
    </row>
    <row r="48" spans="2:5">
      <c r="B48" s="295"/>
      <c r="C48" s="295" t="s">
        <v>1841</v>
      </c>
      <c r="D48" s="301" t="s">
        <v>1843</v>
      </c>
      <c r="E48" s="295"/>
    </row>
    <row r="49" spans="2:5">
      <c r="B49" s="295"/>
      <c r="C49" s="295"/>
      <c r="D49" s="301" t="s">
        <v>1844</v>
      </c>
      <c r="E49" s="295"/>
    </row>
    <row r="50" spans="2:5">
      <c r="B50" s="295"/>
      <c r="C50" s="295"/>
      <c r="D50" s="301" t="s">
        <v>1845</v>
      </c>
      <c r="E50" s="295"/>
    </row>
    <row r="51" spans="2:5">
      <c r="B51" s="295"/>
      <c r="C51" s="295"/>
      <c r="D51" s="301" t="s">
        <v>1846</v>
      </c>
      <c r="E51" s="295"/>
    </row>
    <row r="52" spans="2:5" ht="31.5">
      <c r="B52" s="295"/>
      <c r="C52" s="295"/>
      <c r="D52" s="301" t="s">
        <v>1847</v>
      </c>
      <c r="E52" s="295"/>
    </row>
    <row r="53" spans="2:5">
      <c r="B53" s="295"/>
      <c r="C53" s="295"/>
      <c r="D53" s="301" t="s">
        <v>1848</v>
      </c>
      <c r="E53" s="295"/>
    </row>
    <row r="54" spans="2:5" ht="31.5">
      <c r="B54" s="295"/>
      <c r="C54" s="295"/>
      <c r="D54" s="301" t="s">
        <v>1849</v>
      </c>
      <c r="E54" s="295"/>
    </row>
    <row r="55" spans="2:5">
      <c r="B55" s="295"/>
      <c r="C55" s="295"/>
      <c r="D55" s="301" t="s">
        <v>1850</v>
      </c>
      <c r="E55" s="295"/>
    </row>
    <row r="56" spans="2:5">
      <c r="B56" s="295"/>
      <c r="C56" s="295"/>
      <c r="D56" s="301" t="s">
        <v>1851</v>
      </c>
      <c r="E56" s="295"/>
    </row>
    <row r="57" spans="2:5">
      <c r="B57" s="295"/>
      <c r="C57" s="295"/>
      <c r="D57" s="295" t="s">
        <v>1852</v>
      </c>
      <c r="E57" s="295"/>
    </row>
    <row r="58" spans="2:5">
      <c r="B58" s="295"/>
      <c r="C58" s="295"/>
      <c r="D58" s="295" t="s">
        <v>1853</v>
      </c>
      <c r="E58" s="295"/>
    </row>
    <row r="59" spans="2:5">
      <c r="B59" s="295"/>
      <c r="C59" s="295" t="s">
        <v>1854</v>
      </c>
      <c r="D59" s="295" t="s">
        <v>1855</v>
      </c>
      <c r="E59" s="295"/>
    </row>
    <row r="60" spans="2:5">
      <c r="B60" s="295"/>
      <c r="C60" s="295"/>
      <c r="D60" s="295" t="s">
        <v>1856</v>
      </c>
      <c r="E60" s="295"/>
    </row>
    <row r="61" spans="2:5">
      <c r="B61" s="295"/>
      <c r="C61" s="295" t="s">
        <v>1857</v>
      </c>
      <c r="D61" s="295" t="s">
        <v>1858</v>
      </c>
      <c r="E61" s="295"/>
    </row>
    <row r="62" spans="2:5">
      <c r="B62" s="295"/>
      <c r="C62" s="295"/>
      <c r="D62" s="295" t="s">
        <v>1859</v>
      </c>
      <c r="E62" s="295"/>
    </row>
    <row r="63" spans="2:5" ht="33">
      <c r="B63" s="295"/>
      <c r="C63" s="295"/>
      <c r="D63" s="297" t="s">
        <v>1860</v>
      </c>
      <c r="E63" s="295"/>
    </row>
    <row r="64" spans="2:5">
      <c r="B64" s="295"/>
      <c r="C64" s="295"/>
      <c r="D64" s="297" t="s">
        <v>1861</v>
      </c>
      <c r="E64" s="295"/>
    </row>
    <row r="65" spans="2:5" ht="54" customHeight="1">
      <c r="B65" s="295"/>
      <c r="C65" s="295"/>
      <c r="D65" s="297" t="s">
        <v>1862</v>
      </c>
      <c r="E65" s="295"/>
    </row>
    <row r="66" spans="2:5" ht="33">
      <c r="B66" s="295"/>
      <c r="C66" s="295" t="s">
        <v>1845</v>
      </c>
      <c r="D66" s="297" t="s">
        <v>1863</v>
      </c>
      <c r="E66" s="295"/>
    </row>
    <row r="67" spans="2:5">
      <c r="B67" s="295"/>
      <c r="C67" s="295"/>
      <c r="D67" s="297" t="s">
        <v>1864</v>
      </c>
      <c r="E67" s="295"/>
    </row>
    <row r="68" spans="2:5">
      <c r="B68" s="295" t="s">
        <v>1865</v>
      </c>
      <c r="C68" s="295"/>
      <c r="D68" s="295" t="s">
        <v>1866</v>
      </c>
      <c r="E68" s="295"/>
    </row>
    <row r="69" spans="2:5">
      <c r="B69" s="295"/>
      <c r="C69" s="295"/>
      <c r="D69" s="295" t="s">
        <v>1867</v>
      </c>
      <c r="E69" s="295"/>
    </row>
    <row r="70" spans="2:5">
      <c r="B70" s="295"/>
      <c r="C70" s="295"/>
      <c r="D70" s="295" t="s">
        <v>1868</v>
      </c>
      <c r="E70" s="295"/>
    </row>
    <row r="71" spans="2:5">
      <c r="B71" s="295"/>
      <c r="C71" s="295"/>
      <c r="D71" s="295"/>
      <c r="E71" s="295"/>
    </row>
    <row r="72" spans="2:5">
      <c r="B72" s="295"/>
      <c r="C72" s="295"/>
      <c r="D72" s="295" t="s">
        <v>1869</v>
      </c>
      <c r="E72" s="295"/>
    </row>
    <row r="73" spans="2:5">
      <c r="B73" s="295"/>
      <c r="C73" s="295"/>
      <c r="D73" s="295" t="s">
        <v>1870</v>
      </c>
      <c r="E73" s="295"/>
    </row>
    <row r="74" spans="2:5">
      <c r="B74" s="295"/>
      <c r="C74" s="295"/>
      <c r="D74" s="295" t="s">
        <v>1871</v>
      </c>
      <c r="E74" s="295"/>
    </row>
    <row r="75" spans="2:5">
      <c r="B75" s="295"/>
      <c r="C75" s="295"/>
      <c r="D75" s="295" t="s">
        <v>1872</v>
      </c>
      <c r="E75" s="295"/>
    </row>
    <row r="76" spans="2:5">
      <c r="B76" s="295"/>
      <c r="C76" s="295"/>
      <c r="D76" s="295"/>
      <c r="E76" s="295"/>
    </row>
    <row r="77" spans="2:5">
      <c r="B77" s="295"/>
      <c r="C77" s="295"/>
      <c r="D77" s="295" t="s">
        <v>1873</v>
      </c>
      <c r="E77" s="295"/>
    </row>
    <row r="78" spans="2:5">
      <c r="B78" s="295" t="s">
        <v>1874</v>
      </c>
      <c r="C78" s="295" t="s">
        <v>1875</v>
      </c>
      <c r="D78" s="295"/>
      <c r="E78" s="295"/>
    </row>
    <row r="83" spans="2:5">
      <c r="B83" s="302" t="s">
        <v>1876</v>
      </c>
      <c r="C83" s="303" t="s">
        <v>1877</v>
      </c>
      <c r="D83" s="283" t="s">
        <v>1878</v>
      </c>
      <c r="E83" s="283" t="s">
        <v>1879</v>
      </c>
    </row>
    <row r="84" spans="2:5">
      <c r="B84" s="302"/>
      <c r="C84" s="302"/>
      <c r="D84" s="283" t="s">
        <v>1880</v>
      </c>
      <c r="E84" s="283" t="s">
        <v>1881</v>
      </c>
    </row>
    <row r="85" spans="2:5">
      <c r="B85" s="283"/>
      <c r="C85" s="283"/>
      <c r="D85" s="283"/>
      <c r="E85" s="283"/>
    </row>
    <row r="86" spans="2:5">
      <c r="B86" s="302" t="s">
        <v>1882</v>
      </c>
      <c r="C86" s="283" t="s">
        <v>1883</v>
      </c>
      <c r="D86" s="283"/>
      <c r="E86" s="283"/>
    </row>
    <row r="87" spans="2:5">
      <c r="B87" s="302"/>
      <c r="C87" s="283" t="s">
        <v>1884</v>
      </c>
      <c r="D87" s="283"/>
      <c r="E87" s="283"/>
    </row>
    <row r="88" spans="2:5">
      <c r="B88" s="283"/>
      <c r="C88" s="283" t="s">
        <v>1885</v>
      </c>
      <c r="D88" s="283"/>
      <c r="E88" s="283"/>
    </row>
    <row r="89" spans="2:5">
      <c r="B89" s="283"/>
      <c r="C89" s="283" t="s">
        <v>1886</v>
      </c>
      <c r="D89" s="283"/>
      <c r="E89" s="283"/>
    </row>
    <row r="90" spans="2:5">
      <c r="B90" s="283"/>
      <c r="C90" s="283"/>
      <c r="D90" s="283"/>
      <c r="E90" s="283"/>
    </row>
    <row r="91" spans="2:5">
      <c r="B91" s="283"/>
      <c r="C91" s="283" t="s">
        <v>1887</v>
      </c>
      <c r="D91" s="283" t="s">
        <v>1888</v>
      </c>
      <c r="E91" s="283"/>
    </row>
  </sheetData>
  <mergeCells count="2">
    <mergeCell ref="C3:C7"/>
    <mergeCell ref="C13:D13"/>
  </mergeCells>
  <phoneticPr fontId="164" type="noConversion"/>
  <pageMargins left="0.7" right="0.7" top="0.75" bottom="0.75" header="0.3" footer="0.3"/>
  <pageSetup paperSize="9" orientation="portrait" horizontalDpi="1200" verticalDpi="1200"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A2BF0-62B4-4632-AD09-15349D2A5253}">
  <sheetPr codeName="Sheet2"/>
  <dimension ref="A1:D54"/>
  <sheetViews>
    <sheetView workbookViewId="0">
      <selection activeCell="G14" sqref="G14"/>
    </sheetView>
  </sheetViews>
  <sheetFormatPr defaultColWidth="9.85546875" defaultRowHeight="15"/>
  <cols>
    <col min="1" max="1" width="10.140625" style="305" customWidth="1"/>
    <col min="2" max="2" width="26.42578125" style="304" bestFit="1" customWidth="1"/>
    <col min="3" max="3" width="10.5703125" style="304" bestFit="1" customWidth="1"/>
    <col min="4" max="4" width="11.140625" style="304" bestFit="1" customWidth="1"/>
    <col min="5" max="16384" width="9.85546875" style="304"/>
  </cols>
  <sheetData>
    <row r="1" spans="1:4">
      <c r="A1" s="1255" t="s">
        <v>1889</v>
      </c>
      <c r="B1" s="1255"/>
      <c r="C1" s="1255"/>
      <c r="D1" s="1255"/>
    </row>
    <row r="2" spans="1:4">
      <c r="A2" s="305" t="s">
        <v>988</v>
      </c>
      <c r="B2" s="304" t="s">
        <v>1890</v>
      </c>
      <c r="C2" s="304" t="s">
        <v>1891</v>
      </c>
      <c r="D2" s="304" t="s">
        <v>998</v>
      </c>
    </row>
    <row r="3" spans="1:4">
      <c r="A3" s="305">
        <v>1</v>
      </c>
      <c r="B3" s="304" t="s">
        <v>1892</v>
      </c>
    </row>
    <row r="4" spans="1:4">
      <c r="B4" s="304" t="s">
        <v>1893</v>
      </c>
    </row>
    <row r="5" spans="1:4">
      <c r="A5" s="305">
        <v>2</v>
      </c>
      <c r="B5" s="304" t="s">
        <v>1894</v>
      </c>
    </row>
    <row r="6" spans="1:4">
      <c r="A6" s="305">
        <v>3</v>
      </c>
      <c r="B6" s="304" t="s">
        <v>1895</v>
      </c>
    </row>
    <row r="7" spans="1:4" ht="16.5">
      <c r="A7" s="305">
        <v>4</v>
      </c>
      <c r="B7" s="304" t="s">
        <v>1896</v>
      </c>
    </row>
    <row r="8" spans="1:4" ht="16.5">
      <c r="A8" s="305">
        <v>5</v>
      </c>
      <c r="B8" s="1256" t="s">
        <v>1897</v>
      </c>
      <c r="C8" s="306" t="s">
        <v>1898</v>
      </c>
    </row>
    <row r="9" spans="1:4" ht="16.5">
      <c r="A9" s="305">
        <v>6</v>
      </c>
      <c r="B9" s="1256"/>
      <c r="C9" s="306" t="s">
        <v>1899</v>
      </c>
    </row>
    <row r="10" spans="1:4">
      <c r="A10" s="305">
        <v>7</v>
      </c>
      <c r="B10" s="304" t="s">
        <v>1900</v>
      </c>
    </row>
    <row r="11" spans="1:4">
      <c r="A11" s="305">
        <v>8</v>
      </c>
      <c r="B11" s="304" t="s">
        <v>1901</v>
      </c>
    </row>
    <row r="12" spans="1:4">
      <c r="A12" s="305">
        <v>9</v>
      </c>
      <c r="B12" s="304" t="s">
        <v>1902</v>
      </c>
    </row>
    <row r="13" spans="1:4">
      <c r="A13" s="305">
        <v>11</v>
      </c>
      <c r="B13" s="304" t="s">
        <v>1903</v>
      </c>
    </row>
    <row r="14" spans="1:4">
      <c r="A14" s="305">
        <v>12</v>
      </c>
      <c r="B14" s="304" t="s">
        <v>1904</v>
      </c>
    </row>
    <row r="15" spans="1:4">
      <c r="A15" s="305">
        <v>13</v>
      </c>
      <c r="B15" s="304" t="s">
        <v>1905</v>
      </c>
    </row>
    <row r="16" spans="1:4">
      <c r="A16" s="305">
        <v>10</v>
      </c>
      <c r="B16" s="304" t="s">
        <v>1906</v>
      </c>
    </row>
    <row r="17" spans="1:3">
      <c r="A17" s="305">
        <v>14</v>
      </c>
      <c r="B17" s="304" t="s">
        <v>1907</v>
      </c>
    </row>
    <row r="18" spans="1:3">
      <c r="A18" s="305">
        <v>15</v>
      </c>
      <c r="B18" s="304" t="s">
        <v>1908</v>
      </c>
    </row>
    <row r="19" spans="1:3">
      <c r="A19" s="305">
        <v>16</v>
      </c>
      <c r="B19" s="304" t="s">
        <v>1909</v>
      </c>
    </row>
    <row r="20" spans="1:3">
      <c r="A20" s="305">
        <v>17</v>
      </c>
      <c r="B20" s="304" t="s">
        <v>1910</v>
      </c>
    </row>
    <row r="21" spans="1:3">
      <c r="A21" s="305">
        <v>18</v>
      </c>
      <c r="B21" s="304" t="s">
        <v>1911</v>
      </c>
    </row>
    <row r="22" spans="1:3">
      <c r="A22" s="305">
        <v>22</v>
      </c>
      <c r="B22" s="304" t="s">
        <v>1912</v>
      </c>
    </row>
    <row r="23" spans="1:3">
      <c r="A23" s="305">
        <v>19</v>
      </c>
      <c r="B23" s="304" t="s">
        <v>1913</v>
      </c>
    </row>
    <row r="24" spans="1:3">
      <c r="A24" s="305">
        <v>20</v>
      </c>
      <c r="B24" s="304" t="s">
        <v>1914</v>
      </c>
    </row>
    <row r="25" spans="1:3">
      <c r="A25" s="305">
        <v>21</v>
      </c>
      <c r="B25" s="304" t="s">
        <v>1915</v>
      </c>
    </row>
    <row r="26" spans="1:3">
      <c r="A26" s="305">
        <v>23</v>
      </c>
      <c r="B26" s="304" t="s">
        <v>1916</v>
      </c>
    </row>
    <row r="27" spans="1:3">
      <c r="A27" s="305">
        <v>24</v>
      </c>
      <c r="B27" s="304" t="s">
        <v>1917</v>
      </c>
    </row>
    <row r="28" spans="1:3">
      <c r="A28" s="305">
        <v>25</v>
      </c>
      <c r="B28" s="304" t="s">
        <v>1687</v>
      </c>
    </row>
    <row r="29" spans="1:3">
      <c r="A29" s="305">
        <v>26</v>
      </c>
      <c r="B29" s="304" t="s">
        <v>1918</v>
      </c>
    </row>
    <row r="30" spans="1:3">
      <c r="A30" s="305">
        <v>27</v>
      </c>
      <c r="B30" s="1256" t="s">
        <v>1919</v>
      </c>
      <c r="C30" s="304" t="s">
        <v>1920</v>
      </c>
    </row>
    <row r="31" spans="1:3">
      <c r="A31" s="305">
        <v>28</v>
      </c>
      <c r="B31" s="1256"/>
      <c r="C31" s="304" t="s">
        <v>1921</v>
      </c>
    </row>
    <row r="32" spans="1:3">
      <c r="A32" s="305">
        <v>29</v>
      </c>
      <c r="B32" s="304" t="s">
        <v>1922</v>
      </c>
    </row>
    <row r="33" spans="1:4">
      <c r="A33" s="305">
        <v>30</v>
      </c>
      <c r="B33" s="304" t="s">
        <v>1923</v>
      </c>
    </row>
    <row r="34" spans="1:4">
      <c r="A34" s="305">
        <v>31</v>
      </c>
      <c r="B34" s="304" t="s">
        <v>1924</v>
      </c>
      <c r="D34" s="304" t="s">
        <v>1925</v>
      </c>
    </row>
    <row r="35" spans="1:4" ht="16.5">
      <c r="A35" s="305">
        <v>32</v>
      </c>
      <c r="B35" s="304" t="s">
        <v>1926</v>
      </c>
    </row>
    <row r="36" spans="1:4" ht="16.5">
      <c r="A36" s="305">
        <v>33</v>
      </c>
      <c r="B36" s="304" t="s">
        <v>1927</v>
      </c>
    </row>
    <row r="37" spans="1:4" ht="16.5">
      <c r="A37" s="305">
        <v>34</v>
      </c>
      <c r="B37" s="304" t="s">
        <v>1928</v>
      </c>
    </row>
    <row r="38" spans="1:4" ht="16.5">
      <c r="A38" s="305">
        <v>35</v>
      </c>
      <c r="B38" s="304" t="s">
        <v>1929</v>
      </c>
    </row>
    <row r="39" spans="1:4">
      <c r="A39" s="305">
        <v>36</v>
      </c>
      <c r="B39" s="304" t="s">
        <v>1930</v>
      </c>
    </row>
    <row r="40" spans="1:4">
      <c r="A40" s="305">
        <v>36</v>
      </c>
      <c r="B40" s="304" t="s">
        <v>1931</v>
      </c>
    </row>
    <row r="41" spans="1:4">
      <c r="A41" s="305">
        <v>37</v>
      </c>
      <c r="B41" s="304" t="s">
        <v>1932</v>
      </c>
    </row>
    <row r="42" spans="1:4">
      <c r="A42" s="305">
        <v>38</v>
      </c>
      <c r="B42" s="304" t="s">
        <v>1933</v>
      </c>
    </row>
    <row r="43" spans="1:4">
      <c r="A43" s="305">
        <v>39</v>
      </c>
      <c r="B43" s="304" t="s">
        <v>1934</v>
      </c>
    </row>
    <row r="44" spans="1:4">
      <c r="A44" s="305">
        <v>40</v>
      </c>
      <c r="B44" s="304" t="s">
        <v>1935</v>
      </c>
    </row>
    <row r="45" spans="1:4">
      <c r="A45" s="305">
        <v>41</v>
      </c>
      <c r="B45" s="304" t="s">
        <v>1936</v>
      </c>
    </row>
    <row r="46" spans="1:4">
      <c r="A46" s="305">
        <v>42</v>
      </c>
      <c r="B46" s="304" t="s">
        <v>1937</v>
      </c>
    </row>
    <row r="47" spans="1:4">
      <c r="A47" s="305">
        <v>43</v>
      </c>
      <c r="B47" s="304" t="s">
        <v>1938</v>
      </c>
    </row>
    <row r="48" spans="1:4">
      <c r="A48" s="305">
        <v>44</v>
      </c>
      <c r="B48" s="304" t="s">
        <v>1939</v>
      </c>
    </row>
    <row r="49" spans="1:2">
      <c r="A49" s="305">
        <v>45</v>
      </c>
      <c r="B49" s="304" t="s">
        <v>1940</v>
      </c>
    </row>
    <row r="50" spans="1:2">
      <c r="A50" s="305">
        <v>46</v>
      </c>
      <c r="B50" s="304" t="s">
        <v>1941</v>
      </c>
    </row>
    <row r="51" spans="1:2">
      <c r="A51" s="305">
        <v>47</v>
      </c>
      <c r="B51" s="304" t="s">
        <v>1942</v>
      </c>
    </row>
    <row r="52" spans="1:2">
      <c r="A52" s="305">
        <v>48</v>
      </c>
      <c r="B52" s="304" t="s">
        <v>1943</v>
      </c>
    </row>
    <row r="53" spans="1:2">
      <c r="A53" s="305">
        <v>49</v>
      </c>
      <c r="B53" s="304" t="s">
        <v>1944</v>
      </c>
    </row>
    <row r="54" spans="1:2">
      <c r="A54" s="305">
        <v>50</v>
      </c>
      <c r="B54" s="304" t="s">
        <v>1945</v>
      </c>
    </row>
  </sheetData>
  <mergeCells count="3">
    <mergeCell ref="A1:D1"/>
    <mergeCell ref="B8:B9"/>
    <mergeCell ref="B30:B31"/>
  </mergeCells>
  <phoneticPr fontId="164" type="noConversion"/>
  <pageMargins left="0.7" right="0.7" top="0.75" bottom="0.75" header="0.3" footer="0.3"/>
  <pageSetup paperSize="9"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B5ABC-B072-420C-95D0-6A9EAA9D24E4}">
  <sheetPr codeName="Sheet16"/>
  <dimension ref="A1:C23"/>
  <sheetViews>
    <sheetView view="pageBreakPreview" zoomScale="130" zoomScaleNormal="130" zoomScaleSheetLayoutView="130" workbookViewId="0">
      <pane xSplit="1" ySplit="1" topLeftCell="B2" activePane="bottomRight" state="frozen"/>
      <selection activeCell="G14" sqref="G14"/>
      <selection pane="topRight" activeCell="G14" sqref="G14"/>
      <selection pane="bottomLeft" activeCell="G14" sqref="G14"/>
      <selection pane="bottomRight" activeCell="G14" sqref="G14"/>
    </sheetView>
  </sheetViews>
  <sheetFormatPr defaultColWidth="9.85546875" defaultRowHeight="15.75"/>
  <cols>
    <col min="1" max="1" width="9.85546875" style="321" customWidth="1"/>
    <col min="2" max="2" width="56.140625" style="320" customWidth="1"/>
    <col min="3" max="3" width="42.140625" style="320" customWidth="1"/>
    <col min="4" max="16384" width="9.85546875" style="310"/>
  </cols>
  <sheetData>
    <row r="1" spans="1:3" ht="27.75" customHeight="1" thickBot="1">
      <c r="A1" s="307" t="s">
        <v>1946</v>
      </c>
      <c r="B1" s="308" t="s">
        <v>1947</v>
      </c>
      <c r="C1" s="309" t="s">
        <v>1948</v>
      </c>
    </row>
    <row r="2" spans="1:3" ht="30" customHeight="1">
      <c r="A2" s="311">
        <f>ROW()-1</f>
        <v>1</v>
      </c>
      <c r="B2" s="312" t="s">
        <v>1949</v>
      </c>
      <c r="C2" s="313" t="s">
        <v>1950</v>
      </c>
    </row>
    <row r="3" spans="1:3" ht="30" customHeight="1">
      <c r="A3" s="314">
        <f t="shared" ref="A3:A23" si="0">ROW()-1</f>
        <v>2</v>
      </c>
      <c r="B3" s="315" t="s">
        <v>1951</v>
      </c>
      <c r="C3" s="316"/>
    </row>
    <row r="4" spans="1:3" ht="30" customHeight="1">
      <c r="A4" s="314">
        <f t="shared" si="0"/>
        <v>3</v>
      </c>
      <c r="B4" s="315" t="s">
        <v>1952</v>
      </c>
      <c r="C4" s="316" t="s">
        <v>1953</v>
      </c>
    </row>
    <row r="5" spans="1:3" ht="30" customHeight="1">
      <c r="A5" s="314">
        <f t="shared" si="0"/>
        <v>4</v>
      </c>
      <c r="B5" s="315" t="s">
        <v>1954</v>
      </c>
      <c r="C5" s="316"/>
    </row>
    <row r="6" spans="1:3" ht="30" customHeight="1">
      <c r="A6" s="314">
        <f t="shared" si="0"/>
        <v>5</v>
      </c>
      <c r="B6" s="315" t="s">
        <v>1955</v>
      </c>
      <c r="C6" s="316" t="s">
        <v>1956</v>
      </c>
    </row>
    <row r="7" spans="1:3" ht="30" customHeight="1">
      <c r="A7" s="314">
        <f t="shared" si="0"/>
        <v>6</v>
      </c>
      <c r="B7" s="315" t="s">
        <v>1957</v>
      </c>
      <c r="C7" s="316"/>
    </row>
    <row r="8" spans="1:3" ht="30" customHeight="1">
      <c r="A8" s="314">
        <f t="shared" si="0"/>
        <v>7</v>
      </c>
      <c r="B8" s="315" t="s">
        <v>1958</v>
      </c>
      <c r="C8" s="316"/>
    </row>
    <row r="9" spans="1:3" ht="30" customHeight="1">
      <c r="A9" s="314">
        <f t="shared" si="0"/>
        <v>8</v>
      </c>
      <c r="B9" s="315" t="s">
        <v>1959</v>
      </c>
      <c r="C9" s="316" t="s">
        <v>1960</v>
      </c>
    </row>
    <row r="10" spans="1:3" ht="30" customHeight="1">
      <c r="A10" s="314">
        <f t="shared" si="0"/>
        <v>9</v>
      </c>
      <c r="B10" s="315" t="s">
        <v>1961</v>
      </c>
      <c r="C10" s="316"/>
    </row>
    <row r="11" spans="1:3" ht="30" customHeight="1">
      <c r="A11" s="314">
        <f t="shared" si="0"/>
        <v>10</v>
      </c>
      <c r="B11" s="315" t="s">
        <v>1962</v>
      </c>
      <c r="C11" s="316"/>
    </row>
    <row r="12" spans="1:3" ht="30" customHeight="1">
      <c r="A12" s="314">
        <f t="shared" si="0"/>
        <v>11</v>
      </c>
      <c r="B12" s="315" t="s">
        <v>1963</v>
      </c>
      <c r="C12" s="316"/>
    </row>
    <row r="13" spans="1:3" ht="30" customHeight="1">
      <c r="A13" s="314">
        <f t="shared" si="0"/>
        <v>12</v>
      </c>
      <c r="B13" s="315" t="s">
        <v>1964</v>
      </c>
      <c r="C13" s="316"/>
    </row>
    <row r="14" spans="1:3" ht="30" customHeight="1">
      <c r="A14" s="314">
        <f t="shared" si="0"/>
        <v>13</v>
      </c>
      <c r="B14" s="315" t="s">
        <v>1965</v>
      </c>
      <c r="C14" s="316"/>
    </row>
    <row r="15" spans="1:3" ht="30" customHeight="1">
      <c r="A15" s="314">
        <f t="shared" si="0"/>
        <v>14</v>
      </c>
      <c r="B15" s="315" t="s">
        <v>1966</v>
      </c>
      <c r="C15" s="316"/>
    </row>
    <row r="16" spans="1:3" ht="30" customHeight="1">
      <c r="A16" s="314">
        <f t="shared" si="0"/>
        <v>15</v>
      </c>
      <c r="B16" s="315" t="s">
        <v>1967</v>
      </c>
      <c r="C16" s="316" t="s">
        <v>1968</v>
      </c>
    </row>
    <row r="17" spans="1:3" ht="30" customHeight="1">
      <c r="A17" s="314">
        <f t="shared" si="0"/>
        <v>16</v>
      </c>
      <c r="B17" s="315" t="s">
        <v>1969</v>
      </c>
      <c r="C17" s="316"/>
    </row>
    <row r="18" spans="1:3" ht="30" customHeight="1">
      <c r="A18" s="314">
        <f t="shared" si="0"/>
        <v>17</v>
      </c>
      <c r="B18" s="315" t="s">
        <v>1970</v>
      </c>
      <c r="C18" s="316"/>
    </row>
    <row r="19" spans="1:3" ht="30" customHeight="1">
      <c r="A19" s="314">
        <f t="shared" si="0"/>
        <v>18</v>
      </c>
      <c r="B19" s="315" t="s">
        <v>1971</v>
      </c>
      <c r="C19" s="316"/>
    </row>
    <row r="20" spans="1:3" ht="30" customHeight="1">
      <c r="A20" s="314">
        <f t="shared" si="0"/>
        <v>19</v>
      </c>
      <c r="B20" s="315" t="s">
        <v>1972</v>
      </c>
      <c r="C20" s="316"/>
    </row>
    <row r="21" spans="1:3" ht="30" customHeight="1">
      <c r="A21" s="314">
        <f t="shared" si="0"/>
        <v>20</v>
      </c>
      <c r="B21" s="315" t="s">
        <v>1973</v>
      </c>
      <c r="C21" s="316"/>
    </row>
    <row r="22" spans="1:3" ht="30" customHeight="1">
      <c r="A22" s="314">
        <f t="shared" si="0"/>
        <v>21</v>
      </c>
      <c r="B22" s="315" t="s">
        <v>1974</v>
      </c>
      <c r="C22" s="316"/>
    </row>
    <row r="23" spans="1:3" ht="30" customHeight="1" thickBot="1">
      <c r="A23" s="317">
        <f t="shared" si="0"/>
        <v>22</v>
      </c>
      <c r="B23" s="318" t="s">
        <v>1975</v>
      </c>
      <c r="C23" s="319"/>
    </row>
  </sheetData>
  <phoneticPr fontId="164" type="noConversion"/>
  <pageMargins left="0.7" right="0.7" top="0.75" bottom="0.75" header="0.3" footer="0.3"/>
  <pageSetup scale="78" orientation="portrait" r:id="rId1"/>
  <headerFooter>
    <oddHeader>&amp;C&amp;"Calibri,Regular"&amp;22NanYA Tech 5A 161kV GIS</oddHeader>
    <oddFooter>Page &amp;P of &amp;N</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51AB1-BA92-4CE7-8525-DB1F513BA7C1}">
  <sheetPr codeName="Sheet15">
    <tabColor rgb="FFFF0000"/>
  </sheetPr>
  <dimension ref="A1:H501"/>
  <sheetViews>
    <sheetView zoomScaleNormal="100" workbookViewId="0">
      <pane xSplit="1" ySplit="2" topLeftCell="B310" activePane="bottomRight" state="frozen"/>
      <selection pane="topRight" activeCell="C1" sqref="C1"/>
      <selection pane="bottomLeft" activeCell="A3" sqref="A3"/>
      <selection pane="bottomRight" activeCell="G307" sqref="G307"/>
    </sheetView>
  </sheetViews>
  <sheetFormatPr defaultColWidth="9.28515625" defaultRowHeight="15.75"/>
  <cols>
    <col min="1" max="1" width="21.5703125" style="107" customWidth="1"/>
    <col min="2" max="2" width="22.7109375" style="107" bestFit="1" customWidth="1"/>
    <col min="3" max="3" width="21.5703125" style="107" customWidth="1"/>
    <col min="4" max="4" width="23.7109375" style="113" bestFit="1" customWidth="1"/>
    <col min="5" max="5" width="24.7109375" style="107" bestFit="1" customWidth="1"/>
    <col min="6" max="6" width="5.28515625" style="174" customWidth="1"/>
    <col min="7" max="7" width="38.42578125" style="146" customWidth="1"/>
    <col min="8" max="8" width="23" style="107" customWidth="1"/>
    <col min="9" max="16384" width="9.28515625" style="107"/>
  </cols>
  <sheetData>
    <row r="1" spans="1:8" ht="34.15" customHeight="1">
      <c r="A1" s="1269"/>
      <c r="B1" s="1269"/>
      <c r="C1" s="1269"/>
      <c r="D1" s="1269"/>
      <c r="E1" s="1269"/>
      <c r="F1" s="1269"/>
      <c r="G1" s="1269"/>
      <c r="H1" s="175"/>
    </row>
    <row r="2" spans="1:8" ht="23.1" customHeight="1">
      <c r="A2" s="166" t="s">
        <v>26</v>
      </c>
      <c r="B2" s="153" t="s">
        <v>637</v>
      </c>
      <c r="C2" s="167" t="s">
        <v>638</v>
      </c>
      <c r="D2" s="154" t="s">
        <v>639</v>
      </c>
      <c r="E2" s="166" t="s">
        <v>640</v>
      </c>
      <c r="F2" s="168" t="s">
        <v>0</v>
      </c>
      <c r="G2" s="177" t="s">
        <v>641</v>
      </c>
      <c r="H2" s="166" t="s">
        <v>40</v>
      </c>
    </row>
    <row r="3" spans="1:8" s="108" customFormat="1" ht="23.1" customHeight="1">
      <c r="A3" s="157" t="s">
        <v>642</v>
      </c>
      <c r="B3" s="1257" t="s">
        <v>643</v>
      </c>
      <c r="C3" s="155" t="s">
        <v>31</v>
      </c>
      <c r="D3" s="1264" t="s">
        <v>644</v>
      </c>
      <c r="E3" s="157"/>
      <c r="F3" s="169">
        <v>1</v>
      </c>
      <c r="G3" s="178" t="s">
        <v>645</v>
      </c>
      <c r="H3" s="157" t="s">
        <v>646</v>
      </c>
    </row>
    <row r="4" spans="1:8" s="108" customFormat="1" ht="23.1" customHeight="1">
      <c r="A4" s="157" t="s">
        <v>642</v>
      </c>
      <c r="B4" s="1258"/>
      <c r="C4" s="155" t="s">
        <v>31</v>
      </c>
      <c r="D4" s="1265"/>
      <c r="E4" s="157"/>
      <c r="F4" s="169">
        <v>2</v>
      </c>
      <c r="G4" s="178" t="s">
        <v>647</v>
      </c>
      <c r="H4" s="157" t="s">
        <v>646</v>
      </c>
    </row>
    <row r="5" spans="1:8" s="108" customFormat="1" ht="23.1" customHeight="1">
      <c r="A5" s="157" t="s">
        <v>642</v>
      </c>
      <c r="B5" s="1258"/>
      <c r="C5" s="155" t="s">
        <v>31</v>
      </c>
      <c r="D5" s="1267"/>
      <c r="E5" s="157"/>
      <c r="F5" s="169">
        <v>3</v>
      </c>
      <c r="G5" s="178" t="s">
        <v>648</v>
      </c>
      <c r="H5" s="157" t="s">
        <v>646</v>
      </c>
    </row>
    <row r="6" spans="1:8" s="108" customFormat="1" ht="23.1" customHeight="1">
      <c r="A6" s="157" t="s">
        <v>642</v>
      </c>
      <c r="B6" s="1258"/>
      <c r="C6" s="155" t="s">
        <v>31</v>
      </c>
      <c r="D6" s="176" t="s">
        <v>649</v>
      </c>
      <c r="E6" s="157"/>
      <c r="F6" s="169">
        <v>1</v>
      </c>
      <c r="G6" s="178" t="s">
        <v>650</v>
      </c>
      <c r="H6" s="157" t="s">
        <v>646</v>
      </c>
    </row>
    <row r="7" spans="1:8" s="108" customFormat="1" ht="23.1" customHeight="1">
      <c r="A7" s="157" t="s">
        <v>642</v>
      </c>
      <c r="B7" s="155" t="s">
        <v>651</v>
      </c>
      <c r="C7" s="155" t="s">
        <v>31</v>
      </c>
      <c r="D7" s="156"/>
      <c r="E7" s="157"/>
      <c r="F7" s="169">
        <v>1</v>
      </c>
      <c r="G7" s="178" t="s">
        <v>652</v>
      </c>
      <c r="H7" s="157" t="s">
        <v>646</v>
      </c>
    </row>
    <row r="8" spans="1:8" s="108" customFormat="1" ht="23.1" customHeight="1">
      <c r="A8" s="157" t="s">
        <v>642</v>
      </c>
      <c r="B8" s="1257" t="s">
        <v>653</v>
      </c>
      <c r="C8" s="155" t="s">
        <v>31</v>
      </c>
      <c r="D8" s="156" t="s">
        <v>654</v>
      </c>
      <c r="E8" s="157"/>
      <c r="F8" s="169">
        <v>1</v>
      </c>
      <c r="G8" s="178" t="s">
        <v>655</v>
      </c>
      <c r="H8" s="157" t="s">
        <v>646</v>
      </c>
    </row>
    <row r="9" spans="1:8" s="108" customFormat="1" ht="23.1" customHeight="1">
      <c r="A9" s="157" t="s">
        <v>642</v>
      </c>
      <c r="B9" s="1258"/>
      <c r="C9" s="155" t="s">
        <v>31</v>
      </c>
      <c r="D9" s="1264" t="s">
        <v>656</v>
      </c>
      <c r="E9" s="157"/>
      <c r="F9" s="169">
        <v>1</v>
      </c>
      <c r="G9" s="178" t="s">
        <v>657</v>
      </c>
      <c r="H9" s="157" t="s">
        <v>646</v>
      </c>
    </row>
    <row r="10" spans="1:8" s="108" customFormat="1" ht="23.1" customHeight="1">
      <c r="A10" s="157" t="s">
        <v>642</v>
      </c>
      <c r="B10" s="1259"/>
      <c r="C10" s="155" t="s">
        <v>31</v>
      </c>
      <c r="D10" s="1267"/>
      <c r="E10" s="157"/>
      <c r="F10" s="169">
        <v>1</v>
      </c>
      <c r="G10" s="178" t="s">
        <v>658</v>
      </c>
      <c r="H10" s="157" t="s">
        <v>646</v>
      </c>
    </row>
    <row r="11" spans="1:8" s="108" customFormat="1" ht="23.1" customHeight="1">
      <c r="A11" s="157" t="s">
        <v>642</v>
      </c>
      <c r="B11" s="1257" t="s">
        <v>659</v>
      </c>
      <c r="C11" s="155" t="s">
        <v>31</v>
      </c>
      <c r="D11" s="1264" t="s">
        <v>660</v>
      </c>
      <c r="E11" s="157"/>
      <c r="F11" s="169">
        <v>1</v>
      </c>
      <c r="G11" s="178" t="s">
        <v>661</v>
      </c>
      <c r="H11" s="157" t="s">
        <v>646</v>
      </c>
    </row>
    <row r="12" spans="1:8" s="108" customFormat="1" ht="23.1" customHeight="1">
      <c r="A12" s="157" t="s">
        <v>642</v>
      </c>
      <c r="B12" s="1258"/>
      <c r="C12" s="155" t="s">
        <v>31</v>
      </c>
      <c r="D12" s="1265"/>
      <c r="E12" s="157"/>
      <c r="F12" s="169">
        <v>2</v>
      </c>
      <c r="G12" s="178" t="s">
        <v>662</v>
      </c>
      <c r="H12" s="157" t="s">
        <v>646</v>
      </c>
    </row>
    <row r="13" spans="1:8" s="108" customFormat="1" ht="23.1" customHeight="1">
      <c r="A13" s="157" t="s">
        <v>642</v>
      </c>
      <c r="B13" s="1258"/>
      <c r="C13" s="155" t="s">
        <v>31</v>
      </c>
      <c r="D13" s="1265"/>
      <c r="E13" s="157"/>
      <c r="F13" s="169">
        <v>3</v>
      </c>
      <c r="G13" s="178" t="s">
        <v>663</v>
      </c>
      <c r="H13" s="157" t="s">
        <v>646</v>
      </c>
    </row>
    <row r="14" spans="1:8" s="108" customFormat="1" ht="23.1" customHeight="1">
      <c r="A14" s="157" t="s">
        <v>642</v>
      </c>
      <c r="B14" s="1258"/>
      <c r="C14" s="155" t="s">
        <v>31</v>
      </c>
      <c r="D14" s="1267"/>
      <c r="E14" s="157"/>
      <c r="F14" s="169">
        <v>4</v>
      </c>
      <c r="G14" s="178" t="s">
        <v>664</v>
      </c>
      <c r="H14" s="157" t="s">
        <v>646</v>
      </c>
    </row>
    <row r="15" spans="1:8" s="108" customFormat="1" ht="23.1" customHeight="1">
      <c r="A15" s="157" t="s">
        <v>642</v>
      </c>
      <c r="B15" s="1258"/>
      <c r="C15" s="155" t="s">
        <v>31</v>
      </c>
      <c r="D15" s="1264" t="s">
        <v>665</v>
      </c>
      <c r="E15" s="157"/>
      <c r="F15" s="169">
        <v>1</v>
      </c>
      <c r="G15" s="178" t="s">
        <v>666</v>
      </c>
      <c r="H15" s="157" t="s">
        <v>646</v>
      </c>
    </row>
    <row r="16" spans="1:8" s="108" customFormat="1" ht="23.1" customHeight="1">
      <c r="A16" s="157" t="s">
        <v>642</v>
      </c>
      <c r="B16" s="1258"/>
      <c r="C16" s="155" t="s">
        <v>31</v>
      </c>
      <c r="D16" s="1265"/>
      <c r="E16" s="157"/>
      <c r="F16" s="169">
        <v>2</v>
      </c>
      <c r="G16" s="178" t="s">
        <v>667</v>
      </c>
      <c r="H16" s="157" t="s">
        <v>646</v>
      </c>
    </row>
    <row r="17" spans="1:8" s="108" customFormat="1" ht="23.1" customHeight="1">
      <c r="A17" s="157" t="s">
        <v>642</v>
      </c>
      <c r="B17" s="1258"/>
      <c r="C17" s="155" t="s">
        <v>31</v>
      </c>
      <c r="D17" s="1265"/>
      <c r="E17" s="157"/>
      <c r="F17" s="169">
        <v>3</v>
      </c>
      <c r="G17" s="178" t="s">
        <v>668</v>
      </c>
      <c r="H17" s="157" t="s">
        <v>646</v>
      </c>
    </row>
    <row r="18" spans="1:8" s="108" customFormat="1" ht="23.1" customHeight="1">
      <c r="A18" s="157" t="s">
        <v>642</v>
      </c>
      <c r="B18" s="1259"/>
      <c r="C18" s="155" t="s">
        <v>31</v>
      </c>
      <c r="D18" s="1267"/>
      <c r="E18" s="157"/>
      <c r="F18" s="169">
        <v>4</v>
      </c>
      <c r="G18" s="178" t="s">
        <v>669</v>
      </c>
      <c r="H18" s="157" t="s">
        <v>646</v>
      </c>
    </row>
    <row r="19" spans="1:8" s="108" customFormat="1" ht="23.1" customHeight="1">
      <c r="A19" s="157" t="s">
        <v>642</v>
      </c>
      <c r="B19" s="1257" t="s">
        <v>670</v>
      </c>
      <c r="C19" s="155" t="s">
        <v>31</v>
      </c>
      <c r="D19" s="156"/>
      <c r="E19" s="157"/>
      <c r="F19" s="169">
        <v>1</v>
      </c>
      <c r="G19" s="178" t="s">
        <v>671</v>
      </c>
      <c r="H19" s="157" t="s">
        <v>646</v>
      </c>
    </row>
    <row r="20" spans="1:8" s="108" customFormat="1" ht="23.1" customHeight="1">
      <c r="A20" s="157" t="s">
        <v>642</v>
      </c>
      <c r="B20" s="1258"/>
      <c r="C20" s="155" t="s">
        <v>31</v>
      </c>
      <c r="D20" s="156"/>
      <c r="E20" s="157"/>
      <c r="F20" s="169">
        <v>2</v>
      </c>
      <c r="G20" s="178" t="s">
        <v>672</v>
      </c>
      <c r="H20" s="157" t="s">
        <v>646</v>
      </c>
    </row>
    <row r="21" spans="1:8" s="108" customFormat="1" ht="23.1" customHeight="1">
      <c r="A21" s="157" t="s">
        <v>642</v>
      </c>
      <c r="B21" s="1259"/>
      <c r="C21" s="155" t="s">
        <v>31</v>
      </c>
      <c r="D21" s="156"/>
      <c r="E21" s="157"/>
      <c r="F21" s="169">
        <v>3</v>
      </c>
      <c r="G21" s="178" t="s">
        <v>673</v>
      </c>
      <c r="H21" s="157" t="s">
        <v>646</v>
      </c>
    </row>
    <row r="22" spans="1:8" s="108" customFormat="1" ht="23.1" customHeight="1">
      <c r="A22" s="157" t="s">
        <v>642</v>
      </c>
      <c r="B22" s="155" t="s">
        <v>674</v>
      </c>
      <c r="C22" s="155" t="s">
        <v>31</v>
      </c>
      <c r="D22" s="156"/>
      <c r="E22" s="157"/>
      <c r="F22" s="169">
        <v>1</v>
      </c>
      <c r="G22" s="178" t="s">
        <v>675</v>
      </c>
      <c r="H22" s="157" t="s">
        <v>646</v>
      </c>
    </row>
    <row r="23" spans="1:8" s="108" customFormat="1" ht="23.1" customHeight="1">
      <c r="A23" s="157" t="s">
        <v>642</v>
      </c>
      <c r="B23" s="155" t="s">
        <v>676</v>
      </c>
      <c r="C23" s="155" t="s">
        <v>31</v>
      </c>
      <c r="D23" s="156"/>
      <c r="E23" s="157"/>
      <c r="F23" s="169">
        <v>1</v>
      </c>
      <c r="G23" s="178" t="s">
        <v>677</v>
      </c>
      <c r="H23" s="157" t="s">
        <v>646</v>
      </c>
    </row>
    <row r="24" spans="1:8" s="108" customFormat="1" ht="23.1" customHeight="1">
      <c r="A24" s="157" t="s">
        <v>642</v>
      </c>
      <c r="B24" s="155" t="s">
        <v>678</v>
      </c>
      <c r="C24" s="155" t="s">
        <v>31</v>
      </c>
      <c r="D24" s="156"/>
      <c r="E24" s="157"/>
      <c r="F24" s="169">
        <v>1</v>
      </c>
      <c r="G24" s="178" t="s">
        <v>677</v>
      </c>
      <c r="H24" s="157" t="s">
        <v>646</v>
      </c>
    </row>
    <row r="25" spans="1:8" s="108" customFormat="1" ht="23.1" customHeight="1">
      <c r="A25" s="157" t="s">
        <v>642</v>
      </c>
      <c r="B25" s="155" t="s">
        <v>679</v>
      </c>
      <c r="C25" s="155" t="s">
        <v>31</v>
      </c>
      <c r="D25" s="156"/>
      <c r="E25" s="157"/>
      <c r="F25" s="169">
        <v>1</v>
      </c>
      <c r="G25" s="178" t="s">
        <v>677</v>
      </c>
      <c r="H25" s="157" t="s">
        <v>646</v>
      </c>
    </row>
    <row r="26" spans="1:8" s="108" customFormat="1" ht="23.1" customHeight="1">
      <c r="A26" s="157" t="s">
        <v>642</v>
      </c>
      <c r="B26" s="155" t="s">
        <v>680</v>
      </c>
      <c r="C26" s="155" t="s">
        <v>31</v>
      </c>
      <c r="D26" s="156"/>
      <c r="E26" s="157"/>
      <c r="F26" s="169">
        <v>1</v>
      </c>
      <c r="G26" s="178" t="s">
        <v>677</v>
      </c>
      <c r="H26" s="157" t="s">
        <v>646</v>
      </c>
    </row>
    <row r="27" spans="1:8" s="108" customFormat="1" ht="23.1" customHeight="1">
      <c r="A27" s="157" t="s">
        <v>642</v>
      </c>
      <c r="B27" s="155" t="s">
        <v>681</v>
      </c>
      <c r="C27" s="155" t="s">
        <v>31</v>
      </c>
      <c r="D27" s="156"/>
      <c r="E27" s="157"/>
      <c r="F27" s="169">
        <v>1</v>
      </c>
      <c r="G27" s="178" t="s">
        <v>677</v>
      </c>
      <c r="H27" s="157" t="s">
        <v>646</v>
      </c>
    </row>
    <row r="28" spans="1:8" s="108" customFormat="1" ht="23.1" customHeight="1">
      <c r="A28" s="157" t="s">
        <v>642</v>
      </c>
      <c r="B28" s="155" t="s">
        <v>682</v>
      </c>
      <c r="C28" s="155" t="s">
        <v>31</v>
      </c>
      <c r="D28" s="156"/>
      <c r="E28" s="157"/>
      <c r="F28" s="169">
        <v>1</v>
      </c>
      <c r="G28" s="178" t="s">
        <v>677</v>
      </c>
      <c r="H28" s="157" t="s">
        <v>646</v>
      </c>
    </row>
    <row r="29" spans="1:8" s="108" customFormat="1" ht="23.1" customHeight="1">
      <c r="A29" s="157" t="s">
        <v>642</v>
      </c>
      <c r="B29" s="155" t="s">
        <v>683</v>
      </c>
      <c r="C29" s="155" t="s">
        <v>31</v>
      </c>
      <c r="D29" s="156"/>
      <c r="E29" s="157"/>
      <c r="F29" s="169">
        <v>1</v>
      </c>
      <c r="G29" s="178" t="s">
        <v>677</v>
      </c>
      <c r="H29" s="157" t="s">
        <v>646</v>
      </c>
    </row>
    <row r="30" spans="1:8" s="108" customFormat="1" ht="23.1" customHeight="1">
      <c r="A30" s="157" t="s">
        <v>642</v>
      </c>
      <c r="B30" s="155" t="s">
        <v>684</v>
      </c>
      <c r="C30" s="155" t="s">
        <v>31</v>
      </c>
      <c r="D30" s="156"/>
      <c r="E30" s="157"/>
      <c r="F30" s="169">
        <v>1</v>
      </c>
      <c r="G30" s="178" t="s">
        <v>677</v>
      </c>
      <c r="H30" s="157" t="s">
        <v>646</v>
      </c>
    </row>
    <row r="31" spans="1:8" s="108" customFormat="1" ht="23.1" customHeight="1">
      <c r="A31" s="157" t="s">
        <v>642</v>
      </c>
      <c r="B31" s="155" t="s">
        <v>685</v>
      </c>
      <c r="C31" s="155" t="s">
        <v>31</v>
      </c>
      <c r="D31" s="156"/>
      <c r="E31" s="157"/>
      <c r="F31" s="169">
        <v>1</v>
      </c>
      <c r="G31" s="178" t="s">
        <v>677</v>
      </c>
      <c r="H31" s="157" t="s">
        <v>646</v>
      </c>
    </row>
    <row r="32" spans="1:8" s="108" customFormat="1" ht="23.1" customHeight="1">
      <c r="A32" s="157" t="s">
        <v>642</v>
      </c>
      <c r="B32" s="1257" t="s">
        <v>686</v>
      </c>
      <c r="C32" s="155" t="s">
        <v>31</v>
      </c>
      <c r="D32" s="156"/>
      <c r="E32" s="157"/>
      <c r="F32" s="169">
        <v>1</v>
      </c>
      <c r="G32" s="178" t="s">
        <v>687</v>
      </c>
      <c r="H32" s="157" t="s">
        <v>646</v>
      </c>
    </row>
    <row r="33" spans="1:8" s="108" customFormat="1" ht="23.1" customHeight="1">
      <c r="A33" s="157" t="s">
        <v>642</v>
      </c>
      <c r="B33" s="1258"/>
      <c r="C33" s="155" t="s">
        <v>31</v>
      </c>
      <c r="D33" s="156"/>
      <c r="E33" s="157"/>
      <c r="F33" s="169">
        <v>2</v>
      </c>
      <c r="G33" s="178" t="s">
        <v>688</v>
      </c>
      <c r="H33" s="157" t="s">
        <v>646</v>
      </c>
    </row>
    <row r="34" spans="1:8" s="108" customFormat="1" ht="23.1" customHeight="1">
      <c r="A34" s="157" t="s">
        <v>642</v>
      </c>
      <c r="B34" s="1259"/>
      <c r="C34" s="155" t="s">
        <v>31</v>
      </c>
      <c r="D34" s="156"/>
      <c r="E34" s="157"/>
      <c r="F34" s="169">
        <v>3</v>
      </c>
      <c r="G34" s="178" t="s">
        <v>689</v>
      </c>
      <c r="H34" s="157" t="s">
        <v>646</v>
      </c>
    </row>
    <row r="35" spans="1:8" s="108" customFormat="1" ht="23.1" customHeight="1">
      <c r="A35" s="157" t="s">
        <v>642</v>
      </c>
      <c r="B35" s="1257" t="s">
        <v>690</v>
      </c>
      <c r="C35" s="1257" t="s">
        <v>691</v>
      </c>
      <c r="D35" s="156" t="s">
        <v>692</v>
      </c>
      <c r="E35" s="157"/>
      <c r="F35" s="169">
        <v>1</v>
      </c>
      <c r="G35" s="178" t="s">
        <v>693</v>
      </c>
      <c r="H35" s="157"/>
    </row>
    <row r="36" spans="1:8" s="108" customFormat="1" ht="23.1" customHeight="1">
      <c r="A36" s="157" t="s">
        <v>642</v>
      </c>
      <c r="B36" s="1258"/>
      <c r="C36" s="1259"/>
      <c r="D36" s="156" t="s">
        <v>694</v>
      </c>
      <c r="E36" s="157"/>
      <c r="F36" s="169">
        <v>2</v>
      </c>
      <c r="G36" s="178" t="s">
        <v>695</v>
      </c>
      <c r="H36" s="157"/>
    </row>
    <row r="37" spans="1:8" s="108" customFormat="1" ht="23.1" customHeight="1">
      <c r="A37" s="157" t="s">
        <v>642</v>
      </c>
      <c r="B37" s="1258"/>
      <c r="C37" s="1257" t="s">
        <v>696</v>
      </c>
      <c r="D37" s="158" t="s">
        <v>697</v>
      </c>
      <c r="E37" s="157"/>
      <c r="F37" s="169">
        <v>1</v>
      </c>
      <c r="G37" s="178" t="s">
        <v>698</v>
      </c>
      <c r="H37" s="157"/>
    </row>
    <row r="38" spans="1:8" s="108" customFormat="1" ht="23.1" customHeight="1">
      <c r="A38" s="157" t="s">
        <v>642</v>
      </c>
      <c r="B38" s="1258"/>
      <c r="C38" s="1258"/>
      <c r="D38" s="158" t="s">
        <v>699</v>
      </c>
      <c r="E38" s="157"/>
      <c r="F38" s="169">
        <v>2</v>
      </c>
      <c r="G38" s="178" t="s">
        <v>700</v>
      </c>
      <c r="H38" s="157"/>
    </row>
    <row r="39" spans="1:8" s="108" customFormat="1" ht="23.1" customHeight="1">
      <c r="A39" s="157" t="s">
        <v>642</v>
      </c>
      <c r="B39" s="1258"/>
      <c r="C39" s="1258"/>
      <c r="D39" s="158" t="s">
        <v>701</v>
      </c>
      <c r="E39" s="157"/>
      <c r="F39" s="169">
        <v>3</v>
      </c>
      <c r="G39" s="178" t="s">
        <v>702</v>
      </c>
      <c r="H39" s="157"/>
    </row>
    <row r="40" spans="1:8" s="108" customFormat="1" ht="23.1" customHeight="1">
      <c r="A40" s="157" t="s">
        <v>642</v>
      </c>
      <c r="B40" s="1258"/>
      <c r="C40" s="1258"/>
      <c r="D40" s="158" t="s">
        <v>703</v>
      </c>
      <c r="E40" s="157"/>
      <c r="F40" s="169">
        <v>4</v>
      </c>
      <c r="G40" s="178" t="s">
        <v>704</v>
      </c>
      <c r="H40" s="157"/>
    </row>
    <row r="41" spans="1:8" s="108" customFormat="1" ht="23.1" customHeight="1">
      <c r="A41" s="157" t="s">
        <v>642</v>
      </c>
      <c r="B41" s="1258"/>
      <c r="C41" s="1258"/>
      <c r="D41" s="158" t="s">
        <v>705</v>
      </c>
      <c r="E41" s="157"/>
      <c r="F41" s="169">
        <v>5</v>
      </c>
      <c r="G41" s="178" t="s">
        <v>706</v>
      </c>
      <c r="H41" s="157"/>
    </row>
    <row r="42" spans="1:8" s="108" customFormat="1" ht="23.1" customHeight="1">
      <c r="A42" s="157" t="s">
        <v>642</v>
      </c>
      <c r="B42" s="1258"/>
      <c r="C42" s="1258"/>
      <c r="D42" s="158" t="s">
        <v>707</v>
      </c>
      <c r="E42" s="157"/>
      <c r="F42" s="169">
        <v>6</v>
      </c>
      <c r="G42" s="178" t="s">
        <v>708</v>
      </c>
      <c r="H42" s="157"/>
    </row>
    <row r="43" spans="1:8" s="108" customFormat="1" ht="23.1" customHeight="1">
      <c r="A43" s="157" t="s">
        <v>642</v>
      </c>
      <c r="B43" s="1258"/>
      <c r="C43" s="1258"/>
      <c r="D43" s="158" t="s">
        <v>709</v>
      </c>
      <c r="E43" s="157"/>
      <c r="F43" s="169">
        <v>7</v>
      </c>
      <c r="G43" s="178" t="s">
        <v>710</v>
      </c>
      <c r="H43" s="157"/>
    </row>
    <row r="44" spans="1:8" s="108" customFormat="1" ht="23.1" customHeight="1">
      <c r="A44" s="157" t="s">
        <v>642</v>
      </c>
      <c r="B44" s="1258"/>
      <c r="C44" s="1258"/>
      <c r="D44" s="158" t="s">
        <v>711</v>
      </c>
      <c r="E44" s="157"/>
      <c r="F44" s="169">
        <v>8</v>
      </c>
      <c r="G44" s="178" t="s">
        <v>712</v>
      </c>
      <c r="H44" s="157"/>
    </row>
    <row r="45" spans="1:8" s="108" customFormat="1" ht="23.1" customHeight="1">
      <c r="A45" s="157" t="s">
        <v>642</v>
      </c>
      <c r="B45" s="1259"/>
      <c r="C45" s="1259"/>
      <c r="D45" s="156" t="s">
        <v>713</v>
      </c>
      <c r="E45" s="157"/>
      <c r="F45" s="169">
        <v>9</v>
      </c>
      <c r="G45" s="178" t="s">
        <v>714</v>
      </c>
      <c r="H45" s="157"/>
    </row>
    <row r="46" spans="1:8" s="108" customFormat="1" ht="23.1" customHeight="1">
      <c r="A46" s="157" t="s">
        <v>642</v>
      </c>
      <c r="B46" s="1257" t="s">
        <v>715</v>
      </c>
      <c r="C46" s="1257" t="s">
        <v>716</v>
      </c>
      <c r="D46" s="158" t="s">
        <v>697</v>
      </c>
      <c r="E46" s="157"/>
      <c r="F46" s="169">
        <v>1</v>
      </c>
      <c r="G46" s="178" t="s">
        <v>698</v>
      </c>
      <c r="H46" s="157"/>
    </row>
    <row r="47" spans="1:8" s="108" customFormat="1" ht="23.1" customHeight="1">
      <c r="A47" s="157" t="s">
        <v>642</v>
      </c>
      <c r="B47" s="1258"/>
      <c r="C47" s="1258"/>
      <c r="D47" s="158" t="s">
        <v>717</v>
      </c>
      <c r="E47" s="157"/>
      <c r="F47" s="169">
        <v>2</v>
      </c>
      <c r="G47" s="178" t="s">
        <v>718</v>
      </c>
      <c r="H47" s="157"/>
    </row>
    <row r="48" spans="1:8" s="108" customFormat="1" ht="23.1" customHeight="1">
      <c r="A48" s="157" t="s">
        <v>642</v>
      </c>
      <c r="B48" s="1258"/>
      <c r="C48" s="1258"/>
      <c r="D48" s="158" t="s">
        <v>701</v>
      </c>
      <c r="E48" s="157"/>
      <c r="F48" s="169">
        <v>3</v>
      </c>
      <c r="G48" s="178" t="s">
        <v>702</v>
      </c>
      <c r="H48" s="157"/>
    </row>
    <row r="49" spans="1:8" s="108" customFormat="1" ht="23.1" customHeight="1">
      <c r="A49" s="157" t="s">
        <v>642</v>
      </c>
      <c r="B49" s="1258"/>
      <c r="C49" s="1258"/>
      <c r="D49" s="158" t="s">
        <v>703</v>
      </c>
      <c r="E49" s="157"/>
      <c r="F49" s="169">
        <v>4</v>
      </c>
      <c r="G49" s="178" t="s">
        <v>704</v>
      </c>
      <c r="H49" s="157"/>
    </row>
    <row r="50" spans="1:8" s="108" customFormat="1" ht="23.1" customHeight="1">
      <c r="A50" s="157" t="s">
        <v>642</v>
      </c>
      <c r="B50" s="1258"/>
      <c r="C50" s="1258"/>
      <c r="D50" s="158" t="s">
        <v>705</v>
      </c>
      <c r="E50" s="157"/>
      <c r="F50" s="169">
        <v>5</v>
      </c>
      <c r="G50" s="178" t="s">
        <v>706</v>
      </c>
      <c r="H50" s="157"/>
    </row>
    <row r="51" spans="1:8" s="108" customFormat="1" ht="23.1" customHeight="1">
      <c r="A51" s="157" t="s">
        <v>642</v>
      </c>
      <c r="B51" s="1258"/>
      <c r="C51" s="1258"/>
      <c r="D51" s="158" t="s">
        <v>719</v>
      </c>
      <c r="E51" s="157"/>
      <c r="F51" s="169">
        <v>6</v>
      </c>
      <c r="G51" s="178" t="s">
        <v>720</v>
      </c>
      <c r="H51" s="157"/>
    </row>
    <row r="52" spans="1:8" s="108" customFormat="1" ht="23.1" customHeight="1">
      <c r="A52" s="157" t="s">
        <v>642</v>
      </c>
      <c r="B52" s="1258"/>
      <c r="C52" s="1258"/>
      <c r="D52" s="158" t="s">
        <v>721</v>
      </c>
      <c r="E52" s="157"/>
      <c r="F52" s="169">
        <v>7</v>
      </c>
      <c r="G52" s="178" t="s">
        <v>722</v>
      </c>
      <c r="H52" s="157"/>
    </row>
    <row r="53" spans="1:8" s="108" customFormat="1" ht="23.1" customHeight="1">
      <c r="A53" s="157" t="s">
        <v>642</v>
      </c>
      <c r="B53" s="1258"/>
      <c r="C53" s="1258"/>
      <c r="D53" s="158" t="s">
        <v>709</v>
      </c>
      <c r="E53" s="157"/>
      <c r="F53" s="169">
        <v>8</v>
      </c>
      <c r="G53" s="178" t="s">
        <v>710</v>
      </c>
      <c r="H53" s="157"/>
    </row>
    <row r="54" spans="1:8" s="108" customFormat="1" ht="23.1" customHeight="1">
      <c r="A54" s="157" t="s">
        <v>642</v>
      </c>
      <c r="B54" s="1258"/>
      <c r="C54" s="1258"/>
      <c r="D54" s="158" t="s">
        <v>711</v>
      </c>
      <c r="E54" s="157"/>
      <c r="F54" s="169">
        <v>9</v>
      </c>
      <c r="G54" s="178" t="s">
        <v>712</v>
      </c>
      <c r="H54" s="157"/>
    </row>
    <row r="55" spans="1:8" s="108" customFormat="1" ht="23.1" customHeight="1">
      <c r="A55" s="157" t="s">
        <v>642</v>
      </c>
      <c r="B55" s="1258"/>
      <c r="C55" s="1258"/>
      <c r="D55" s="156" t="s">
        <v>713</v>
      </c>
      <c r="E55" s="157"/>
      <c r="F55" s="169">
        <v>10</v>
      </c>
      <c r="G55" s="178" t="s">
        <v>714</v>
      </c>
      <c r="H55" s="157"/>
    </row>
    <row r="56" spans="1:8" s="108" customFormat="1" ht="23.1" customHeight="1">
      <c r="A56" s="182" t="s">
        <v>642</v>
      </c>
      <c r="B56" s="1263" t="s">
        <v>723</v>
      </c>
      <c r="C56" s="1263" t="s">
        <v>724</v>
      </c>
      <c r="D56" s="183" t="s">
        <v>697</v>
      </c>
      <c r="E56" s="157"/>
      <c r="F56" s="169">
        <v>1</v>
      </c>
      <c r="G56" s="178" t="s">
        <v>698</v>
      </c>
      <c r="H56" s="157"/>
    </row>
    <row r="57" spans="1:8" s="108" customFormat="1" ht="23.1" customHeight="1">
      <c r="A57" s="182" t="s">
        <v>642</v>
      </c>
      <c r="B57" s="1263"/>
      <c r="C57" s="1263"/>
      <c r="D57" s="183" t="s">
        <v>717</v>
      </c>
      <c r="E57" s="157"/>
      <c r="F57" s="169">
        <v>2</v>
      </c>
      <c r="G57" s="178" t="s">
        <v>718</v>
      </c>
      <c r="H57" s="157"/>
    </row>
    <row r="58" spans="1:8" s="108" customFormat="1" ht="23.1" customHeight="1">
      <c r="A58" s="182" t="s">
        <v>642</v>
      </c>
      <c r="B58" s="1263"/>
      <c r="C58" s="1263"/>
      <c r="D58" s="183" t="s">
        <v>703</v>
      </c>
      <c r="E58" s="157"/>
      <c r="F58" s="169">
        <v>3</v>
      </c>
      <c r="G58" s="178" t="s">
        <v>704</v>
      </c>
      <c r="H58" s="157"/>
    </row>
    <row r="59" spans="1:8" s="108" customFormat="1" ht="23.1" customHeight="1">
      <c r="A59" s="182" t="s">
        <v>642</v>
      </c>
      <c r="B59" s="1263"/>
      <c r="C59" s="1263"/>
      <c r="D59" s="183" t="s">
        <v>705</v>
      </c>
      <c r="E59" s="157"/>
      <c r="F59" s="169">
        <v>4</v>
      </c>
      <c r="G59" s="178" t="s">
        <v>706</v>
      </c>
      <c r="H59" s="157"/>
    </row>
    <row r="60" spans="1:8" s="108" customFormat="1" ht="23.1" customHeight="1">
      <c r="A60" s="182" t="s">
        <v>642</v>
      </c>
      <c r="B60" s="1263"/>
      <c r="C60" s="1263"/>
      <c r="D60" s="183" t="s">
        <v>725</v>
      </c>
      <c r="E60" s="157"/>
      <c r="F60" s="169">
        <v>5</v>
      </c>
      <c r="G60" s="178" t="s">
        <v>726</v>
      </c>
      <c r="H60" s="157"/>
    </row>
    <row r="61" spans="1:8" s="108" customFormat="1" ht="23.1" customHeight="1">
      <c r="A61" s="182" t="s">
        <v>642</v>
      </c>
      <c r="B61" s="1263"/>
      <c r="C61" s="1263"/>
      <c r="D61" s="183" t="s">
        <v>727</v>
      </c>
      <c r="E61" s="157"/>
      <c r="F61" s="169">
        <v>6</v>
      </c>
      <c r="G61" s="178" t="s">
        <v>728</v>
      </c>
      <c r="H61" s="157"/>
    </row>
    <row r="62" spans="1:8" s="108" customFormat="1" ht="23.1" customHeight="1">
      <c r="A62" s="182" t="s">
        <v>642</v>
      </c>
      <c r="B62" s="1263"/>
      <c r="C62" s="1263"/>
      <c r="D62" s="183" t="s">
        <v>709</v>
      </c>
      <c r="E62" s="157"/>
      <c r="F62" s="169">
        <v>7</v>
      </c>
      <c r="G62" s="178" t="s">
        <v>710</v>
      </c>
      <c r="H62" s="157"/>
    </row>
    <row r="63" spans="1:8" s="108" customFormat="1" ht="23.1" customHeight="1">
      <c r="A63" s="182" t="s">
        <v>642</v>
      </c>
      <c r="B63" s="1263"/>
      <c r="C63" s="1263"/>
      <c r="D63" s="183" t="s">
        <v>711</v>
      </c>
      <c r="E63" s="157"/>
      <c r="F63" s="169">
        <v>8</v>
      </c>
      <c r="G63" s="178" t="s">
        <v>712</v>
      </c>
      <c r="H63" s="157"/>
    </row>
    <row r="64" spans="1:8" s="108" customFormat="1" ht="23.1" customHeight="1">
      <c r="A64" s="182" t="s">
        <v>642</v>
      </c>
      <c r="B64" s="1263"/>
      <c r="C64" s="1263"/>
      <c r="D64" s="184" t="s">
        <v>713</v>
      </c>
      <c r="E64" s="157"/>
      <c r="F64" s="169">
        <v>9</v>
      </c>
      <c r="G64" s="178" t="s">
        <v>714</v>
      </c>
      <c r="H64" s="157"/>
    </row>
    <row r="65" spans="1:8" s="108" customFormat="1" ht="23.1" customHeight="1">
      <c r="A65" s="157" t="s">
        <v>642</v>
      </c>
      <c r="B65" s="1258" t="s">
        <v>729</v>
      </c>
      <c r="C65" s="1258" t="s">
        <v>730</v>
      </c>
      <c r="D65" s="158" t="s">
        <v>697</v>
      </c>
      <c r="E65" s="157"/>
      <c r="F65" s="169">
        <v>1</v>
      </c>
      <c r="G65" s="178" t="s">
        <v>698</v>
      </c>
      <c r="H65" s="157"/>
    </row>
    <row r="66" spans="1:8" s="108" customFormat="1" ht="23.1" customHeight="1">
      <c r="A66" s="157" t="s">
        <v>642</v>
      </c>
      <c r="B66" s="1258"/>
      <c r="C66" s="1258"/>
      <c r="D66" s="158" t="s">
        <v>717</v>
      </c>
      <c r="E66" s="157"/>
      <c r="F66" s="169">
        <v>2</v>
      </c>
      <c r="G66" s="178" t="s">
        <v>718</v>
      </c>
      <c r="H66" s="157"/>
    </row>
    <row r="67" spans="1:8" s="108" customFormat="1" ht="23.1" customHeight="1">
      <c r="A67" s="157" t="s">
        <v>642</v>
      </c>
      <c r="B67" s="1258"/>
      <c r="C67" s="1258"/>
      <c r="D67" s="158" t="s">
        <v>703</v>
      </c>
      <c r="E67" s="157"/>
      <c r="F67" s="169">
        <v>3</v>
      </c>
      <c r="G67" s="178" t="s">
        <v>704</v>
      </c>
      <c r="H67" s="157"/>
    </row>
    <row r="68" spans="1:8" s="108" customFormat="1" ht="23.1" customHeight="1">
      <c r="A68" s="157" t="s">
        <v>642</v>
      </c>
      <c r="B68" s="1258"/>
      <c r="C68" s="1258"/>
      <c r="D68" s="158" t="s">
        <v>705</v>
      </c>
      <c r="E68" s="157"/>
      <c r="F68" s="169">
        <v>4</v>
      </c>
      <c r="G68" s="178" t="s">
        <v>706</v>
      </c>
      <c r="H68" s="157"/>
    </row>
    <row r="69" spans="1:8" s="108" customFormat="1" ht="23.1" customHeight="1">
      <c r="A69" s="157" t="s">
        <v>642</v>
      </c>
      <c r="B69" s="1258"/>
      <c r="C69" s="1258"/>
      <c r="D69" s="158" t="s">
        <v>725</v>
      </c>
      <c r="E69" s="157"/>
      <c r="F69" s="169">
        <v>5</v>
      </c>
      <c r="G69" s="178" t="s">
        <v>726</v>
      </c>
      <c r="H69" s="157"/>
    </row>
    <row r="70" spans="1:8" s="108" customFormat="1" ht="23.1" customHeight="1">
      <c r="A70" s="157" t="s">
        <v>642</v>
      </c>
      <c r="B70" s="1258"/>
      <c r="C70" s="1258"/>
      <c r="D70" s="158" t="s">
        <v>727</v>
      </c>
      <c r="E70" s="157"/>
      <c r="F70" s="169">
        <v>6</v>
      </c>
      <c r="G70" s="178" t="s">
        <v>728</v>
      </c>
      <c r="H70" s="157"/>
    </row>
    <row r="71" spans="1:8" s="108" customFormat="1" ht="23.1" customHeight="1">
      <c r="A71" s="157" t="s">
        <v>642</v>
      </c>
      <c r="B71" s="1258"/>
      <c r="C71" s="1258"/>
      <c r="D71" s="158" t="s">
        <v>709</v>
      </c>
      <c r="E71" s="157"/>
      <c r="F71" s="169">
        <v>7</v>
      </c>
      <c r="G71" s="178" t="s">
        <v>710</v>
      </c>
      <c r="H71" s="157"/>
    </row>
    <row r="72" spans="1:8" s="108" customFormat="1" ht="23.1" customHeight="1">
      <c r="A72" s="157" t="s">
        <v>642</v>
      </c>
      <c r="B72" s="1258"/>
      <c r="C72" s="1258"/>
      <c r="D72" s="158" t="s">
        <v>711</v>
      </c>
      <c r="E72" s="157"/>
      <c r="F72" s="169">
        <v>8</v>
      </c>
      <c r="G72" s="178" t="s">
        <v>712</v>
      </c>
      <c r="H72" s="157"/>
    </row>
    <row r="73" spans="1:8" s="108" customFormat="1" ht="23.1" customHeight="1">
      <c r="A73" s="157" t="s">
        <v>642</v>
      </c>
      <c r="B73" s="1259"/>
      <c r="C73" s="1259"/>
      <c r="D73" s="156" t="s">
        <v>713</v>
      </c>
      <c r="E73" s="157"/>
      <c r="F73" s="169">
        <v>9</v>
      </c>
      <c r="G73" s="178" t="s">
        <v>714</v>
      </c>
      <c r="H73" s="157"/>
    </row>
    <row r="74" spans="1:8" s="108" customFormat="1" ht="23.1" customHeight="1">
      <c r="A74" s="157" t="s">
        <v>642</v>
      </c>
      <c r="B74" s="1257" t="s">
        <v>731</v>
      </c>
      <c r="C74" s="1257" t="s">
        <v>732</v>
      </c>
      <c r="D74" s="158" t="s">
        <v>697</v>
      </c>
      <c r="E74" s="157"/>
      <c r="F74" s="169">
        <v>1</v>
      </c>
      <c r="G74" s="178" t="s">
        <v>698</v>
      </c>
      <c r="H74" s="157"/>
    </row>
    <row r="75" spans="1:8" s="108" customFormat="1" ht="23.1" customHeight="1">
      <c r="A75" s="157" t="s">
        <v>642</v>
      </c>
      <c r="B75" s="1258"/>
      <c r="C75" s="1258"/>
      <c r="D75" s="158" t="s">
        <v>717</v>
      </c>
      <c r="E75" s="157"/>
      <c r="F75" s="169">
        <v>2</v>
      </c>
      <c r="G75" s="178" t="s">
        <v>718</v>
      </c>
      <c r="H75" s="157"/>
    </row>
    <row r="76" spans="1:8" s="108" customFormat="1" ht="23.1" customHeight="1">
      <c r="A76" s="157" t="s">
        <v>642</v>
      </c>
      <c r="B76" s="1258"/>
      <c r="C76" s="1258"/>
      <c r="D76" s="158" t="s">
        <v>703</v>
      </c>
      <c r="E76" s="157"/>
      <c r="F76" s="169">
        <v>3</v>
      </c>
      <c r="G76" s="178" t="s">
        <v>704</v>
      </c>
      <c r="H76" s="157"/>
    </row>
    <row r="77" spans="1:8" s="108" customFormat="1" ht="23.1" customHeight="1">
      <c r="A77" s="157" t="s">
        <v>642</v>
      </c>
      <c r="B77" s="1258"/>
      <c r="C77" s="1258"/>
      <c r="D77" s="158" t="s">
        <v>705</v>
      </c>
      <c r="E77" s="157"/>
      <c r="F77" s="169">
        <v>4</v>
      </c>
      <c r="G77" s="178" t="s">
        <v>706</v>
      </c>
      <c r="H77" s="157"/>
    </row>
    <row r="78" spans="1:8" s="108" customFormat="1" ht="23.1" customHeight="1">
      <c r="A78" s="157" t="s">
        <v>642</v>
      </c>
      <c r="B78" s="1258"/>
      <c r="C78" s="1258"/>
      <c r="D78" s="158" t="s">
        <v>725</v>
      </c>
      <c r="E78" s="157"/>
      <c r="F78" s="169">
        <v>5</v>
      </c>
      <c r="G78" s="178" t="s">
        <v>726</v>
      </c>
      <c r="H78" s="157"/>
    </row>
    <row r="79" spans="1:8" s="108" customFormat="1" ht="23.1" customHeight="1">
      <c r="A79" s="157" t="s">
        <v>642</v>
      </c>
      <c r="B79" s="1258"/>
      <c r="C79" s="1258"/>
      <c r="D79" s="158" t="s">
        <v>727</v>
      </c>
      <c r="E79" s="157"/>
      <c r="F79" s="169">
        <v>6</v>
      </c>
      <c r="G79" s="178" t="s">
        <v>728</v>
      </c>
      <c r="H79" s="157"/>
    </row>
    <row r="80" spans="1:8" s="108" customFormat="1" ht="23.1" customHeight="1">
      <c r="A80" s="157" t="s">
        <v>642</v>
      </c>
      <c r="B80" s="1258"/>
      <c r="C80" s="1258"/>
      <c r="D80" s="158" t="s">
        <v>709</v>
      </c>
      <c r="E80" s="157"/>
      <c r="F80" s="169">
        <v>7</v>
      </c>
      <c r="G80" s="178" t="s">
        <v>710</v>
      </c>
      <c r="H80" s="157"/>
    </row>
    <row r="81" spans="1:8" s="108" customFormat="1" ht="23.1" customHeight="1">
      <c r="A81" s="157" t="s">
        <v>642</v>
      </c>
      <c r="B81" s="1258"/>
      <c r="C81" s="1258"/>
      <c r="D81" s="158" t="s">
        <v>711</v>
      </c>
      <c r="E81" s="157"/>
      <c r="F81" s="169">
        <v>8</v>
      </c>
      <c r="G81" s="178" t="s">
        <v>712</v>
      </c>
      <c r="H81" s="157"/>
    </row>
    <row r="82" spans="1:8" s="108" customFormat="1" ht="23.1" customHeight="1">
      <c r="A82" s="157" t="s">
        <v>642</v>
      </c>
      <c r="B82" s="1259"/>
      <c r="C82" s="1259"/>
      <c r="D82" s="156" t="s">
        <v>713</v>
      </c>
      <c r="E82" s="157"/>
      <c r="F82" s="169">
        <v>9</v>
      </c>
      <c r="G82" s="178" t="s">
        <v>714</v>
      </c>
      <c r="H82" s="157"/>
    </row>
    <row r="83" spans="1:8" s="108" customFormat="1" ht="23.1" customHeight="1">
      <c r="A83" s="157" t="s">
        <v>642</v>
      </c>
      <c r="B83" s="1257" t="s">
        <v>733</v>
      </c>
      <c r="C83" s="1257" t="s">
        <v>734</v>
      </c>
      <c r="D83" s="158" t="s">
        <v>697</v>
      </c>
      <c r="E83" s="157"/>
      <c r="F83" s="169">
        <v>1</v>
      </c>
      <c r="G83" s="178" t="s">
        <v>698</v>
      </c>
      <c r="H83" s="157"/>
    </row>
    <row r="84" spans="1:8" s="108" customFormat="1" ht="23.1" customHeight="1">
      <c r="A84" s="157" t="s">
        <v>642</v>
      </c>
      <c r="B84" s="1258"/>
      <c r="C84" s="1258"/>
      <c r="D84" s="158" t="s">
        <v>717</v>
      </c>
      <c r="E84" s="157"/>
      <c r="F84" s="169">
        <v>2</v>
      </c>
      <c r="G84" s="178" t="s">
        <v>718</v>
      </c>
      <c r="H84" s="157"/>
    </row>
    <row r="85" spans="1:8" s="108" customFormat="1" ht="23.1" customHeight="1">
      <c r="A85" s="157" t="s">
        <v>642</v>
      </c>
      <c r="B85" s="1258"/>
      <c r="C85" s="1258"/>
      <c r="D85" s="158" t="s">
        <v>701</v>
      </c>
      <c r="E85" s="157"/>
      <c r="F85" s="169">
        <v>3</v>
      </c>
      <c r="G85" s="178" t="s">
        <v>702</v>
      </c>
      <c r="H85" s="157"/>
    </row>
    <row r="86" spans="1:8" s="108" customFormat="1" ht="23.1" customHeight="1">
      <c r="A86" s="157" t="s">
        <v>642</v>
      </c>
      <c r="B86" s="1258"/>
      <c r="C86" s="1258"/>
      <c r="D86" s="158" t="s">
        <v>703</v>
      </c>
      <c r="E86" s="157"/>
      <c r="F86" s="169">
        <v>4</v>
      </c>
      <c r="G86" s="178" t="s">
        <v>704</v>
      </c>
      <c r="H86" s="157"/>
    </row>
    <row r="87" spans="1:8" s="108" customFormat="1" ht="23.1" customHeight="1">
      <c r="A87" s="157" t="s">
        <v>642</v>
      </c>
      <c r="B87" s="1258"/>
      <c r="C87" s="1258"/>
      <c r="D87" s="158" t="s">
        <v>705</v>
      </c>
      <c r="E87" s="157"/>
      <c r="F87" s="169">
        <v>5</v>
      </c>
      <c r="G87" s="178" t="s">
        <v>706</v>
      </c>
      <c r="H87" s="157"/>
    </row>
    <row r="88" spans="1:8" s="108" customFormat="1" ht="23.1" customHeight="1">
      <c r="A88" s="157" t="s">
        <v>642</v>
      </c>
      <c r="B88" s="1258"/>
      <c r="C88" s="1258"/>
      <c r="D88" s="158" t="s">
        <v>719</v>
      </c>
      <c r="E88" s="157"/>
      <c r="F88" s="169">
        <v>6</v>
      </c>
      <c r="G88" s="178" t="s">
        <v>720</v>
      </c>
      <c r="H88" s="157"/>
    </row>
    <row r="89" spans="1:8" s="108" customFormat="1" ht="23.1" customHeight="1">
      <c r="A89" s="157" t="s">
        <v>642</v>
      </c>
      <c r="B89" s="1258"/>
      <c r="C89" s="1258"/>
      <c r="D89" s="158" t="s">
        <v>721</v>
      </c>
      <c r="E89" s="157"/>
      <c r="F89" s="169">
        <v>7</v>
      </c>
      <c r="G89" s="178" t="s">
        <v>722</v>
      </c>
      <c r="H89" s="157"/>
    </row>
    <row r="90" spans="1:8" s="108" customFormat="1" ht="23.1" customHeight="1">
      <c r="A90" s="157" t="s">
        <v>642</v>
      </c>
      <c r="B90" s="1258"/>
      <c r="C90" s="1258"/>
      <c r="D90" s="158" t="s">
        <v>709</v>
      </c>
      <c r="E90" s="157"/>
      <c r="F90" s="169">
        <v>8</v>
      </c>
      <c r="G90" s="178" t="s">
        <v>710</v>
      </c>
      <c r="H90" s="157"/>
    </row>
    <row r="91" spans="1:8" s="108" customFormat="1" ht="23.1" customHeight="1">
      <c r="A91" s="157" t="s">
        <v>642</v>
      </c>
      <c r="B91" s="1258"/>
      <c r="C91" s="1258"/>
      <c r="D91" s="158" t="s">
        <v>711</v>
      </c>
      <c r="E91" s="157"/>
      <c r="F91" s="169">
        <v>9</v>
      </c>
      <c r="G91" s="178" t="s">
        <v>712</v>
      </c>
      <c r="H91" s="157"/>
    </row>
    <row r="92" spans="1:8" s="108" customFormat="1" ht="23.1" customHeight="1">
      <c r="A92" s="157" t="s">
        <v>642</v>
      </c>
      <c r="B92" s="1259"/>
      <c r="C92" s="1259"/>
      <c r="D92" s="156" t="s">
        <v>713</v>
      </c>
      <c r="E92" s="157"/>
      <c r="F92" s="169">
        <v>10</v>
      </c>
      <c r="G92" s="178" t="s">
        <v>714</v>
      </c>
      <c r="H92" s="157"/>
    </row>
    <row r="93" spans="1:8" s="108" customFormat="1" ht="23.1" customHeight="1">
      <c r="A93" s="157" t="s">
        <v>642</v>
      </c>
      <c r="B93" s="1257" t="s">
        <v>735</v>
      </c>
      <c r="C93" s="1257" t="s">
        <v>736</v>
      </c>
      <c r="D93" s="158" t="s">
        <v>697</v>
      </c>
      <c r="E93" s="157"/>
      <c r="F93" s="169">
        <v>1</v>
      </c>
      <c r="G93" s="178" t="s">
        <v>698</v>
      </c>
      <c r="H93" s="157"/>
    </row>
    <row r="94" spans="1:8" s="108" customFormat="1" ht="23.1" customHeight="1">
      <c r="A94" s="157" t="s">
        <v>642</v>
      </c>
      <c r="B94" s="1258"/>
      <c r="C94" s="1258"/>
      <c r="D94" s="158" t="s">
        <v>717</v>
      </c>
      <c r="E94" s="157"/>
      <c r="F94" s="169">
        <v>2</v>
      </c>
      <c r="G94" s="178" t="s">
        <v>718</v>
      </c>
      <c r="H94" s="157"/>
    </row>
    <row r="95" spans="1:8" s="108" customFormat="1" ht="23.1" customHeight="1">
      <c r="A95" s="157" t="s">
        <v>642</v>
      </c>
      <c r="B95" s="1258"/>
      <c r="C95" s="1258"/>
      <c r="D95" s="158" t="s">
        <v>703</v>
      </c>
      <c r="E95" s="157"/>
      <c r="F95" s="169">
        <v>3</v>
      </c>
      <c r="G95" s="178" t="s">
        <v>704</v>
      </c>
      <c r="H95" s="157"/>
    </row>
    <row r="96" spans="1:8" s="108" customFormat="1" ht="23.1" customHeight="1">
      <c r="A96" s="157" t="s">
        <v>642</v>
      </c>
      <c r="B96" s="1258"/>
      <c r="C96" s="1258"/>
      <c r="D96" s="158" t="s">
        <v>705</v>
      </c>
      <c r="E96" s="157"/>
      <c r="F96" s="169">
        <v>4</v>
      </c>
      <c r="G96" s="178" t="s">
        <v>706</v>
      </c>
      <c r="H96" s="157"/>
    </row>
    <row r="97" spans="1:8" s="108" customFormat="1" ht="23.1" customHeight="1">
      <c r="A97" s="157" t="s">
        <v>642</v>
      </c>
      <c r="B97" s="1258"/>
      <c r="C97" s="1258"/>
      <c r="D97" s="158" t="s">
        <v>725</v>
      </c>
      <c r="E97" s="157"/>
      <c r="F97" s="169">
        <v>5</v>
      </c>
      <c r="G97" s="178" t="s">
        <v>726</v>
      </c>
      <c r="H97" s="157"/>
    </row>
    <row r="98" spans="1:8" s="108" customFormat="1" ht="23.1" customHeight="1">
      <c r="A98" s="157" t="s">
        <v>642</v>
      </c>
      <c r="B98" s="1258"/>
      <c r="C98" s="1258"/>
      <c r="D98" s="158" t="s">
        <v>727</v>
      </c>
      <c r="E98" s="157"/>
      <c r="F98" s="169">
        <v>6</v>
      </c>
      <c r="G98" s="178" t="s">
        <v>728</v>
      </c>
      <c r="H98" s="157"/>
    </row>
    <row r="99" spans="1:8" s="108" customFormat="1" ht="23.1" customHeight="1">
      <c r="A99" s="157" t="s">
        <v>642</v>
      </c>
      <c r="B99" s="1258"/>
      <c r="C99" s="1258"/>
      <c r="D99" s="158" t="s">
        <v>709</v>
      </c>
      <c r="E99" s="157"/>
      <c r="F99" s="169">
        <v>7</v>
      </c>
      <c r="G99" s="178" t="s">
        <v>710</v>
      </c>
      <c r="H99" s="157"/>
    </row>
    <row r="100" spans="1:8" s="108" customFormat="1" ht="23.1" customHeight="1">
      <c r="A100" s="157" t="s">
        <v>642</v>
      </c>
      <c r="B100" s="1258"/>
      <c r="C100" s="1258"/>
      <c r="D100" s="158" t="s">
        <v>711</v>
      </c>
      <c r="E100" s="157"/>
      <c r="F100" s="169">
        <v>8</v>
      </c>
      <c r="G100" s="178" t="s">
        <v>712</v>
      </c>
      <c r="H100" s="157"/>
    </row>
    <row r="101" spans="1:8" s="108" customFormat="1" ht="23.1" customHeight="1">
      <c r="A101" s="157" t="s">
        <v>642</v>
      </c>
      <c r="B101" s="1259"/>
      <c r="C101" s="1259"/>
      <c r="D101" s="156" t="s">
        <v>713</v>
      </c>
      <c r="E101" s="157"/>
      <c r="F101" s="169">
        <v>9</v>
      </c>
      <c r="G101" s="178" t="s">
        <v>714</v>
      </c>
      <c r="H101" s="157"/>
    </row>
    <row r="102" spans="1:8" s="108" customFormat="1" ht="23.1" customHeight="1">
      <c r="A102" s="157" t="s">
        <v>642</v>
      </c>
      <c r="B102" s="1257" t="s">
        <v>737</v>
      </c>
      <c r="C102" s="1257" t="s">
        <v>738</v>
      </c>
      <c r="D102" s="158" t="s">
        <v>697</v>
      </c>
      <c r="E102" s="157"/>
      <c r="F102" s="169">
        <v>1</v>
      </c>
      <c r="G102" s="178" t="s">
        <v>698</v>
      </c>
      <c r="H102" s="157"/>
    </row>
    <row r="103" spans="1:8" s="108" customFormat="1" ht="23.1" customHeight="1">
      <c r="A103" s="157" t="s">
        <v>642</v>
      </c>
      <c r="B103" s="1258"/>
      <c r="C103" s="1258"/>
      <c r="D103" s="158" t="s">
        <v>717</v>
      </c>
      <c r="E103" s="157"/>
      <c r="F103" s="169">
        <v>2</v>
      </c>
      <c r="G103" s="178" t="s">
        <v>718</v>
      </c>
      <c r="H103" s="157"/>
    </row>
    <row r="104" spans="1:8" s="108" customFormat="1" ht="23.1" customHeight="1">
      <c r="A104" s="157" t="s">
        <v>642</v>
      </c>
      <c r="B104" s="1258"/>
      <c r="C104" s="1258"/>
      <c r="D104" s="158" t="s">
        <v>703</v>
      </c>
      <c r="E104" s="157"/>
      <c r="F104" s="169">
        <v>3</v>
      </c>
      <c r="G104" s="178" t="s">
        <v>704</v>
      </c>
      <c r="H104" s="157"/>
    </row>
    <row r="105" spans="1:8" s="108" customFormat="1" ht="23.1" customHeight="1">
      <c r="A105" s="157" t="s">
        <v>642</v>
      </c>
      <c r="B105" s="1258"/>
      <c r="C105" s="1258"/>
      <c r="D105" s="158" t="s">
        <v>705</v>
      </c>
      <c r="E105" s="157"/>
      <c r="F105" s="169">
        <v>4</v>
      </c>
      <c r="G105" s="178" t="s">
        <v>706</v>
      </c>
      <c r="H105" s="157"/>
    </row>
    <row r="106" spans="1:8" s="108" customFormat="1" ht="23.1" customHeight="1">
      <c r="A106" s="157" t="s">
        <v>642</v>
      </c>
      <c r="B106" s="1258"/>
      <c r="C106" s="1258"/>
      <c r="D106" s="158" t="s">
        <v>725</v>
      </c>
      <c r="E106" s="157"/>
      <c r="F106" s="169">
        <v>5</v>
      </c>
      <c r="G106" s="178" t="s">
        <v>726</v>
      </c>
      <c r="H106" s="157"/>
    </row>
    <row r="107" spans="1:8" s="108" customFormat="1" ht="23.1" customHeight="1">
      <c r="A107" s="157" t="s">
        <v>642</v>
      </c>
      <c r="B107" s="1258"/>
      <c r="C107" s="1258"/>
      <c r="D107" s="158" t="s">
        <v>727</v>
      </c>
      <c r="E107" s="157"/>
      <c r="F107" s="169">
        <v>6</v>
      </c>
      <c r="G107" s="178" t="s">
        <v>728</v>
      </c>
      <c r="H107" s="157"/>
    </row>
    <row r="108" spans="1:8" s="108" customFormat="1" ht="23.1" customHeight="1">
      <c r="A108" s="157" t="s">
        <v>642</v>
      </c>
      <c r="B108" s="1258"/>
      <c r="C108" s="1258"/>
      <c r="D108" s="158" t="s">
        <v>709</v>
      </c>
      <c r="E108" s="157"/>
      <c r="F108" s="169">
        <v>7</v>
      </c>
      <c r="G108" s="178" t="s">
        <v>710</v>
      </c>
      <c r="H108" s="157"/>
    </row>
    <row r="109" spans="1:8" s="108" customFormat="1" ht="23.1" customHeight="1">
      <c r="A109" s="157" t="s">
        <v>642</v>
      </c>
      <c r="B109" s="1258"/>
      <c r="C109" s="1258"/>
      <c r="D109" s="158" t="s">
        <v>711</v>
      </c>
      <c r="E109" s="157"/>
      <c r="F109" s="169">
        <v>8</v>
      </c>
      <c r="G109" s="178" t="s">
        <v>712</v>
      </c>
      <c r="H109" s="157"/>
    </row>
    <row r="110" spans="1:8" s="108" customFormat="1" ht="23.1" customHeight="1">
      <c r="A110" s="157" t="s">
        <v>642</v>
      </c>
      <c r="B110" s="1259"/>
      <c r="C110" s="1259"/>
      <c r="D110" s="156" t="s">
        <v>713</v>
      </c>
      <c r="E110" s="157"/>
      <c r="F110" s="169">
        <v>9</v>
      </c>
      <c r="G110" s="178" t="s">
        <v>714</v>
      </c>
      <c r="H110" s="157"/>
    </row>
    <row r="111" spans="1:8" s="108" customFormat="1" ht="23.1" customHeight="1">
      <c r="A111" s="157" t="s">
        <v>642</v>
      </c>
      <c r="B111" s="1257" t="s">
        <v>739</v>
      </c>
      <c r="C111" s="1257" t="s">
        <v>740</v>
      </c>
      <c r="D111" s="158" t="s">
        <v>697</v>
      </c>
      <c r="E111" s="157"/>
      <c r="F111" s="169">
        <v>1</v>
      </c>
      <c r="G111" s="178" t="s">
        <v>698</v>
      </c>
      <c r="H111" s="157"/>
    </row>
    <row r="112" spans="1:8" s="108" customFormat="1" ht="23.1" customHeight="1">
      <c r="A112" s="157" t="s">
        <v>642</v>
      </c>
      <c r="B112" s="1258"/>
      <c r="C112" s="1258"/>
      <c r="D112" s="158" t="s">
        <v>717</v>
      </c>
      <c r="E112" s="157"/>
      <c r="F112" s="169">
        <v>2</v>
      </c>
      <c r="G112" s="178" t="s">
        <v>718</v>
      </c>
      <c r="H112" s="157"/>
    </row>
    <row r="113" spans="1:8" s="108" customFormat="1" ht="23.1" customHeight="1">
      <c r="A113" s="157" t="s">
        <v>642</v>
      </c>
      <c r="B113" s="1258"/>
      <c r="C113" s="1258"/>
      <c r="D113" s="158" t="s">
        <v>703</v>
      </c>
      <c r="E113" s="157"/>
      <c r="F113" s="169">
        <v>3</v>
      </c>
      <c r="G113" s="178" t="s">
        <v>704</v>
      </c>
      <c r="H113" s="157"/>
    </row>
    <row r="114" spans="1:8" s="108" customFormat="1" ht="23.1" customHeight="1">
      <c r="A114" s="157" t="s">
        <v>642</v>
      </c>
      <c r="B114" s="1258"/>
      <c r="C114" s="1258"/>
      <c r="D114" s="158" t="s">
        <v>705</v>
      </c>
      <c r="E114" s="157"/>
      <c r="F114" s="169">
        <v>4</v>
      </c>
      <c r="G114" s="178" t="s">
        <v>706</v>
      </c>
      <c r="H114" s="157"/>
    </row>
    <row r="115" spans="1:8" s="108" customFormat="1" ht="23.1" customHeight="1">
      <c r="A115" s="157" t="s">
        <v>642</v>
      </c>
      <c r="B115" s="1258"/>
      <c r="C115" s="1258"/>
      <c r="D115" s="158" t="s">
        <v>725</v>
      </c>
      <c r="E115" s="157"/>
      <c r="F115" s="169">
        <v>5</v>
      </c>
      <c r="G115" s="178" t="s">
        <v>726</v>
      </c>
      <c r="H115" s="157"/>
    </row>
    <row r="116" spans="1:8" s="108" customFormat="1" ht="23.1" customHeight="1">
      <c r="A116" s="157" t="s">
        <v>642</v>
      </c>
      <c r="B116" s="1258"/>
      <c r="C116" s="1258"/>
      <c r="D116" s="158" t="s">
        <v>727</v>
      </c>
      <c r="E116" s="157"/>
      <c r="F116" s="169">
        <v>6</v>
      </c>
      <c r="G116" s="178" t="s">
        <v>728</v>
      </c>
      <c r="H116" s="157"/>
    </row>
    <row r="117" spans="1:8" s="108" customFormat="1" ht="23.1" customHeight="1">
      <c r="A117" s="157" t="s">
        <v>642</v>
      </c>
      <c r="B117" s="1258"/>
      <c r="C117" s="1258"/>
      <c r="D117" s="158" t="s">
        <v>709</v>
      </c>
      <c r="E117" s="157"/>
      <c r="F117" s="169">
        <v>7</v>
      </c>
      <c r="G117" s="178" t="s">
        <v>710</v>
      </c>
      <c r="H117" s="157"/>
    </row>
    <row r="118" spans="1:8" s="108" customFormat="1" ht="23.1" customHeight="1">
      <c r="A118" s="157" t="s">
        <v>642</v>
      </c>
      <c r="B118" s="1258"/>
      <c r="C118" s="1258"/>
      <c r="D118" s="158" t="s">
        <v>711</v>
      </c>
      <c r="E118" s="157"/>
      <c r="F118" s="169">
        <v>8</v>
      </c>
      <c r="G118" s="178" t="s">
        <v>712</v>
      </c>
      <c r="H118" s="157"/>
    </row>
    <row r="119" spans="1:8" s="108" customFormat="1" ht="23.1" customHeight="1">
      <c r="A119" s="157" t="s">
        <v>642</v>
      </c>
      <c r="B119" s="1259"/>
      <c r="C119" s="1259"/>
      <c r="D119" s="156" t="s">
        <v>713</v>
      </c>
      <c r="E119" s="157"/>
      <c r="F119" s="169">
        <v>9</v>
      </c>
      <c r="G119" s="178" t="s">
        <v>714</v>
      </c>
      <c r="H119" s="157"/>
    </row>
    <row r="120" spans="1:8" s="108" customFormat="1" ht="23.1" customHeight="1">
      <c r="A120" s="157" t="s">
        <v>642</v>
      </c>
      <c r="B120" s="1257" t="s">
        <v>741</v>
      </c>
      <c r="C120" s="1257" t="s">
        <v>742</v>
      </c>
      <c r="D120" s="158" t="s">
        <v>697</v>
      </c>
      <c r="E120" s="157"/>
      <c r="F120" s="169">
        <v>1</v>
      </c>
      <c r="G120" s="178" t="s">
        <v>698</v>
      </c>
      <c r="H120" s="157"/>
    </row>
    <row r="121" spans="1:8" s="108" customFormat="1" ht="23.1" customHeight="1">
      <c r="A121" s="157" t="s">
        <v>642</v>
      </c>
      <c r="B121" s="1258"/>
      <c r="C121" s="1258"/>
      <c r="D121" s="158" t="s">
        <v>717</v>
      </c>
      <c r="E121" s="157"/>
      <c r="F121" s="169">
        <v>2</v>
      </c>
      <c r="G121" s="178" t="s">
        <v>718</v>
      </c>
      <c r="H121" s="157"/>
    </row>
    <row r="122" spans="1:8" s="108" customFormat="1" ht="23.1" customHeight="1">
      <c r="A122" s="157" t="s">
        <v>642</v>
      </c>
      <c r="B122" s="1258"/>
      <c r="C122" s="1258"/>
      <c r="D122" s="158" t="s">
        <v>701</v>
      </c>
      <c r="E122" s="157"/>
      <c r="F122" s="169">
        <v>3</v>
      </c>
      <c r="G122" s="178" t="s">
        <v>702</v>
      </c>
      <c r="H122" s="157"/>
    </row>
    <row r="123" spans="1:8" s="108" customFormat="1" ht="23.1" customHeight="1">
      <c r="A123" s="157" t="s">
        <v>642</v>
      </c>
      <c r="B123" s="1258"/>
      <c r="C123" s="1258"/>
      <c r="D123" s="158" t="s">
        <v>703</v>
      </c>
      <c r="E123" s="157"/>
      <c r="F123" s="169">
        <v>4</v>
      </c>
      <c r="G123" s="178" t="s">
        <v>704</v>
      </c>
      <c r="H123" s="157"/>
    </row>
    <row r="124" spans="1:8" s="108" customFormat="1" ht="23.1" customHeight="1">
      <c r="A124" s="157" t="s">
        <v>642</v>
      </c>
      <c r="B124" s="1258"/>
      <c r="C124" s="1258"/>
      <c r="D124" s="158" t="s">
        <v>705</v>
      </c>
      <c r="E124" s="157"/>
      <c r="F124" s="169">
        <v>5</v>
      </c>
      <c r="G124" s="178" t="s">
        <v>706</v>
      </c>
      <c r="H124" s="157"/>
    </row>
    <row r="125" spans="1:8" s="108" customFormat="1" ht="23.1" customHeight="1">
      <c r="A125" s="157" t="s">
        <v>642</v>
      </c>
      <c r="B125" s="1258"/>
      <c r="C125" s="1258"/>
      <c r="D125" s="158" t="s">
        <v>707</v>
      </c>
      <c r="E125" s="157"/>
      <c r="F125" s="169">
        <v>6</v>
      </c>
      <c r="G125" s="178" t="s">
        <v>708</v>
      </c>
      <c r="H125" s="157"/>
    </row>
    <row r="126" spans="1:8" s="108" customFormat="1" ht="23.1" customHeight="1">
      <c r="A126" s="157" t="s">
        <v>642</v>
      </c>
      <c r="B126" s="1258"/>
      <c r="C126" s="1258"/>
      <c r="D126" s="158" t="s">
        <v>743</v>
      </c>
      <c r="E126" s="157"/>
      <c r="F126" s="169">
        <v>7</v>
      </c>
      <c r="G126" s="178" t="s">
        <v>744</v>
      </c>
      <c r="H126" s="157"/>
    </row>
    <row r="127" spans="1:8" s="108" customFormat="1" ht="23.1" customHeight="1">
      <c r="A127" s="157" t="s">
        <v>642</v>
      </c>
      <c r="B127" s="1258"/>
      <c r="C127" s="1258"/>
      <c r="D127" s="158" t="s">
        <v>745</v>
      </c>
      <c r="E127" s="157"/>
      <c r="F127" s="169">
        <v>8</v>
      </c>
      <c r="G127" s="178" t="s">
        <v>746</v>
      </c>
      <c r="H127" s="157"/>
    </row>
    <row r="128" spans="1:8" s="108" customFormat="1" ht="23.1" customHeight="1">
      <c r="A128" s="157" t="s">
        <v>642</v>
      </c>
      <c r="B128" s="1258"/>
      <c r="C128" s="1258"/>
      <c r="D128" s="158" t="s">
        <v>709</v>
      </c>
      <c r="E128" s="157"/>
      <c r="F128" s="169">
        <v>9</v>
      </c>
      <c r="G128" s="178" t="s">
        <v>710</v>
      </c>
      <c r="H128" s="157"/>
    </row>
    <row r="129" spans="1:8" s="108" customFormat="1" ht="23.1" customHeight="1">
      <c r="A129" s="157" t="s">
        <v>642</v>
      </c>
      <c r="B129" s="1258"/>
      <c r="C129" s="1258"/>
      <c r="D129" s="158" t="s">
        <v>711</v>
      </c>
      <c r="E129" s="157"/>
      <c r="F129" s="169">
        <v>10</v>
      </c>
      <c r="G129" s="178" t="s">
        <v>712</v>
      </c>
      <c r="H129" s="157"/>
    </row>
    <row r="130" spans="1:8" s="108" customFormat="1" ht="23.1" customHeight="1">
      <c r="A130" s="157" t="s">
        <v>642</v>
      </c>
      <c r="B130" s="1258"/>
      <c r="C130" s="1258"/>
      <c r="D130" s="156" t="s">
        <v>713</v>
      </c>
      <c r="E130" s="157"/>
      <c r="F130" s="169">
        <v>11</v>
      </c>
      <c r="G130" s="178" t="s">
        <v>714</v>
      </c>
      <c r="H130" s="157"/>
    </row>
    <row r="131" spans="1:8" s="108" customFormat="1" ht="23.1" customHeight="1">
      <c r="A131" s="157" t="s">
        <v>642</v>
      </c>
      <c r="B131" s="1264" t="s">
        <v>747</v>
      </c>
      <c r="C131" s="1264" t="s">
        <v>748</v>
      </c>
      <c r="D131" s="158" t="s">
        <v>697</v>
      </c>
      <c r="E131" s="157"/>
      <c r="F131" s="169">
        <v>1</v>
      </c>
      <c r="G131" s="178" t="s">
        <v>698</v>
      </c>
      <c r="H131" s="157"/>
    </row>
    <row r="132" spans="1:8" s="108" customFormat="1" ht="23.1" customHeight="1">
      <c r="A132" s="157" t="s">
        <v>642</v>
      </c>
      <c r="B132" s="1265"/>
      <c r="C132" s="1265"/>
      <c r="D132" s="158" t="s">
        <v>717</v>
      </c>
      <c r="E132" s="157"/>
      <c r="F132" s="169">
        <v>2</v>
      </c>
      <c r="G132" s="178" t="s">
        <v>718</v>
      </c>
      <c r="H132" s="157"/>
    </row>
    <row r="133" spans="1:8" s="108" customFormat="1" ht="23.1" customHeight="1">
      <c r="A133" s="157" t="s">
        <v>642</v>
      </c>
      <c r="B133" s="1265"/>
      <c r="C133" s="1265"/>
      <c r="D133" s="158" t="s">
        <v>701</v>
      </c>
      <c r="E133" s="157"/>
      <c r="F133" s="169">
        <v>3</v>
      </c>
      <c r="G133" s="178" t="s">
        <v>702</v>
      </c>
      <c r="H133" s="157"/>
    </row>
    <row r="134" spans="1:8" s="108" customFormat="1" ht="23.1" customHeight="1">
      <c r="A134" s="157" t="s">
        <v>642</v>
      </c>
      <c r="B134" s="1265"/>
      <c r="C134" s="1265"/>
      <c r="D134" s="158" t="s">
        <v>703</v>
      </c>
      <c r="E134" s="157"/>
      <c r="F134" s="169">
        <v>4</v>
      </c>
      <c r="G134" s="178" t="s">
        <v>704</v>
      </c>
      <c r="H134" s="157"/>
    </row>
    <row r="135" spans="1:8" s="108" customFormat="1" ht="23.1" customHeight="1">
      <c r="A135" s="157" t="s">
        <v>642</v>
      </c>
      <c r="B135" s="1265"/>
      <c r="C135" s="1265"/>
      <c r="D135" s="158" t="s">
        <v>705</v>
      </c>
      <c r="E135" s="157"/>
      <c r="F135" s="169">
        <v>5</v>
      </c>
      <c r="G135" s="178" t="s">
        <v>706</v>
      </c>
      <c r="H135" s="157"/>
    </row>
    <row r="136" spans="1:8" s="108" customFormat="1" ht="23.1" customHeight="1">
      <c r="A136" s="157" t="s">
        <v>642</v>
      </c>
      <c r="B136" s="1265"/>
      <c r="C136" s="1265"/>
      <c r="D136" s="158" t="s">
        <v>707</v>
      </c>
      <c r="E136" s="157"/>
      <c r="F136" s="169">
        <v>6</v>
      </c>
      <c r="G136" s="178" t="s">
        <v>708</v>
      </c>
      <c r="H136" s="157"/>
    </row>
    <row r="137" spans="1:8" s="108" customFormat="1" ht="23.1" customHeight="1">
      <c r="A137" s="157" t="s">
        <v>642</v>
      </c>
      <c r="B137" s="1265"/>
      <c r="C137" s="1265"/>
      <c r="D137" s="158" t="s">
        <v>743</v>
      </c>
      <c r="E137" s="157"/>
      <c r="F137" s="169">
        <v>7</v>
      </c>
      <c r="G137" s="178" t="s">
        <v>744</v>
      </c>
      <c r="H137" s="157"/>
    </row>
    <row r="138" spans="1:8" s="108" customFormat="1" ht="23.1" customHeight="1">
      <c r="A138" s="157" t="s">
        <v>642</v>
      </c>
      <c r="B138" s="1265"/>
      <c r="C138" s="1265"/>
      <c r="D138" s="158" t="s">
        <v>745</v>
      </c>
      <c r="E138" s="157"/>
      <c r="F138" s="169">
        <v>8</v>
      </c>
      <c r="G138" s="178" t="s">
        <v>746</v>
      </c>
      <c r="H138" s="157"/>
    </row>
    <row r="139" spans="1:8" s="108" customFormat="1" ht="23.1" customHeight="1">
      <c r="A139" s="157" t="s">
        <v>642</v>
      </c>
      <c r="B139" s="1265"/>
      <c r="C139" s="1265"/>
      <c r="D139" s="158" t="s">
        <v>709</v>
      </c>
      <c r="E139" s="157"/>
      <c r="F139" s="169">
        <v>9</v>
      </c>
      <c r="G139" s="178" t="s">
        <v>710</v>
      </c>
      <c r="H139" s="157"/>
    </row>
    <row r="140" spans="1:8" s="108" customFormat="1" ht="23.1" customHeight="1">
      <c r="A140" s="157" t="s">
        <v>642</v>
      </c>
      <c r="B140" s="1265"/>
      <c r="C140" s="1265"/>
      <c r="D140" s="158" t="s">
        <v>711</v>
      </c>
      <c r="E140" s="157"/>
      <c r="F140" s="169">
        <v>10</v>
      </c>
      <c r="G140" s="178" t="s">
        <v>712</v>
      </c>
      <c r="H140" s="157"/>
    </row>
    <row r="141" spans="1:8" s="108" customFormat="1" ht="23.1" customHeight="1">
      <c r="A141" s="157" t="s">
        <v>642</v>
      </c>
      <c r="B141" s="1267"/>
      <c r="C141" s="1267"/>
      <c r="D141" s="156" t="s">
        <v>713</v>
      </c>
      <c r="E141" s="157"/>
      <c r="F141" s="169">
        <v>11</v>
      </c>
      <c r="G141" s="178" t="s">
        <v>714</v>
      </c>
      <c r="H141" s="157"/>
    </row>
    <row r="142" spans="1:8" s="108" customFormat="1" ht="23.1" customHeight="1">
      <c r="A142" s="157" t="s">
        <v>642</v>
      </c>
      <c r="B142" s="1264" t="s">
        <v>749</v>
      </c>
      <c r="C142" s="1264" t="s">
        <v>750</v>
      </c>
      <c r="D142" s="158" t="s">
        <v>697</v>
      </c>
      <c r="E142" s="157"/>
      <c r="F142" s="169">
        <v>1</v>
      </c>
      <c r="G142" s="178" t="s">
        <v>751</v>
      </c>
      <c r="H142" s="157"/>
    </row>
    <row r="143" spans="1:8" s="108" customFormat="1" ht="23.1" customHeight="1">
      <c r="A143" s="157" t="s">
        <v>642</v>
      </c>
      <c r="B143" s="1265"/>
      <c r="C143" s="1265"/>
      <c r="D143" s="158" t="s">
        <v>752</v>
      </c>
      <c r="E143" s="157"/>
      <c r="F143" s="169">
        <v>2</v>
      </c>
      <c r="G143" s="178" t="s">
        <v>753</v>
      </c>
      <c r="H143" s="157"/>
    </row>
    <row r="144" spans="1:8" s="108" customFormat="1" ht="23.1" customHeight="1">
      <c r="A144" s="157" t="s">
        <v>642</v>
      </c>
      <c r="B144" s="1264" t="s">
        <v>754</v>
      </c>
      <c r="C144" s="1264" t="s">
        <v>755</v>
      </c>
      <c r="D144" s="158" t="s">
        <v>697</v>
      </c>
      <c r="E144" s="157"/>
      <c r="F144" s="169">
        <v>1</v>
      </c>
      <c r="G144" s="178" t="s">
        <v>698</v>
      </c>
      <c r="H144" s="157"/>
    </row>
    <row r="145" spans="1:8" s="108" customFormat="1" ht="23.1" customHeight="1">
      <c r="A145" s="157" t="s">
        <v>642</v>
      </c>
      <c r="B145" s="1265"/>
      <c r="C145" s="1265"/>
      <c r="D145" s="158" t="s">
        <v>717</v>
      </c>
      <c r="E145" s="157"/>
      <c r="F145" s="169">
        <v>2</v>
      </c>
      <c r="G145" s="178" t="s">
        <v>718</v>
      </c>
      <c r="H145" s="157"/>
    </row>
    <row r="146" spans="1:8" s="108" customFormat="1" ht="23.1" customHeight="1">
      <c r="A146" s="157" t="s">
        <v>642</v>
      </c>
      <c r="B146" s="1265"/>
      <c r="C146" s="1265"/>
      <c r="D146" s="158" t="s">
        <v>703</v>
      </c>
      <c r="E146" s="157"/>
      <c r="F146" s="169">
        <v>3</v>
      </c>
      <c r="G146" s="178" t="s">
        <v>704</v>
      </c>
      <c r="H146" s="157"/>
    </row>
    <row r="147" spans="1:8" s="108" customFormat="1" ht="23.1" customHeight="1">
      <c r="A147" s="157" t="s">
        <v>642</v>
      </c>
      <c r="B147" s="1265"/>
      <c r="C147" s="1265"/>
      <c r="D147" s="158" t="s">
        <v>705</v>
      </c>
      <c r="E147" s="157"/>
      <c r="F147" s="169">
        <v>4</v>
      </c>
      <c r="G147" s="178" t="s">
        <v>706</v>
      </c>
      <c r="H147" s="157"/>
    </row>
    <row r="148" spans="1:8" s="108" customFormat="1" ht="23.1" customHeight="1">
      <c r="A148" s="157" t="s">
        <v>642</v>
      </c>
      <c r="B148" s="1265"/>
      <c r="C148" s="1265"/>
      <c r="D148" s="158" t="s">
        <v>707</v>
      </c>
      <c r="E148" s="157"/>
      <c r="F148" s="169">
        <v>5</v>
      </c>
      <c r="G148" s="178" t="s">
        <v>708</v>
      </c>
      <c r="H148" s="157"/>
    </row>
    <row r="149" spans="1:8" s="108" customFormat="1" ht="23.1" customHeight="1">
      <c r="A149" s="157" t="s">
        <v>642</v>
      </c>
      <c r="B149" s="1265"/>
      <c r="C149" s="1265"/>
      <c r="D149" s="158" t="s">
        <v>745</v>
      </c>
      <c r="E149" s="157"/>
      <c r="F149" s="169">
        <v>6</v>
      </c>
      <c r="G149" s="178" t="s">
        <v>746</v>
      </c>
      <c r="H149" s="157"/>
    </row>
    <row r="150" spans="1:8" s="108" customFormat="1" ht="23.1" customHeight="1">
      <c r="A150" s="157" t="s">
        <v>642</v>
      </c>
      <c r="B150" s="1265"/>
      <c r="C150" s="1265"/>
      <c r="D150" s="158" t="s">
        <v>709</v>
      </c>
      <c r="E150" s="157"/>
      <c r="F150" s="169">
        <v>7</v>
      </c>
      <c r="G150" s="178" t="s">
        <v>710</v>
      </c>
      <c r="H150" s="157"/>
    </row>
    <row r="151" spans="1:8" s="108" customFormat="1" ht="23.1" customHeight="1">
      <c r="A151" s="157" t="s">
        <v>642</v>
      </c>
      <c r="B151" s="1265"/>
      <c r="C151" s="1265"/>
      <c r="D151" s="158" t="s">
        <v>711</v>
      </c>
      <c r="E151" s="157"/>
      <c r="F151" s="169">
        <v>8</v>
      </c>
      <c r="G151" s="178" t="s">
        <v>712</v>
      </c>
      <c r="H151" s="157"/>
    </row>
    <row r="152" spans="1:8" s="108" customFormat="1" ht="23.1" customHeight="1">
      <c r="A152" s="157" t="s">
        <v>642</v>
      </c>
      <c r="B152" s="1265"/>
      <c r="C152" s="1265"/>
      <c r="D152" s="156" t="s">
        <v>713</v>
      </c>
      <c r="E152" s="157"/>
      <c r="F152" s="169">
        <v>9</v>
      </c>
      <c r="G152" s="178" t="s">
        <v>714</v>
      </c>
      <c r="H152" s="157"/>
    </row>
    <row r="153" spans="1:8" s="108" customFormat="1" ht="23.1" customHeight="1">
      <c r="A153" s="157" t="s">
        <v>642</v>
      </c>
      <c r="B153" s="1264" t="s">
        <v>754</v>
      </c>
      <c r="C153" s="1264" t="s">
        <v>756</v>
      </c>
      <c r="D153" s="158" t="s">
        <v>697</v>
      </c>
      <c r="E153" s="157"/>
      <c r="F153" s="169">
        <v>1</v>
      </c>
      <c r="G153" s="178" t="s">
        <v>698</v>
      </c>
      <c r="H153" s="157"/>
    </row>
    <row r="154" spans="1:8" s="108" customFormat="1" ht="23.1" customHeight="1">
      <c r="A154" s="157" t="s">
        <v>642</v>
      </c>
      <c r="B154" s="1265"/>
      <c r="C154" s="1265"/>
      <c r="D154" s="158" t="s">
        <v>717</v>
      </c>
      <c r="E154" s="157"/>
      <c r="F154" s="169">
        <v>2</v>
      </c>
      <c r="G154" s="178" t="s">
        <v>718</v>
      </c>
      <c r="H154" s="157"/>
    </row>
    <row r="155" spans="1:8" s="108" customFormat="1" ht="23.1" customHeight="1">
      <c r="A155" s="157" t="s">
        <v>642</v>
      </c>
      <c r="B155" s="1265"/>
      <c r="C155" s="1265"/>
      <c r="D155" s="158" t="s">
        <v>703</v>
      </c>
      <c r="E155" s="157"/>
      <c r="F155" s="169">
        <v>3</v>
      </c>
      <c r="G155" s="178" t="s">
        <v>704</v>
      </c>
      <c r="H155" s="157"/>
    </row>
    <row r="156" spans="1:8" s="108" customFormat="1" ht="23.1" customHeight="1">
      <c r="A156" s="157" t="s">
        <v>642</v>
      </c>
      <c r="B156" s="1265"/>
      <c r="C156" s="1265"/>
      <c r="D156" s="158" t="s">
        <v>705</v>
      </c>
      <c r="E156" s="157"/>
      <c r="F156" s="169">
        <v>4</v>
      </c>
      <c r="G156" s="178" t="s">
        <v>706</v>
      </c>
      <c r="H156" s="157"/>
    </row>
    <row r="157" spans="1:8" s="108" customFormat="1" ht="23.1" customHeight="1">
      <c r="A157" s="157" t="s">
        <v>642</v>
      </c>
      <c r="B157" s="1265"/>
      <c r="C157" s="1265"/>
      <c r="D157" s="158" t="s">
        <v>707</v>
      </c>
      <c r="E157" s="157"/>
      <c r="F157" s="169">
        <v>5</v>
      </c>
      <c r="G157" s="178" t="s">
        <v>708</v>
      </c>
      <c r="H157" s="157"/>
    </row>
    <row r="158" spans="1:8" s="108" customFormat="1" ht="23.1" customHeight="1">
      <c r="A158" s="157" t="s">
        <v>642</v>
      </c>
      <c r="B158" s="1265"/>
      <c r="C158" s="1265"/>
      <c r="D158" s="158" t="s">
        <v>743</v>
      </c>
      <c r="E158" s="157"/>
      <c r="F158" s="169">
        <v>6</v>
      </c>
      <c r="G158" s="178" t="s">
        <v>757</v>
      </c>
      <c r="H158" s="157"/>
    </row>
    <row r="159" spans="1:8" s="108" customFormat="1" ht="23.1" customHeight="1">
      <c r="A159" s="157" t="s">
        <v>642</v>
      </c>
      <c r="B159" s="1265"/>
      <c r="C159" s="1265"/>
      <c r="D159" s="158" t="s">
        <v>745</v>
      </c>
      <c r="E159" s="157"/>
      <c r="F159" s="169">
        <v>7</v>
      </c>
      <c r="G159" s="178" t="s">
        <v>746</v>
      </c>
      <c r="H159" s="157"/>
    </row>
    <row r="160" spans="1:8" s="108" customFormat="1" ht="23.1" customHeight="1">
      <c r="A160" s="157" t="s">
        <v>642</v>
      </c>
      <c r="B160" s="1265"/>
      <c r="C160" s="1265"/>
      <c r="D160" s="158" t="s">
        <v>709</v>
      </c>
      <c r="E160" s="157"/>
      <c r="F160" s="169">
        <v>8</v>
      </c>
      <c r="G160" s="178" t="s">
        <v>710</v>
      </c>
      <c r="H160" s="157"/>
    </row>
    <row r="161" spans="1:8" s="108" customFormat="1" ht="23.1" customHeight="1">
      <c r="A161" s="157" t="s">
        <v>642</v>
      </c>
      <c r="B161" s="1265"/>
      <c r="C161" s="1265"/>
      <c r="D161" s="158" t="s">
        <v>711</v>
      </c>
      <c r="E161" s="157"/>
      <c r="F161" s="169">
        <v>9</v>
      </c>
      <c r="G161" s="178" t="s">
        <v>712</v>
      </c>
      <c r="H161" s="157"/>
    </row>
    <row r="162" spans="1:8" s="108" customFormat="1" ht="23.1" customHeight="1">
      <c r="A162" s="157" t="s">
        <v>642</v>
      </c>
      <c r="B162" s="1265"/>
      <c r="C162" s="1265"/>
      <c r="D162" s="156" t="s">
        <v>713</v>
      </c>
      <c r="E162" s="157"/>
      <c r="F162" s="169">
        <v>10</v>
      </c>
      <c r="G162" s="178" t="s">
        <v>714</v>
      </c>
      <c r="H162" s="157"/>
    </row>
    <row r="163" spans="1:8" s="108" customFormat="1" ht="23.1" customHeight="1">
      <c r="A163" s="182" t="s">
        <v>642</v>
      </c>
      <c r="B163" s="1266" t="s">
        <v>758</v>
      </c>
      <c r="C163" s="1266" t="s">
        <v>696</v>
      </c>
      <c r="D163" s="158" t="s">
        <v>759</v>
      </c>
      <c r="E163" s="157"/>
      <c r="F163" s="169">
        <v>1</v>
      </c>
      <c r="G163" s="178" t="s">
        <v>698</v>
      </c>
      <c r="H163" s="157"/>
    </row>
    <row r="164" spans="1:8" s="108" customFormat="1" ht="23.1" customHeight="1">
      <c r="A164" s="182" t="s">
        <v>642</v>
      </c>
      <c r="B164" s="1266"/>
      <c r="C164" s="1266"/>
      <c r="D164" s="158" t="s">
        <v>760</v>
      </c>
      <c r="E164" s="157"/>
      <c r="F164" s="169">
        <v>2</v>
      </c>
      <c r="G164" s="178" t="s">
        <v>761</v>
      </c>
      <c r="H164" s="157"/>
    </row>
    <row r="165" spans="1:8" s="108" customFormat="1" ht="23.1" customHeight="1">
      <c r="A165" s="182" t="s">
        <v>642</v>
      </c>
      <c r="B165" s="1266"/>
      <c r="C165" s="1266"/>
      <c r="D165" s="158" t="s">
        <v>699</v>
      </c>
      <c r="E165" s="157"/>
      <c r="F165" s="169">
        <v>2</v>
      </c>
      <c r="G165" s="178" t="s">
        <v>700</v>
      </c>
      <c r="H165" s="157"/>
    </row>
    <row r="166" spans="1:8" s="108" customFormat="1" ht="23.1" customHeight="1">
      <c r="A166" s="182" t="s">
        <v>642</v>
      </c>
      <c r="B166" s="1266"/>
      <c r="C166" s="1266"/>
      <c r="D166" s="158" t="s">
        <v>762</v>
      </c>
      <c r="E166" s="157"/>
      <c r="F166" s="169">
        <v>3</v>
      </c>
      <c r="G166" s="178" t="s">
        <v>763</v>
      </c>
      <c r="H166" s="157"/>
    </row>
    <row r="167" spans="1:8" s="108" customFormat="1" ht="23.1" customHeight="1">
      <c r="A167" s="182" t="s">
        <v>642</v>
      </c>
      <c r="B167" s="1266"/>
      <c r="C167" s="1266"/>
      <c r="D167" s="158" t="s">
        <v>694</v>
      </c>
      <c r="E167" s="157"/>
      <c r="F167" s="169">
        <v>4</v>
      </c>
      <c r="G167" s="178" t="s">
        <v>764</v>
      </c>
      <c r="H167" s="157"/>
    </row>
    <row r="168" spans="1:8" s="108" customFormat="1" ht="23.1" customHeight="1">
      <c r="A168" s="182" t="s">
        <v>642</v>
      </c>
      <c r="B168" s="1266"/>
      <c r="C168" s="1266"/>
      <c r="D168" s="158" t="s">
        <v>765</v>
      </c>
      <c r="E168" s="157"/>
      <c r="F168" s="169">
        <v>5</v>
      </c>
      <c r="G168" s="178" t="s">
        <v>766</v>
      </c>
      <c r="H168" s="157"/>
    </row>
    <row r="169" spans="1:8" s="108" customFormat="1" ht="23.1" customHeight="1">
      <c r="A169" s="182" t="s">
        <v>642</v>
      </c>
      <c r="B169" s="1266"/>
      <c r="C169" s="1266"/>
      <c r="D169" s="158" t="s">
        <v>743</v>
      </c>
      <c r="E169" s="157"/>
      <c r="F169" s="169">
        <v>6</v>
      </c>
      <c r="G169" s="178" t="s">
        <v>757</v>
      </c>
      <c r="H169" s="157"/>
    </row>
    <row r="170" spans="1:8" s="108" customFormat="1" ht="23.1" customHeight="1">
      <c r="A170" s="182" t="s">
        <v>642</v>
      </c>
      <c r="B170" s="1266"/>
      <c r="C170" s="1266"/>
      <c r="D170" s="158" t="s">
        <v>709</v>
      </c>
      <c r="E170" s="157"/>
      <c r="F170" s="169">
        <v>7</v>
      </c>
      <c r="G170" s="178" t="s">
        <v>710</v>
      </c>
      <c r="H170" s="157"/>
    </row>
    <row r="171" spans="1:8" s="108" customFormat="1" ht="23.1" customHeight="1">
      <c r="A171" s="182" t="s">
        <v>642</v>
      </c>
      <c r="B171" s="1266"/>
      <c r="C171" s="1266"/>
      <c r="D171" s="158" t="s">
        <v>711</v>
      </c>
      <c r="E171" s="157"/>
      <c r="F171" s="169">
        <v>8</v>
      </c>
      <c r="G171" s="178" t="s">
        <v>712</v>
      </c>
      <c r="H171" s="157"/>
    </row>
    <row r="172" spans="1:8" s="108" customFormat="1" ht="23.1" customHeight="1">
      <c r="A172" s="182" t="s">
        <v>642</v>
      </c>
      <c r="B172" s="1264"/>
      <c r="C172" s="1264"/>
      <c r="D172" s="156" t="s">
        <v>713</v>
      </c>
      <c r="E172" s="157"/>
      <c r="F172" s="169">
        <v>9</v>
      </c>
      <c r="G172" s="178" t="s">
        <v>714</v>
      </c>
      <c r="H172" s="157"/>
    </row>
    <row r="173" spans="1:8" s="108" customFormat="1" ht="23.1" customHeight="1">
      <c r="A173" s="182" t="s">
        <v>642</v>
      </c>
      <c r="B173" s="1268" t="s">
        <v>767</v>
      </c>
      <c r="C173" s="1260" t="s">
        <v>768</v>
      </c>
      <c r="D173" s="183" t="s">
        <v>697</v>
      </c>
      <c r="E173" s="159"/>
      <c r="F173" s="169">
        <v>1</v>
      </c>
      <c r="G173" s="178" t="s">
        <v>698</v>
      </c>
      <c r="H173" s="159"/>
    </row>
    <row r="174" spans="1:8" s="108" customFormat="1" ht="23.1" customHeight="1">
      <c r="A174" s="182" t="s">
        <v>642</v>
      </c>
      <c r="B174" s="1268"/>
      <c r="C174" s="1261"/>
      <c r="D174" s="183" t="s">
        <v>769</v>
      </c>
      <c r="E174" s="159"/>
      <c r="F174" s="169">
        <v>2</v>
      </c>
      <c r="G174" s="178" t="s">
        <v>718</v>
      </c>
      <c r="H174" s="159"/>
    </row>
    <row r="175" spans="1:8" s="108" customFormat="1" ht="23.1" customHeight="1">
      <c r="A175" s="182" t="s">
        <v>642</v>
      </c>
      <c r="B175" s="1268"/>
      <c r="C175" s="1261"/>
      <c r="D175" s="183" t="s">
        <v>701</v>
      </c>
      <c r="E175" s="159"/>
      <c r="F175" s="169">
        <v>2</v>
      </c>
      <c r="G175" s="178" t="s">
        <v>770</v>
      </c>
      <c r="H175" s="159"/>
    </row>
    <row r="176" spans="1:8" s="108" customFormat="1" ht="23.1" customHeight="1">
      <c r="A176" s="182" t="s">
        <v>642</v>
      </c>
      <c r="B176" s="1268"/>
      <c r="C176" s="1261"/>
      <c r="D176" s="183" t="s">
        <v>771</v>
      </c>
      <c r="E176" s="159"/>
      <c r="F176" s="169">
        <v>3</v>
      </c>
      <c r="G176" s="178" t="s">
        <v>704</v>
      </c>
      <c r="H176" s="159"/>
    </row>
    <row r="177" spans="1:8" s="108" customFormat="1" ht="23.1" customHeight="1">
      <c r="A177" s="182" t="s">
        <v>642</v>
      </c>
      <c r="B177" s="1268"/>
      <c r="C177" s="1261"/>
      <c r="D177" s="183" t="s">
        <v>705</v>
      </c>
      <c r="E177" s="159"/>
      <c r="F177" s="169">
        <v>4</v>
      </c>
      <c r="G177" s="178" t="s">
        <v>706</v>
      </c>
      <c r="H177" s="159"/>
    </row>
    <row r="178" spans="1:8" s="108" customFormat="1" ht="23.1" customHeight="1">
      <c r="A178" s="182" t="s">
        <v>642</v>
      </c>
      <c r="B178" s="1268"/>
      <c r="C178" s="1261"/>
      <c r="D178" s="183" t="s">
        <v>707</v>
      </c>
      <c r="E178" s="159"/>
      <c r="F178" s="169">
        <v>5</v>
      </c>
      <c r="G178" s="178" t="s">
        <v>708</v>
      </c>
      <c r="H178" s="159"/>
    </row>
    <row r="179" spans="1:8" s="108" customFormat="1" ht="23.1" customHeight="1">
      <c r="A179" s="182" t="s">
        <v>642</v>
      </c>
      <c r="B179" s="1268"/>
      <c r="C179" s="1261"/>
      <c r="D179" s="183" t="s">
        <v>743</v>
      </c>
      <c r="E179" s="159"/>
      <c r="F179" s="169">
        <v>6</v>
      </c>
      <c r="G179" s="178" t="s">
        <v>757</v>
      </c>
      <c r="H179" s="159"/>
    </row>
    <row r="180" spans="1:8" s="108" customFormat="1" ht="23.1" customHeight="1">
      <c r="A180" s="182" t="s">
        <v>642</v>
      </c>
      <c r="B180" s="1268"/>
      <c r="C180" s="1261"/>
      <c r="D180" s="183" t="s">
        <v>709</v>
      </c>
      <c r="E180" s="159"/>
      <c r="F180" s="169">
        <v>7</v>
      </c>
      <c r="G180" s="178" t="s">
        <v>710</v>
      </c>
      <c r="H180" s="159"/>
    </row>
    <row r="181" spans="1:8" s="108" customFormat="1" ht="23.1" customHeight="1">
      <c r="A181" s="182" t="s">
        <v>642</v>
      </c>
      <c r="B181" s="1268"/>
      <c r="C181" s="1261"/>
      <c r="D181" s="183" t="s">
        <v>772</v>
      </c>
      <c r="E181" s="159"/>
      <c r="F181" s="169">
        <v>8</v>
      </c>
      <c r="G181" s="179" t="s">
        <v>773</v>
      </c>
      <c r="H181" s="159"/>
    </row>
    <row r="182" spans="1:8" s="108" customFormat="1" ht="23.1" customHeight="1">
      <c r="A182" s="182" t="s">
        <v>642</v>
      </c>
      <c r="B182" s="1268"/>
      <c r="C182" s="1261"/>
      <c r="D182" s="183" t="s">
        <v>774</v>
      </c>
      <c r="E182" s="159"/>
      <c r="F182" s="169">
        <v>9</v>
      </c>
      <c r="G182" s="179" t="s">
        <v>773</v>
      </c>
      <c r="H182" s="159"/>
    </row>
    <row r="183" spans="1:8" s="108" customFormat="1" ht="23.1" customHeight="1">
      <c r="A183" s="182" t="s">
        <v>642</v>
      </c>
      <c r="B183" s="1268"/>
      <c r="C183" s="1261"/>
      <c r="D183" s="183" t="s">
        <v>775</v>
      </c>
      <c r="E183" s="159"/>
      <c r="F183" s="169">
        <v>10</v>
      </c>
      <c r="G183" s="179" t="s">
        <v>773</v>
      </c>
      <c r="H183" s="159"/>
    </row>
    <row r="184" spans="1:8" s="108" customFormat="1" ht="23.1" customHeight="1">
      <c r="A184" s="182" t="s">
        <v>642</v>
      </c>
      <c r="B184" s="1268"/>
      <c r="C184" s="1261"/>
      <c r="D184" s="183" t="s">
        <v>776</v>
      </c>
      <c r="E184" s="159"/>
      <c r="F184" s="169">
        <v>11</v>
      </c>
      <c r="G184" s="179" t="s">
        <v>773</v>
      </c>
      <c r="H184" s="159"/>
    </row>
    <row r="185" spans="1:8" s="108" customFormat="1" ht="23.1" customHeight="1">
      <c r="A185" s="182" t="s">
        <v>642</v>
      </c>
      <c r="B185" s="1268"/>
      <c r="C185" s="1261"/>
      <c r="D185" s="183" t="s">
        <v>777</v>
      </c>
      <c r="E185" s="159"/>
      <c r="F185" s="169">
        <v>12</v>
      </c>
      <c r="G185" s="179" t="s">
        <v>773</v>
      </c>
      <c r="H185" s="159"/>
    </row>
    <row r="186" spans="1:8" s="108" customFormat="1" ht="23.1" customHeight="1">
      <c r="A186" s="182" t="s">
        <v>642</v>
      </c>
      <c r="B186" s="1268"/>
      <c r="C186" s="1261"/>
      <c r="D186" s="183" t="s">
        <v>778</v>
      </c>
      <c r="E186" s="159"/>
      <c r="F186" s="169">
        <v>13</v>
      </c>
      <c r="G186" s="179" t="s">
        <v>773</v>
      </c>
      <c r="H186" s="159"/>
    </row>
    <row r="187" spans="1:8" s="108" customFormat="1" ht="23.1" customHeight="1">
      <c r="A187" s="182" t="s">
        <v>642</v>
      </c>
      <c r="B187" s="1268"/>
      <c r="C187" s="1261"/>
      <c r="D187" s="183" t="s">
        <v>711</v>
      </c>
      <c r="E187" s="159"/>
      <c r="F187" s="169">
        <v>14</v>
      </c>
      <c r="G187" s="178" t="s">
        <v>712</v>
      </c>
      <c r="H187" s="159"/>
    </row>
    <row r="188" spans="1:8" s="108" customFormat="1" ht="23.1" customHeight="1">
      <c r="A188" s="182" t="s">
        <v>642</v>
      </c>
      <c r="B188" s="1268"/>
      <c r="C188" s="1261"/>
      <c r="D188" s="183" t="s">
        <v>779</v>
      </c>
      <c r="E188" s="159"/>
      <c r="F188" s="170">
        <v>15</v>
      </c>
      <c r="G188" s="178" t="s">
        <v>780</v>
      </c>
      <c r="H188" s="159"/>
    </row>
    <row r="189" spans="1:8" s="108" customFormat="1" ht="23.1" customHeight="1">
      <c r="A189" s="182" t="s">
        <v>642</v>
      </c>
      <c r="B189" s="1268"/>
      <c r="C189" s="1261"/>
      <c r="D189" s="183" t="s">
        <v>781</v>
      </c>
      <c r="E189" s="159"/>
      <c r="F189" s="170">
        <v>16</v>
      </c>
      <c r="G189" s="179" t="s">
        <v>782</v>
      </c>
      <c r="H189" s="159"/>
    </row>
    <row r="190" spans="1:8" s="108" customFormat="1" ht="23.1" customHeight="1">
      <c r="A190" s="182" t="s">
        <v>642</v>
      </c>
      <c r="B190" s="1268"/>
      <c r="C190" s="1261"/>
      <c r="D190" s="183" t="s">
        <v>783</v>
      </c>
      <c r="E190" s="159"/>
      <c r="F190" s="170">
        <v>17</v>
      </c>
      <c r="G190" s="178" t="s">
        <v>714</v>
      </c>
      <c r="H190" s="159"/>
    </row>
    <row r="191" spans="1:8" s="108" customFormat="1" ht="23.1" customHeight="1">
      <c r="A191" s="182" t="s">
        <v>642</v>
      </c>
      <c r="B191" s="1268"/>
      <c r="C191" s="1261"/>
      <c r="D191" s="183" t="s">
        <v>784</v>
      </c>
      <c r="E191" s="159"/>
      <c r="F191" s="170">
        <v>18</v>
      </c>
      <c r="G191" s="178" t="s">
        <v>785</v>
      </c>
      <c r="H191" s="159"/>
    </row>
    <row r="192" spans="1:8" s="108" customFormat="1" ht="23.1" customHeight="1">
      <c r="A192" s="182" t="s">
        <v>642</v>
      </c>
      <c r="B192" s="1268"/>
      <c r="C192" s="1261"/>
      <c r="D192" s="183" t="s">
        <v>784</v>
      </c>
      <c r="E192" s="159"/>
      <c r="F192" s="170">
        <v>19</v>
      </c>
      <c r="G192" s="178" t="s">
        <v>786</v>
      </c>
      <c r="H192" s="159"/>
    </row>
    <row r="193" spans="1:8" s="108" customFormat="1" ht="23.1" customHeight="1">
      <c r="A193" s="182" t="s">
        <v>642</v>
      </c>
      <c r="B193" s="1268"/>
      <c r="C193" s="1261"/>
      <c r="D193" s="183" t="s">
        <v>787</v>
      </c>
      <c r="E193" s="159"/>
      <c r="F193" s="170">
        <v>20</v>
      </c>
      <c r="G193" s="179" t="s">
        <v>788</v>
      </c>
      <c r="H193" s="159"/>
    </row>
    <row r="194" spans="1:8" s="108" customFormat="1" ht="23.1" customHeight="1">
      <c r="A194" s="182" t="s">
        <v>642</v>
      </c>
      <c r="B194" s="1268"/>
      <c r="C194" s="1261"/>
      <c r="D194" s="183" t="s">
        <v>789</v>
      </c>
      <c r="E194" s="159"/>
      <c r="F194" s="170">
        <v>21</v>
      </c>
      <c r="G194" s="179" t="s">
        <v>790</v>
      </c>
      <c r="H194" s="159"/>
    </row>
    <row r="195" spans="1:8" s="108" customFormat="1" ht="23.1" customHeight="1">
      <c r="A195" s="182" t="s">
        <v>642</v>
      </c>
      <c r="B195" s="1268"/>
      <c r="C195" s="1261"/>
      <c r="D195" s="183" t="s">
        <v>791</v>
      </c>
      <c r="E195" s="159"/>
      <c r="F195" s="170">
        <v>22</v>
      </c>
      <c r="G195" s="179" t="s">
        <v>792</v>
      </c>
      <c r="H195" s="159"/>
    </row>
    <row r="196" spans="1:8" s="108" customFormat="1" ht="23.1" customHeight="1">
      <c r="A196" s="182" t="s">
        <v>642</v>
      </c>
      <c r="B196" s="1268"/>
      <c r="C196" s="1261"/>
      <c r="D196" s="183" t="s">
        <v>793</v>
      </c>
      <c r="E196" s="159"/>
      <c r="F196" s="170">
        <v>23</v>
      </c>
      <c r="G196" s="179" t="s">
        <v>794</v>
      </c>
      <c r="H196" s="159"/>
    </row>
    <row r="197" spans="1:8" s="108" customFormat="1" ht="23.1" customHeight="1">
      <c r="A197" s="182" t="s">
        <v>642</v>
      </c>
      <c r="B197" s="1268"/>
      <c r="C197" s="1261"/>
      <c r="D197" s="183" t="s">
        <v>795</v>
      </c>
      <c r="E197" s="159"/>
      <c r="F197" s="170">
        <v>24</v>
      </c>
      <c r="G197" s="179" t="s">
        <v>796</v>
      </c>
      <c r="H197" s="159"/>
    </row>
    <row r="198" spans="1:8" s="108" customFormat="1" ht="23.1" customHeight="1">
      <c r="A198" s="182" t="s">
        <v>642</v>
      </c>
      <c r="B198" s="1268"/>
      <c r="C198" s="1261"/>
      <c r="D198" s="183" t="s">
        <v>797</v>
      </c>
      <c r="E198" s="159"/>
      <c r="F198" s="170">
        <v>25</v>
      </c>
      <c r="G198" s="179" t="s">
        <v>798</v>
      </c>
      <c r="H198" s="159"/>
    </row>
    <row r="199" spans="1:8" s="108" customFormat="1" ht="23.1" customHeight="1">
      <c r="A199" s="182" t="s">
        <v>642</v>
      </c>
      <c r="B199" s="1268"/>
      <c r="C199" s="1261"/>
      <c r="D199" s="183" t="s">
        <v>799</v>
      </c>
      <c r="E199" s="159"/>
      <c r="F199" s="170">
        <v>26</v>
      </c>
      <c r="G199" s="179" t="s">
        <v>800</v>
      </c>
      <c r="H199" s="159"/>
    </row>
    <row r="200" spans="1:8" s="108" customFormat="1" ht="23.1" customHeight="1">
      <c r="A200" s="182" t="s">
        <v>642</v>
      </c>
      <c r="B200" s="1268"/>
      <c r="C200" s="1261"/>
      <c r="D200" s="183" t="s">
        <v>801</v>
      </c>
      <c r="E200" s="159"/>
      <c r="F200" s="170">
        <v>27</v>
      </c>
      <c r="G200" s="179" t="s">
        <v>802</v>
      </c>
      <c r="H200" s="159"/>
    </row>
    <row r="201" spans="1:8" s="108" customFormat="1" ht="23.1" customHeight="1">
      <c r="A201" s="182" t="s">
        <v>642</v>
      </c>
      <c r="B201" s="1268"/>
      <c r="C201" s="1262"/>
      <c r="D201" s="183" t="s">
        <v>803</v>
      </c>
      <c r="E201" s="159"/>
      <c r="F201" s="170">
        <v>28</v>
      </c>
      <c r="G201" s="179" t="s">
        <v>804</v>
      </c>
      <c r="H201" s="159"/>
    </row>
    <row r="202" spans="1:8" s="108" customFormat="1" ht="23.1" customHeight="1">
      <c r="A202" s="157" t="s">
        <v>642</v>
      </c>
      <c r="B202" s="1258" t="s">
        <v>805</v>
      </c>
      <c r="C202" s="1264" t="s">
        <v>806</v>
      </c>
      <c r="D202" s="158" t="s">
        <v>697</v>
      </c>
      <c r="E202" s="157"/>
      <c r="F202" s="169">
        <v>1</v>
      </c>
      <c r="G202" s="178" t="s">
        <v>698</v>
      </c>
      <c r="H202" s="157"/>
    </row>
    <row r="203" spans="1:8" s="108" customFormat="1" ht="23.1" customHeight="1">
      <c r="A203" s="157" t="s">
        <v>642</v>
      </c>
      <c r="B203" s="1258"/>
      <c r="C203" s="1265"/>
      <c r="D203" s="158" t="s">
        <v>769</v>
      </c>
      <c r="E203" s="157"/>
      <c r="F203" s="169">
        <v>2</v>
      </c>
      <c r="G203" s="178" t="s">
        <v>807</v>
      </c>
      <c r="H203" s="157"/>
    </row>
    <row r="204" spans="1:8" s="108" customFormat="1" ht="23.1" customHeight="1">
      <c r="A204" s="157" t="s">
        <v>642</v>
      </c>
      <c r="B204" s="1258"/>
      <c r="C204" s="1265"/>
      <c r="D204" s="158" t="s">
        <v>808</v>
      </c>
      <c r="E204" s="157"/>
      <c r="F204" s="169">
        <v>3</v>
      </c>
      <c r="G204" s="178" t="s">
        <v>809</v>
      </c>
      <c r="H204" s="157"/>
    </row>
    <row r="205" spans="1:8" s="108" customFormat="1" ht="23.1" customHeight="1">
      <c r="A205" s="157" t="s">
        <v>642</v>
      </c>
      <c r="B205" s="1258"/>
      <c r="C205" s="1265"/>
      <c r="D205" s="158" t="s">
        <v>771</v>
      </c>
      <c r="E205" s="157"/>
      <c r="F205" s="169">
        <v>4</v>
      </c>
      <c r="G205" s="178" t="s">
        <v>704</v>
      </c>
      <c r="H205" s="157"/>
    </row>
    <row r="206" spans="1:8" s="108" customFormat="1" ht="23.1" customHeight="1">
      <c r="A206" s="157" t="s">
        <v>642</v>
      </c>
      <c r="B206" s="1258"/>
      <c r="C206" s="1265"/>
      <c r="D206" s="158" t="s">
        <v>705</v>
      </c>
      <c r="E206" s="157"/>
      <c r="F206" s="169">
        <v>5</v>
      </c>
      <c r="G206" s="178" t="s">
        <v>706</v>
      </c>
      <c r="H206" s="157"/>
    </row>
    <row r="207" spans="1:8" s="108" customFormat="1" ht="23.1" customHeight="1">
      <c r="A207" s="157" t="s">
        <v>642</v>
      </c>
      <c r="B207" s="1258"/>
      <c r="C207" s="1265"/>
      <c r="D207" s="158" t="s">
        <v>810</v>
      </c>
      <c r="E207" s="157"/>
      <c r="F207" s="169">
        <v>6</v>
      </c>
      <c r="G207" s="178" t="s">
        <v>811</v>
      </c>
      <c r="H207" s="157"/>
    </row>
    <row r="208" spans="1:8" s="108" customFormat="1" ht="23.1" customHeight="1">
      <c r="A208" s="157" t="s">
        <v>642</v>
      </c>
      <c r="B208" s="1258"/>
      <c r="C208" s="1265"/>
      <c r="D208" s="158" t="s">
        <v>812</v>
      </c>
      <c r="E208" s="157"/>
      <c r="F208" s="169">
        <v>7</v>
      </c>
      <c r="G208" s="178" t="s">
        <v>708</v>
      </c>
      <c r="H208" s="157"/>
    </row>
    <row r="209" spans="1:8" s="108" customFormat="1" ht="23.1" customHeight="1">
      <c r="A209" s="157" t="s">
        <v>642</v>
      </c>
      <c r="B209" s="1258"/>
      <c r="C209" s="1265"/>
      <c r="D209" s="158" t="s">
        <v>743</v>
      </c>
      <c r="E209" s="157"/>
      <c r="F209" s="169">
        <v>8</v>
      </c>
      <c r="G209" s="178" t="s">
        <v>757</v>
      </c>
      <c r="H209" s="157"/>
    </row>
    <row r="210" spans="1:8" s="108" customFormat="1" ht="23.1" customHeight="1">
      <c r="A210" s="157" t="s">
        <v>642</v>
      </c>
      <c r="B210" s="1258"/>
      <c r="C210" s="1265"/>
      <c r="D210" s="158" t="s">
        <v>813</v>
      </c>
      <c r="E210" s="157"/>
      <c r="F210" s="169">
        <v>9</v>
      </c>
      <c r="G210" s="178" t="s">
        <v>814</v>
      </c>
      <c r="H210" s="157"/>
    </row>
    <row r="211" spans="1:8" s="108" customFormat="1" ht="23.1" customHeight="1">
      <c r="A211" s="157" t="s">
        <v>642</v>
      </c>
      <c r="B211" s="1258"/>
      <c r="C211" s="1265"/>
      <c r="D211" s="158" t="s">
        <v>815</v>
      </c>
      <c r="E211" s="157"/>
      <c r="F211" s="169">
        <v>10</v>
      </c>
      <c r="G211" s="178" t="s">
        <v>710</v>
      </c>
      <c r="H211" s="157"/>
    </row>
    <row r="212" spans="1:8" s="108" customFormat="1" ht="23.1" customHeight="1">
      <c r="A212" s="157" t="s">
        <v>642</v>
      </c>
      <c r="B212" s="1258"/>
      <c r="C212" s="1265"/>
      <c r="D212" s="158" t="s">
        <v>816</v>
      </c>
      <c r="E212" s="157"/>
      <c r="F212" s="169">
        <v>11</v>
      </c>
      <c r="G212" s="178" t="s">
        <v>817</v>
      </c>
      <c r="H212" s="157"/>
    </row>
    <row r="213" spans="1:8" s="108" customFormat="1" ht="23.1" customHeight="1">
      <c r="A213" s="157" t="s">
        <v>642</v>
      </c>
      <c r="B213" s="1258"/>
      <c r="C213" s="1265"/>
      <c r="D213" s="158" t="s">
        <v>818</v>
      </c>
      <c r="E213" s="157"/>
      <c r="F213" s="169">
        <v>12</v>
      </c>
      <c r="G213" s="179" t="s">
        <v>819</v>
      </c>
      <c r="H213" s="157"/>
    </row>
    <row r="214" spans="1:8" s="108" customFormat="1" ht="23.1" customHeight="1">
      <c r="A214" s="157" t="s">
        <v>642</v>
      </c>
      <c r="B214" s="1258"/>
      <c r="C214" s="1265"/>
      <c r="D214" s="158" t="s">
        <v>820</v>
      </c>
      <c r="E214" s="157"/>
      <c r="F214" s="169">
        <v>13</v>
      </c>
      <c r="G214" s="179" t="s">
        <v>821</v>
      </c>
      <c r="H214" s="157"/>
    </row>
    <row r="215" spans="1:8" s="108" customFormat="1" ht="23.1" customHeight="1">
      <c r="A215" s="157" t="s">
        <v>642</v>
      </c>
      <c r="B215" s="1258"/>
      <c r="C215" s="1265"/>
      <c r="D215" s="158" t="s">
        <v>822</v>
      </c>
      <c r="E215" s="157"/>
      <c r="F215" s="169">
        <v>14</v>
      </c>
      <c r="G215" s="178" t="s">
        <v>823</v>
      </c>
      <c r="H215" s="157"/>
    </row>
    <row r="216" spans="1:8" s="108" customFormat="1" ht="23.1" customHeight="1">
      <c r="A216" s="157" t="s">
        <v>642</v>
      </c>
      <c r="B216" s="1258"/>
      <c r="C216" s="1265"/>
      <c r="D216" s="158" t="s">
        <v>824</v>
      </c>
      <c r="E216" s="157"/>
      <c r="F216" s="169">
        <v>15</v>
      </c>
      <c r="G216" s="179" t="s">
        <v>782</v>
      </c>
      <c r="H216" s="157"/>
    </row>
    <row r="217" spans="1:8" s="108" customFormat="1" ht="23.1" customHeight="1">
      <c r="A217" s="157" t="s">
        <v>642</v>
      </c>
      <c r="B217" s="1258"/>
      <c r="C217" s="1265"/>
      <c r="D217" s="158" t="s">
        <v>825</v>
      </c>
      <c r="E217" s="157"/>
      <c r="F217" s="169">
        <v>16</v>
      </c>
      <c r="G217" s="179" t="s">
        <v>826</v>
      </c>
      <c r="H217" s="157"/>
    </row>
    <row r="218" spans="1:8" s="108" customFormat="1" ht="23.1" customHeight="1">
      <c r="A218" s="157" t="s">
        <v>642</v>
      </c>
      <c r="B218" s="1259"/>
      <c r="C218" s="1267"/>
      <c r="D218" s="158" t="s">
        <v>827</v>
      </c>
      <c r="E218" s="157"/>
      <c r="F218" s="169">
        <v>17</v>
      </c>
      <c r="G218" s="178" t="s">
        <v>714</v>
      </c>
      <c r="H218" s="157"/>
    </row>
    <row r="219" spans="1:8" s="108" customFormat="1" ht="23.1" customHeight="1">
      <c r="A219" s="157" t="s">
        <v>642</v>
      </c>
      <c r="B219" s="1257" t="s">
        <v>828</v>
      </c>
      <c r="C219" s="1264" t="s">
        <v>829</v>
      </c>
      <c r="D219" s="158" t="s">
        <v>697</v>
      </c>
      <c r="E219" s="157"/>
      <c r="F219" s="169">
        <v>1</v>
      </c>
      <c r="G219" s="178" t="s">
        <v>698</v>
      </c>
      <c r="H219" s="157"/>
    </row>
    <row r="220" spans="1:8" s="108" customFormat="1" ht="23.1" customHeight="1">
      <c r="A220" s="157" t="s">
        <v>642</v>
      </c>
      <c r="B220" s="1258"/>
      <c r="C220" s="1265"/>
      <c r="D220" s="158" t="s">
        <v>769</v>
      </c>
      <c r="E220" s="157"/>
      <c r="F220" s="169">
        <v>2</v>
      </c>
      <c r="G220" s="178" t="s">
        <v>807</v>
      </c>
      <c r="H220" s="157"/>
    </row>
    <row r="221" spans="1:8" s="108" customFormat="1" ht="23.1" customHeight="1">
      <c r="A221" s="157" t="s">
        <v>642</v>
      </c>
      <c r="B221" s="1258"/>
      <c r="C221" s="1265"/>
      <c r="D221" s="158" t="s">
        <v>771</v>
      </c>
      <c r="E221" s="157"/>
      <c r="F221" s="169">
        <v>3</v>
      </c>
      <c r="G221" s="178" t="s">
        <v>704</v>
      </c>
      <c r="H221" s="157"/>
    </row>
    <row r="222" spans="1:8" s="108" customFormat="1" ht="23.1" customHeight="1">
      <c r="A222" s="157" t="s">
        <v>642</v>
      </c>
      <c r="B222" s="1258"/>
      <c r="C222" s="1265"/>
      <c r="D222" s="158" t="s">
        <v>830</v>
      </c>
      <c r="E222" s="157"/>
      <c r="F222" s="169">
        <v>4</v>
      </c>
      <c r="G222" s="178" t="s">
        <v>831</v>
      </c>
      <c r="H222" s="157"/>
    </row>
    <row r="223" spans="1:8" s="108" customFormat="1" ht="23.1" customHeight="1">
      <c r="A223" s="157" t="s">
        <v>642</v>
      </c>
      <c r="B223" s="1258"/>
      <c r="C223" s="1265"/>
      <c r="D223" s="158" t="s">
        <v>815</v>
      </c>
      <c r="E223" s="157"/>
      <c r="F223" s="169">
        <v>5</v>
      </c>
      <c r="G223" s="178" t="s">
        <v>710</v>
      </c>
      <c r="H223" s="157"/>
    </row>
    <row r="224" spans="1:8" s="108" customFormat="1" ht="23.1" customHeight="1">
      <c r="A224" s="157" t="s">
        <v>642</v>
      </c>
      <c r="B224" s="1258"/>
      <c r="C224" s="1265"/>
      <c r="D224" s="158" t="s">
        <v>832</v>
      </c>
      <c r="E224" s="157"/>
      <c r="F224" s="169">
        <v>6</v>
      </c>
      <c r="G224" s="178" t="s">
        <v>833</v>
      </c>
      <c r="H224" s="157"/>
    </row>
    <row r="225" spans="1:8" s="108" customFormat="1" ht="23.1" customHeight="1">
      <c r="A225" s="157" t="s">
        <v>642</v>
      </c>
      <c r="B225" s="1258"/>
      <c r="C225" s="1265"/>
      <c r="D225" s="158" t="s">
        <v>824</v>
      </c>
      <c r="E225" s="157"/>
      <c r="F225" s="169">
        <v>7</v>
      </c>
      <c r="G225" s="179" t="s">
        <v>782</v>
      </c>
      <c r="H225" s="157"/>
    </row>
    <row r="226" spans="1:8" s="108" customFormat="1" ht="23.1" customHeight="1">
      <c r="A226" s="157" t="s">
        <v>642</v>
      </c>
      <c r="B226" s="1259"/>
      <c r="C226" s="1267"/>
      <c r="D226" s="158" t="s">
        <v>825</v>
      </c>
      <c r="E226" s="157"/>
      <c r="F226" s="169">
        <v>8</v>
      </c>
      <c r="G226" s="179" t="s">
        <v>826</v>
      </c>
      <c r="H226" s="157"/>
    </row>
    <row r="227" spans="1:8" s="108" customFormat="1" ht="23.1" customHeight="1">
      <c r="A227" s="157" t="s">
        <v>642</v>
      </c>
      <c r="B227" s="1257" t="s">
        <v>834</v>
      </c>
      <c r="C227" s="1264" t="s">
        <v>835</v>
      </c>
      <c r="D227" s="158" t="s">
        <v>697</v>
      </c>
      <c r="E227" s="157"/>
      <c r="F227" s="169">
        <v>1</v>
      </c>
      <c r="G227" s="178" t="s">
        <v>698</v>
      </c>
      <c r="H227" s="157"/>
    </row>
    <row r="228" spans="1:8" s="108" customFormat="1" ht="23.1" customHeight="1">
      <c r="A228" s="157" t="s">
        <v>642</v>
      </c>
      <c r="B228" s="1258"/>
      <c r="C228" s="1265"/>
      <c r="D228" s="158" t="s">
        <v>769</v>
      </c>
      <c r="E228" s="157"/>
      <c r="F228" s="169">
        <v>2</v>
      </c>
      <c r="G228" s="178" t="s">
        <v>807</v>
      </c>
      <c r="H228" s="157"/>
    </row>
    <row r="229" spans="1:8" s="108" customFormat="1" ht="23.1" customHeight="1">
      <c r="A229" s="157" t="s">
        <v>642</v>
      </c>
      <c r="B229" s="1258"/>
      <c r="C229" s="1265"/>
      <c r="D229" s="158" t="s">
        <v>808</v>
      </c>
      <c r="E229" s="157"/>
      <c r="F229" s="169">
        <v>3</v>
      </c>
      <c r="G229" s="178" t="s">
        <v>809</v>
      </c>
      <c r="H229" s="157"/>
    </row>
    <row r="230" spans="1:8" s="108" customFormat="1" ht="23.1" customHeight="1">
      <c r="A230" s="157" t="s">
        <v>642</v>
      </c>
      <c r="B230" s="1258"/>
      <c r="C230" s="1265"/>
      <c r="D230" s="158" t="s">
        <v>771</v>
      </c>
      <c r="E230" s="157"/>
      <c r="F230" s="169">
        <v>4</v>
      </c>
      <c r="G230" s="178" t="s">
        <v>704</v>
      </c>
      <c r="H230" s="157"/>
    </row>
    <row r="231" spans="1:8" s="108" customFormat="1" ht="23.1" customHeight="1">
      <c r="A231" s="157" t="s">
        <v>642</v>
      </c>
      <c r="B231" s="1258"/>
      <c r="C231" s="1265"/>
      <c r="D231" s="158" t="s">
        <v>705</v>
      </c>
      <c r="E231" s="157"/>
      <c r="F231" s="169">
        <v>5</v>
      </c>
      <c r="G231" s="178" t="s">
        <v>706</v>
      </c>
      <c r="H231" s="157"/>
    </row>
    <row r="232" spans="1:8" s="108" customFormat="1" ht="23.1" customHeight="1">
      <c r="A232" s="157" t="s">
        <v>642</v>
      </c>
      <c r="B232" s="1258"/>
      <c r="C232" s="1265"/>
      <c r="D232" s="158" t="s">
        <v>810</v>
      </c>
      <c r="E232" s="157"/>
      <c r="F232" s="169">
        <v>6</v>
      </c>
      <c r="G232" s="178" t="s">
        <v>811</v>
      </c>
      <c r="H232" s="157"/>
    </row>
    <row r="233" spans="1:8" s="108" customFormat="1" ht="23.1" customHeight="1">
      <c r="A233" s="157" t="s">
        <v>642</v>
      </c>
      <c r="B233" s="1258"/>
      <c r="C233" s="1265"/>
      <c r="D233" s="158" t="s">
        <v>812</v>
      </c>
      <c r="E233" s="157"/>
      <c r="F233" s="169">
        <v>7</v>
      </c>
      <c r="G233" s="178" t="s">
        <v>708</v>
      </c>
      <c r="H233" s="157"/>
    </row>
    <row r="234" spans="1:8" s="108" customFormat="1" ht="23.1" customHeight="1">
      <c r="A234" s="157" t="s">
        <v>642</v>
      </c>
      <c r="B234" s="1258"/>
      <c r="C234" s="1265"/>
      <c r="D234" s="158" t="s">
        <v>743</v>
      </c>
      <c r="E234" s="157"/>
      <c r="F234" s="169">
        <v>8</v>
      </c>
      <c r="G234" s="178" t="s">
        <v>757</v>
      </c>
      <c r="H234" s="157"/>
    </row>
    <row r="235" spans="1:8" s="108" customFormat="1" ht="23.1" customHeight="1">
      <c r="A235" s="157" t="s">
        <v>642</v>
      </c>
      <c r="B235" s="1258"/>
      <c r="C235" s="1265"/>
      <c r="D235" s="158" t="s">
        <v>813</v>
      </c>
      <c r="E235" s="157"/>
      <c r="F235" s="169">
        <v>9</v>
      </c>
      <c r="G235" s="178" t="s">
        <v>814</v>
      </c>
      <c r="H235" s="157"/>
    </row>
    <row r="236" spans="1:8" s="108" customFormat="1" ht="23.1" customHeight="1">
      <c r="A236" s="157" t="s">
        <v>642</v>
      </c>
      <c r="B236" s="1258"/>
      <c r="C236" s="1265"/>
      <c r="D236" s="158" t="s">
        <v>815</v>
      </c>
      <c r="E236" s="157"/>
      <c r="F236" s="169">
        <v>10</v>
      </c>
      <c r="G236" s="178" t="s">
        <v>710</v>
      </c>
      <c r="H236" s="157"/>
    </row>
    <row r="237" spans="1:8" s="108" customFormat="1" ht="23.1" customHeight="1">
      <c r="A237" s="157" t="s">
        <v>642</v>
      </c>
      <c r="B237" s="1258"/>
      <c r="C237" s="1265"/>
      <c r="D237" s="158" t="s">
        <v>816</v>
      </c>
      <c r="E237" s="157"/>
      <c r="F237" s="169">
        <v>11</v>
      </c>
      <c r="G237" s="178" t="s">
        <v>817</v>
      </c>
      <c r="H237" s="157"/>
    </row>
    <row r="238" spans="1:8" s="108" customFormat="1" ht="23.1" customHeight="1">
      <c r="A238" s="157" t="s">
        <v>642</v>
      </c>
      <c r="B238" s="1258"/>
      <c r="C238" s="1265"/>
      <c r="D238" s="158" t="s">
        <v>818</v>
      </c>
      <c r="E238" s="157"/>
      <c r="F238" s="169">
        <v>12</v>
      </c>
      <c r="G238" s="179" t="s">
        <v>819</v>
      </c>
      <c r="H238" s="157"/>
    </row>
    <row r="239" spans="1:8" s="108" customFormat="1" ht="23.1" customHeight="1">
      <c r="A239" s="157" t="s">
        <v>642</v>
      </c>
      <c r="B239" s="1258"/>
      <c r="C239" s="1265"/>
      <c r="D239" s="158" t="s">
        <v>820</v>
      </c>
      <c r="E239" s="157"/>
      <c r="F239" s="169">
        <v>13</v>
      </c>
      <c r="G239" s="179" t="s">
        <v>821</v>
      </c>
      <c r="H239" s="157"/>
    </row>
    <row r="240" spans="1:8" s="108" customFormat="1" ht="23.1" customHeight="1">
      <c r="A240" s="157" t="s">
        <v>642</v>
      </c>
      <c r="B240" s="1258"/>
      <c r="C240" s="1265"/>
      <c r="D240" s="158" t="s">
        <v>822</v>
      </c>
      <c r="E240" s="157"/>
      <c r="F240" s="169">
        <v>14</v>
      </c>
      <c r="G240" s="178" t="s">
        <v>823</v>
      </c>
      <c r="H240" s="157"/>
    </row>
    <row r="241" spans="1:8" s="108" customFormat="1" ht="23.1" customHeight="1">
      <c r="A241" s="157" t="s">
        <v>642</v>
      </c>
      <c r="B241" s="1258"/>
      <c r="C241" s="1265"/>
      <c r="D241" s="158" t="s">
        <v>824</v>
      </c>
      <c r="E241" s="157"/>
      <c r="F241" s="169">
        <v>15</v>
      </c>
      <c r="G241" s="179" t="s">
        <v>782</v>
      </c>
      <c r="H241" s="157"/>
    </row>
    <row r="242" spans="1:8" s="108" customFormat="1" ht="23.1" customHeight="1">
      <c r="A242" s="157" t="s">
        <v>642</v>
      </c>
      <c r="B242" s="1258"/>
      <c r="C242" s="1265"/>
      <c r="D242" s="158" t="s">
        <v>825</v>
      </c>
      <c r="E242" s="157"/>
      <c r="F242" s="169">
        <v>16</v>
      </c>
      <c r="G242" s="179" t="s">
        <v>826</v>
      </c>
      <c r="H242" s="157"/>
    </row>
    <row r="243" spans="1:8" s="108" customFormat="1" ht="23.1" customHeight="1">
      <c r="A243" s="157" t="s">
        <v>642</v>
      </c>
      <c r="B243" s="1259"/>
      <c r="C243" s="1267"/>
      <c r="D243" s="158" t="s">
        <v>827</v>
      </c>
      <c r="E243" s="157"/>
      <c r="F243" s="169">
        <v>17</v>
      </c>
      <c r="G243" s="178" t="s">
        <v>714</v>
      </c>
      <c r="H243" s="157"/>
    </row>
    <row r="244" spans="1:8" s="108" customFormat="1" ht="23.1" customHeight="1">
      <c r="A244" s="157" t="s">
        <v>642</v>
      </c>
      <c r="B244" s="1257" t="s">
        <v>836</v>
      </c>
      <c r="C244" s="1264" t="s">
        <v>837</v>
      </c>
      <c r="D244" s="158" t="s">
        <v>697</v>
      </c>
      <c r="E244" s="157"/>
      <c r="F244" s="169">
        <v>1</v>
      </c>
      <c r="G244" s="178" t="s">
        <v>698</v>
      </c>
      <c r="H244" s="157"/>
    </row>
    <row r="245" spans="1:8" s="108" customFormat="1" ht="23.1" customHeight="1">
      <c r="A245" s="157" t="s">
        <v>642</v>
      </c>
      <c r="B245" s="1258"/>
      <c r="C245" s="1265"/>
      <c r="D245" s="158" t="s">
        <v>769</v>
      </c>
      <c r="E245" s="157"/>
      <c r="F245" s="169">
        <v>2</v>
      </c>
      <c r="G245" s="178" t="s">
        <v>807</v>
      </c>
      <c r="H245" s="157"/>
    </row>
    <row r="246" spans="1:8" s="108" customFormat="1" ht="23.1" customHeight="1">
      <c r="A246" s="157" t="s">
        <v>642</v>
      </c>
      <c r="B246" s="1258"/>
      <c r="C246" s="1265"/>
      <c r="D246" s="158" t="s">
        <v>771</v>
      </c>
      <c r="E246" s="157"/>
      <c r="F246" s="169">
        <v>3</v>
      </c>
      <c r="G246" s="178" t="s">
        <v>704</v>
      </c>
      <c r="H246" s="157"/>
    </row>
    <row r="247" spans="1:8" s="108" customFormat="1" ht="23.1" customHeight="1">
      <c r="A247" s="157" t="s">
        <v>642</v>
      </c>
      <c r="B247" s="1258"/>
      <c r="C247" s="1265"/>
      <c r="D247" s="158" t="s">
        <v>830</v>
      </c>
      <c r="E247" s="157"/>
      <c r="F247" s="169">
        <v>4</v>
      </c>
      <c r="G247" s="178" t="s">
        <v>831</v>
      </c>
      <c r="H247" s="157"/>
    </row>
    <row r="248" spans="1:8" s="108" customFormat="1" ht="23.1" customHeight="1">
      <c r="A248" s="157" t="s">
        <v>642</v>
      </c>
      <c r="B248" s="1258"/>
      <c r="C248" s="1265"/>
      <c r="D248" s="158" t="s">
        <v>815</v>
      </c>
      <c r="E248" s="157"/>
      <c r="F248" s="169">
        <v>5</v>
      </c>
      <c r="G248" s="178" t="s">
        <v>710</v>
      </c>
      <c r="H248" s="157"/>
    </row>
    <row r="249" spans="1:8" s="108" customFormat="1" ht="23.1" customHeight="1">
      <c r="A249" s="157" t="s">
        <v>642</v>
      </c>
      <c r="B249" s="1258"/>
      <c r="C249" s="1265"/>
      <c r="D249" s="158" t="s">
        <v>832</v>
      </c>
      <c r="E249" s="157"/>
      <c r="F249" s="169">
        <v>6</v>
      </c>
      <c r="G249" s="178" t="s">
        <v>833</v>
      </c>
      <c r="H249" s="157"/>
    </row>
    <row r="250" spans="1:8" s="108" customFormat="1" ht="23.1" customHeight="1">
      <c r="A250" s="157" t="s">
        <v>642</v>
      </c>
      <c r="B250" s="1258"/>
      <c r="C250" s="1265"/>
      <c r="D250" s="158" t="s">
        <v>824</v>
      </c>
      <c r="E250" s="157"/>
      <c r="F250" s="169">
        <v>7</v>
      </c>
      <c r="G250" s="179" t="s">
        <v>782</v>
      </c>
      <c r="H250" s="157"/>
    </row>
    <row r="251" spans="1:8" s="108" customFormat="1" ht="23.1" customHeight="1">
      <c r="A251" s="157" t="s">
        <v>642</v>
      </c>
      <c r="B251" s="1258"/>
      <c r="C251" s="1267"/>
      <c r="D251" s="158" t="s">
        <v>825</v>
      </c>
      <c r="E251" s="157"/>
      <c r="F251" s="169">
        <v>8</v>
      </c>
      <c r="G251" s="179" t="s">
        <v>826</v>
      </c>
      <c r="H251" s="157"/>
    </row>
    <row r="252" spans="1:8" s="108" customFormat="1" ht="23.1" customHeight="1">
      <c r="A252" s="157" t="s">
        <v>642</v>
      </c>
      <c r="B252" s="1257" t="s">
        <v>838</v>
      </c>
      <c r="C252" s="1264" t="s">
        <v>839</v>
      </c>
      <c r="D252" s="158" t="s">
        <v>697</v>
      </c>
      <c r="E252" s="157"/>
      <c r="F252" s="169">
        <v>1</v>
      </c>
      <c r="G252" s="178" t="s">
        <v>698</v>
      </c>
      <c r="H252" s="157"/>
    </row>
    <row r="253" spans="1:8" s="108" customFormat="1" ht="23.1" customHeight="1">
      <c r="A253" s="157" t="s">
        <v>642</v>
      </c>
      <c r="B253" s="1258"/>
      <c r="C253" s="1265"/>
      <c r="D253" s="158" t="s">
        <v>769</v>
      </c>
      <c r="E253" s="157"/>
      <c r="F253" s="169">
        <v>2</v>
      </c>
      <c r="G253" s="178" t="s">
        <v>807</v>
      </c>
      <c r="H253" s="157"/>
    </row>
    <row r="254" spans="1:8" s="108" customFormat="1" ht="23.1" customHeight="1">
      <c r="A254" s="157"/>
      <c r="B254" s="1258"/>
      <c r="C254" s="1265"/>
      <c r="D254" s="158" t="s">
        <v>808</v>
      </c>
      <c r="E254" s="157"/>
      <c r="F254" s="169">
        <v>3</v>
      </c>
      <c r="G254" s="178" t="s">
        <v>809</v>
      </c>
      <c r="H254" s="157"/>
    </row>
    <row r="255" spans="1:8" s="108" customFormat="1" ht="23.1" customHeight="1">
      <c r="A255" s="157"/>
      <c r="B255" s="1258"/>
      <c r="C255" s="1265"/>
      <c r="D255" s="158" t="s">
        <v>771</v>
      </c>
      <c r="E255" s="157"/>
      <c r="F255" s="169">
        <v>4</v>
      </c>
      <c r="G255" s="178" t="s">
        <v>704</v>
      </c>
      <c r="H255" s="157"/>
    </row>
    <row r="256" spans="1:8" s="108" customFormat="1" ht="23.1" customHeight="1">
      <c r="A256" s="157"/>
      <c r="B256" s="1258"/>
      <c r="C256" s="1265"/>
      <c r="D256" s="158" t="s">
        <v>705</v>
      </c>
      <c r="E256" s="157"/>
      <c r="F256" s="169">
        <v>5</v>
      </c>
      <c r="G256" s="178" t="s">
        <v>706</v>
      </c>
      <c r="H256" s="157"/>
    </row>
    <row r="257" spans="1:8" s="108" customFormat="1" ht="23.1" customHeight="1">
      <c r="A257" s="157"/>
      <c r="B257" s="1258"/>
      <c r="C257" s="1265"/>
      <c r="D257" s="158" t="s">
        <v>810</v>
      </c>
      <c r="E257" s="157"/>
      <c r="F257" s="169">
        <v>6</v>
      </c>
      <c r="G257" s="178" t="s">
        <v>811</v>
      </c>
      <c r="H257" s="157"/>
    </row>
    <row r="258" spans="1:8" s="108" customFormat="1" ht="23.1" customHeight="1">
      <c r="A258" s="157"/>
      <c r="B258" s="1258"/>
      <c r="C258" s="1265"/>
      <c r="D258" s="158" t="s">
        <v>812</v>
      </c>
      <c r="E258" s="157"/>
      <c r="F258" s="169">
        <v>7</v>
      </c>
      <c r="G258" s="178" t="s">
        <v>708</v>
      </c>
      <c r="H258" s="157"/>
    </row>
    <row r="259" spans="1:8" s="108" customFormat="1" ht="23.1" customHeight="1">
      <c r="A259" s="157"/>
      <c r="B259" s="1258"/>
      <c r="C259" s="1265"/>
      <c r="D259" s="158" t="s">
        <v>743</v>
      </c>
      <c r="E259" s="157"/>
      <c r="F259" s="169">
        <v>8</v>
      </c>
      <c r="G259" s="178" t="s">
        <v>757</v>
      </c>
      <c r="H259" s="157"/>
    </row>
    <row r="260" spans="1:8" s="108" customFormat="1" ht="23.1" customHeight="1">
      <c r="A260" s="157"/>
      <c r="B260" s="1258"/>
      <c r="C260" s="1265"/>
      <c r="D260" s="158" t="s">
        <v>813</v>
      </c>
      <c r="E260" s="157"/>
      <c r="F260" s="169">
        <v>9</v>
      </c>
      <c r="G260" s="178" t="s">
        <v>814</v>
      </c>
      <c r="H260" s="157"/>
    </row>
    <row r="261" spans="1:8" s="108" customFormat="1" ht="23.1" customHeight="1">
      <c r="A261" s="157" t="s">
        <v>642</v>
      </c>
      <c r="B261" s="1258"/>
      <c r="C261" s="1265"/>
      <c r="D261" s="158" t="s">
        <v>815</v>
      </c>
      <c r="E261" s="157"/>
      <c r="F261" s="169">
        <v>10</v>
      </c>
      <c r="G261" s="178" t="s">
        <v>710</v>
      </c>
      <c r="H261" s="157"/>
    </row>
    <row r="262" spans="1:8" s="108" customFormat="1" ht="23.1" customHeight="1">
      <c r="A262" s="157" t="s">
        <v>642</v>
      </c>
      <c r="B262" s="1258"/>
      <c r="C262" s="1265"/>
      <c r="D262" s="158" t="s">
        <v>816</v>
      </c>
      <c r="E262" s="157"/>
      <c r="F262" s="169">
        <v>11</v>
      </c>
      <c r="G262" s="178" t="s">
        <v>817</v>
      </c>
      <c r="H262" s="157"/>
    </row>
    <row r="263" spans="1:8" s="108" customFormat="1" ht="23.1" customHeight="1">
      <c r="A263" s="157" t="s">
        <v>642</v>
      </c>
      <c r="B263" s="1258"/>
      <c r="C263" s="1265"/>
      <c r="D263" s="158" t="s">
        <v>818</v>
      </c>
      <c r="E263" s="157"/>
      <c r="F263" s="169">
        <v>12</v>
      </c>
      <c r="G263" s="179" t="s">
        <v>819</v>
      </c>
      <c r="H263" s="157"/>
    </row>
    <row r="264" spans="1:8" s="108" customFormat="1" ht="23.1" customHeight="1">
      <c r="A264" s="157" t="s">
        <v>642</v>
      </c>
      <c r="B264" s="1258"/>
      <c r="C264" s="1265"/>
      <c r="D264" s="158" t="s">
        <v>820</v>
      </c>
      <c r="E264" s="157"/>
      <c r="F264" s="169">
        <v>13</v>
      </c>
      <c r="G264" s="179" t="s">
        <v>821</v>
      </c>
      <c r="H264" s="157"/>
    </row>
    <row r="265" spans="1:8" s="108" customFormat="1" ht="23.1" customHeight="1">
      <c r="A265" s="157" t="s">
        <v>642</v>
      </c>
      <c r="B265" s="1258"/>
      <c r="C265" s="1265"/>
      <c r="D265" s="158" t="s">
        <v>822</v>
      </c>
      <c r="E265" s="157"/>
      <c r="F265" s="169">
        <v>14</v>
      </c>
      <c r="G265" s="178" t="s">
        <v>823</v>
      </c>
      <c r="H265" s="157"/>
    </row>
    <row r="266" spans="1:8" s="108" customFormat="1" ht="23.1" customHeight="1">
      <c r="A266" s="157" t="s">
        <v>642</v>
      </c>
      <c r="B266" s="1258"/>
      <c r="C266" s="1265"/>
      <c r="D266" s="158" t="s">
        <v>824</v>
      </c>
      <c r="E266" s="157"/>
      <c r="F266" s="169">
        <v>15</v>
      </c>
      <c r="G266" s="179" t="s">
        <v>782</v>
      </c>
      <c r="H266" s="157"/>
    </row>
    <row r="267" spans="1:8" s="108" customFormat="1" ht="23.1" customHeight="1">
      <c r="A267" s="157" t="s">
        <v>642</v>
      </c>
      <c r="B267" s="1258"/>
      <c r="C267" s="1265"/>
      <c r="D267" s="158" t="s">
        <v>825</v>
      </c>
      <c r="E267" s="157"/>
      <c r="F267" s="169">
        <v>16</v>
      </c>
      <c r="G267" s="179" t="s">
        <v>826</v>
      </c>
      <c r="H267" s="157"/>
    </row>
    <row r="268" spans="1:8" s="108" customFormat="1" ht="23.1" customHeight="1">
      <c r="A268" s="157" t="s">
        <v>642</v>
      </c>
      <c r="B268" s="1259"/>
      <c r="C268" s="1267"/>
      <c r="D268" s="158" t="s">
        <v>827</v>
      </c>
      <c r="E268" s="157"/>
      <c r="F268" s="169">
        <v>17</v>
      </c>
      <c r="G268" s="178" t="s">
        <v>714</v>
      </c>
      <c r="H268" s="157"/>
    </row>
    <row r="269" spans="1:8" s="108" customFormat="1" ht="23.1" customHeight="1">
      <c r="A269" s="157" t="s">
        <v>642</v>
      </c>
      <c r="B269" s="1257" t="s">
        <v>840</v>
      </c>
      <c r="C269" s="1264" t="s">
        <v>841</v>
      </c>
      <c r="D269" s="158" t="s">
        <v>697</v>
      </c>
      <c r="E269" s="157"/>
      <c r="F269" s="169">
        <v>1</v>
      </c>
      <c r="G269" s="178" t="s">
        <v>698</v>
      </c>
      <c r="H269" s="157"/>
    </row>
    <row r="270" spans="1:8" s="108" customFormat="1" ht="23.1" customHeight="1">
      <c r="A270" s="157" t="s">
        <v>642</v>
      </c>
      <c r="B270" s="1258"/>
      <c r="C270" s="1265"/>
      <c r="D270" s="158" t="s">
        <v>769</v>
      </c>
      <c r="E270" s="157"/>
      <c r="F270" s="169">
        <v>2</v>
      </c>
      <c r="G270" s="178" t="s">
        <v>807</v>
      </c>
      <c r="H270" s="157"/>
    </row>
    <row r="271" spans="1:8" s="108" customFormat="1" ht="23.1" customHeight="1">
      <c r="A271" s="157" t="s">
        <v>642</v>
      </c>
      <c r="B271" s="1258"/>
      <c r="C271" s="1265"/>
      <c r="D271" s="158" t="s">
        <v>771</v>
      </c>
      <c r="E271" s="157"/>
      <c r="F271" s="169">
        <v>3</v>
      </c>
      <c r="G271" s="178" t="s">
        <v>704</v>
      </c>
      <c r="H271" s="157"/>
    </row>
    <row r="272" spans="1:8" s="108" customFormat="1" ht="23.1" customHeight="1">
      <c r="A272" s="157" t="s">
        <v>642</v>
      </c>
      <c r="B272" s="1258"/>
      <c r="C272" s="1265"/>
      <c r="D272" s="158" t="s">
        <v>830</v>
      </c>
      <c r="E272" s="157"/>
      <c r="F272" s="169">
        <v>4</v>
      </c>
      <c r="G272" s="178" t="s">
        <v>831</v>
      </c>
      <c r="H272" s="157"/>
    </row>
    <row r="273" spans="1:8" s="108" customFormat="1" ht="23.1" customHeight="1">
      <c r="A273" s="157" t="s">
        <v>642</v>
      </c>
      <c r="B273" s="1258"/>
      <c r="C273" s="1265"/>
      <c r="D273" s="158" t="s">
        <v>815</v>
      </c>
      <c r="E273" s="157"/>
      <c r="F273" s="169">
        <v>5</v>
      </c>
      <c r="G273" s="178" t="s">
        <v>710</v>
      </c>
      <c r="H273" s="157"/>
    </row>
    <row r="274" spans="1:8" s="108" customFormat="1" ht="23.1" customHeight="1">
      <c r="A274" s="157" t="s">
        <v>642</v>
      </c>
      <c r="B274" s="1258"/>
      <c r="C274" s="1265"/>
      <c r="D274" s="158" t="s">
        <v>832</v>
      </c>
      <c r="E274" s="157"/>
      <c r="F274" s="169">
        <v>6</v>
      </c>
      <c r="G274" s="178" t="s">
        <v>833</v>
      </c>
      <c r="H274" s="157"/>
    </row>
    <row r="275" spans="1:8" s="108" customFormat="1" ht="23.1" customHeight="1">
      <c r="A275" s="157" t="s">
        <v>642</v>
      </c>
      <c r="B275" s="1258"/>
      <c r="C275" s="1265"/>
      <c r="D275" s="158" t="s">
        <v>824</v>
      </c>
      <c r="E275" s="157"/>
      <c r="F275" s="169">
        <v>7</v>
      </c>
      <c r="G275" s="179" t="s">
        <v>782</v>
      </c>
      <c r="H275" s="157"/>
    </row>
    <row r="276" spans="1:8" s="108" customFormat="1" ht="23.1" customHeight="1">
      <c r="A276" s="157" t="s">
        <v>642</v>
      </c>
      <c r="B276" s="1258"/>
      <c r="C276" s="1267"/>
      <c r="D276" s="158" t="s">
        <v>825</v>
      </c>
      <c r="E276" s="157"/>
      <c r="F276" s="169">
        <v>8</v>
      </c>
      <c r="G276" s="179" t="s">
        <v>826</v>
      </c>
      <c r="H276" s="157"/>
    </row>
    <row r="277" spans="1:8" s="108" customFormat="1" ht="23.1" customHeight="1">
      <c r="A277" s="157" t="s">
        <v>642</v>
      </c>
      <c r="B277" s="1257" t="s">
        <v>842</v>
      </c>
      <c r="C277" s="1264" t="s">
        <v>843</v>
      </c>
      <c r="D277" s="158" t="s">
        <v>697</v>
      </c>
      <c r="E277" s="157"/>
      <c r="F277" s="169">
        <v>1</v>
      </c>
      <c r="G277" s="178" t="s">
        <v>698</v>
      </c>
      <c r="H277" s="157"/>
    </row>
    <row r="278" spans="1:8" s="108" customFormat="1" ht="23.1" customHeight="1">
      <c r="A278" s="157" t="s">
        <v>642</v>
      </c>
      <c r="B278" s="1258"/>
      <c r="C278" s="1265"/>
      <c r="D278" s="158" t="s">
        <v>769</v>
      </c>
      <c r="E278" s="157"/>
      <c r="F278" s="169">
        <v>2</v>
      </c>
      <c r="G278" s="178" t="s">
        <v>807</v>
      </c>
      <c r="H278" s="157"/>
    </row>
    <row r="279" spans="1:8" s="108" customFormat="1" ht="23.1" customHeight="1">
      <c r="A279" s="157"/>
      <c r="B279" s="1258"/>
      <c r="C279" s="1265"/>
      <c r="D279" s="158" t="s">
        <v>808</v>
      </c>
      <c r="E279" s="157"/>
      <c r="F279" s="169">
        <v>3</v>
      </c>
      <c r="G279" s="178" t="s">
        <v>809</v>
      </c>
      <c r="H279" s="157"/>
    </row>
    <row r="280" spans="1:8" s="108" customFormat="1" ht="23.1" customHeight="1">
      <c r="A280" s="157"/>
      <c r="B280" s="1258"/>
      <c r="C280" s="1265"/>
      <c r="D280" s="158" t="s">
        <v>771</v>
      </c>
      <c r="E280" s="157"/>
      <c r="F280" s="169">
        <v>4</v>
      </c>
      <c r="G280" s="178" t="s">
        <v>704</v>
      </c>
      <c r="H280" s="157"/>
    </row>
    <row r="281" spans="1:8" s="108" customFormat="1" ht="23.1" customHeight="1">
      <c r="A281" s="157"/>
      <c r="B281" s="1258"/>
      <c r="C281" s="1265"/>
      <c r="D281" s="158" t="s">
        <v>705</v>
      </c>
      <c r="E281" s="157"/>
      <c r="F281" s="169">
        <v>5</v>
      </c>
      <c r="G281" s="178" t="s">
        <v>706</v>
      </c>
      <c r="H281" s="157"/>
    </row>
    <row r="282" spans="1:8" s="108" customFormat="1" ht="23.1" customHeight="1">
      <c r="A282" s="157"/>
      <c r="B282" s="1258"/>
      <c r="C282" s="1265"/>
      <c r="D282" s="158" t="s">
        <v>810</v>
      </c>
      <c r="E282" s="157"/>
      <c r="F282" s="169">
        <v>6</v>
      </c>
      <c r="G282" s="178" t="s">
        <v>811</v>
      </c>
      <c r="H282" s="157"/>
    </row>
    <row r="283" spans="1:8" s="108" customFormat="1" ht="23.1" customHeight="1">
      <c r="A283" s="157"/>
      <c r="B283" s="1258"/>
      <c r="C283" s="1265"/>
      <c r="D283" s="158" t="s">
        <v>812</v>
      </c>
      <c r="E283" s="157"/>
      <c r="F283" s="169">
        <v>7</v>
      </c>
      <c r="G283" s="178" t="s">
        <v>708</v>
      </c>
      <c r="H283" s="157"/>
    </row>
    <row r="284" spans="1:8" s="108" customFormat="1" ht="23.1" customHeight="1">
      <c r="A284" s="157"/>
      <c r="B284" s="1258"/>
      <c r="C284" s="1265"/>
      <c r="D284" s="158" t="s">
        <v>743</v>
      </c>
      <c r="E284" s="157"/>
      <c r="F284" s="169">
        <v>8</v>
      </c>
      <c r="G284" s="178" t="s">
        <v>757</v>
      </c>
      <c r="H284" s="157"/>
    </row>
    <row r="285" spans="1:8" s="108" customFormat="1" ht="23.1" customHeight="1">
      <c r="A285" s="157"/>
      <c r="B285" s="1258"/>
      <c r="C285" s="1265"/>
      <c r="D285" s="158" t="s">
        <v>813</v>
      </c>
      <c r="E285" s="157"/>
      <c r="F285" s="169">
        <v>9</v>
      </c>
      <c r="G285" s="178" t="s">
        <v>814</v>
      </c>
      <c r="H285" s="157"/>
    </row>
    <row r="286" spans="1:8" s="108" customFormat="1" ht="23.1" customHeight="1">
      <c r="A286" s="157" t="s">
        <v>642</v>
      </c>
      <c r="B286" s="1258"/>
      <c r="C286" s="1265"/>
      <c r="D286" s="158" t="s">
        <v>815</v>
      </c>
      <c r="E286" s="157"/>
      <c r="F286" s="169">
        <v>10</v>
      </c>
      <c r="G286" s="178" t="s">
        <v>710</v>
      </c>
      <c r="H286" s="157"/>
    </row>
    <row r="287" spans="1:8" s="108" customFormat="1" ht="23.1" customHeight="1">
      <c r="A287" s="157" t="s">
        <v>642</v>
      </c>
      <c r="B287" s="1258"/>
      <c r="C287" s="1265"/>
      <c r="D287" s="158" t="s">
        <v>816</v>
      </c>
      <c r="E287" s="157"/>
      <c r="F287" s="169">
        <v>11</v>
      </c>
      <c r="G287" s="178" t="s">
        <v>817</v>
      </c>
      <c r="H287" s="157"/>
    </row>
    <row r="288" spans="1:8" s="108" customFormat="1" ht="23.1" customHeight="1">
      <c r="A288" s="157" t="s">
        <v>642</v>
      </c>
      <c r="B288" s="1258"/>
      <c r="C288" s="1265"/>
      <c r="D288" s="158" t="s">
        <v>818</v>
      </c>
      <c r="E288" s="157"/>
      <c r="F288" s="169">
        <v>12</v>
      </c>
      <c r="G288" s="179" t="s">
        <v>819</v>
      </c>
      <c r="H288" s="157"/>
    </row>
    <row r="289" spans="1:8" s="108" customFormat="1" ht="23.1" customHeight="1">
      <c r="A289" s="157" t="s">
        <v>642</v>
      </c>
      <c r="B289" s="1258"/>
      <c r="C289" s="1265"/>
      <c r="D289" s="158" t="s">
        <v>820</v>
      </c>
      <c r="E289" s="157"/>
      <c r="F289" s="169">
        <v>13</v>
      </c>
      <c r="G289" s="179" t="s">
        <v>821</v>
      </c>
      <c r="H289" s="157"/>
    </row>
    <row r="290" spans="1:8" s="108" customFormat="1" ht="23.1" customHeight="1">
      <c r="A290" s="157" t="s">
        <v>642</v>
      </c>
      <c r="B290" s="1258"/>
      <c r="C290" s="1265"/>
      <c r="D290" s="158" t="s">
        <v>822</v>
      </c>
      <c r="E290" s="157"/>
      <c r="F290" s="169">
        <v>14</v>
      </c>
      <c r="G290" s="178" t="s">
        <v>823</v>
      </c>
      <c r="H290" s="157"/>
    </row>
    <row r="291" spans="1:8" s="108" customFormat="1" ht="23.1" customHeight="1">
      <c r="A291" s="157" t="s">
        <v>642</v>
      </c>
      <c r="B291" s="1258"/>
      <c r="C291" s="1265"/>
      <c r="D291" s="158" t="s">
        <v>824</v>
      </c>
      <c r="E291" s="157"/>
      <c r="F291" s="169">
        <v>15</v>
      </c>
      <c r="G291" s="179" t="s">
        <v>782</v>
      </c>
      <c r="H291" s="157"/>
    </row>
    <row r="292" spans="1:8" s="108" customFormat="1" ht="23.1" customHeight="1">
      <c r="A292" s="157" t="s">
        <v>642</v>
      </c>
      <c r="B292" s="1258"/>
      <c r="C292" s="1265"/>
      <c r="D292" s="158" t="s">
        <v>825</v>
      </c>
      <c r="E292" s="157"/>
      <c r="F292" s="169">
        <v>16</v>
      </c>
      <c r="G292" s="179" t="s">
        <v>826</v>
      </c>
      <c r="H292" s="157"/>
    </row>
    <row r="293" spans="1:8" s="108" customFormat="1" ht="23.1" customHeight="1">
      <c r="A293" s="157" t="s">
        <v>642</v>
      </c>
      <c r="B293" s="1259"/>
      <c r="C293" s="1267"/>
      <c r="D293" s="158" t="s">
        <v>827</v>
      </c>
      <c r="E293" s="157"/>
      <c r="F293" s="169">
        <v>17</v>
      </c>
      <c r="G293" s="178" t="s">
        <v>714</v>
      </c>
      <c r="H293" s="157"/>
    </row>
    <row r="294" spans="1:8" s="108" customFormat="1" ht="23.1" customHeight="1">
      <c r="A294" s="157" t="s">
        <v>642</v>
      </c>
      <c r="B294" s="1257" t="s">
        <v>844</v>
      </c>
      <c r="C294" s="1264" t="s">
        <v>845</v>
      </c>
      <c r="D294" s="158" t="s">
        <v>697</v>
      </c>
      <c r="E294" s="157"/>
      <c r="F294" s="169">
        <v>1</v>
      </c>
      <c r="G294" s="178" t="s">
        <v>698</v>
      </c>
      <c r="H294" s="157"/>
    </row>
    <row r="295" spans="1:8" s="108" customFormat="1" ht="23.1" customHeight="1">
      <c r="A295" s="157" t="s">
        <v>642</v>
      </c>
      <c r="B295" s="1258"/>
      <c r="C295" s="1265"/>
      <c r="D295" s="158" t="s">
        <v>769</v>
      </c>
      <c r="E295" s="157"/>
      <c r="F295" s="169">
        <v>2</v>
      </c>
      <c r="G295" s="178" t="s">
        <v>807</v>
      </c>
      <c r="H295" s="157"/>
    </row>
    <row r="296" spans="1:8" s="108" customFormat="1" ht="23.1" customHeight="1">
      <c r="A296" s="157" t="s">
        <v>642</v>
      </c>
      <c r="B296" s="1258"/>
      <c r="C296" s="1265"/>
      <c r="D296" s="158" t="s">
        <v>771</v>
      </c>
      <c r="E296" s="157"/>
      <c r="F296" s="169">
        <v>3</v>
      </c>
      <c r="G296" s="178" t="s">
        <v>704</v>
      </c>
      <c r="H296" s="157"/>
    </row>
    <row r="297" spans="1:8" s="108" customFormat="1" ht="23.1" customHeight="1">
      <c r="A297" s="157" t="s">
        <v>642</v>
      </c>
      <c r="B297" s="1258"/>
      <c r="C297" s="1265"/>
      <c r="D297" s="158" t="s">
        <v>830</v>
      </c>
      <c r="E297" s="157"/>
      <c r="F297" s="169">
        <v>4</v>
      </c>
      <c r="G297" s="178" t="s">
        <v>831</v>
      </c>
      <c r="H297" s="157"/>
    </row>
    <row r="298" spans="1:8" s="108" customFormat="1" ht="23.1" customHeight="1">
      <c r="A298" s="157" t="s">
        <v>642</v>
      </c>
      <c r="B298" s="1258"/>
      <c r="C298" s="1265"/>
      <c r="D298" s="158" t="s">
        <v>815</v>
      </c>
      <c r="E298" s="157"/>
      <c r="F298" s="169">
        <v>5</v>
      </c>
      <c r="G298" s="178" t="s">
        <v>710</v>
      </c>
      <c r="H298" s="157"/>
    </row>
    <row r="299" spans="1:8" s="108" customFormat="1" ht="23.1" customHeight="1">
      <c r="A299" s="157" t="s">
        <v>642</v>
      </c>
      <c r="B299" s="1258"/>
      <c r="C299" s="1265"/>
      <c r="D299" s="158" t="s">
        <v>832</v>
      </c>
      <c r="E299" s="157"/>
      <c r="F299" s="169">
        <v>6</v>
      </c>
      <c r="G299" s="178" t="s">
        <v>833</v>
      </c>
      <c r="H299" s="157"/>
    </row>
    <row r="300" spans="1:8" s="108" customFormat="1" ht="23.1" customHeight="1">
      <c r="A300" s="157" t="s">
        <v>642</v>
      </c>
      <c r="B300" s="1258"/>
      <c r="C300" s="1265"/>
      <c r="D300" s="158" t="s">
        <v>824</v>
      </c>
      <c r="E300" s="157"/>
      <c r="F300" s="169">
        <v>7</v>
      </c>
      <c r="G300" s="179" t="s">
        <v>782</v>
      </c>
      <c r="H300" s="157"/>
    </row>
    <row r="301" spans="1:8" s="108" customFormat="1" ht="23.1" customHeight="1">
      <c r="A301" s="157" t="s">
        <v>642</v>
      </c>
      <c r="B301" s="1258"/>
      <c r="C301" s="1267"/>
      <c r="D301" s="158" t="s">
        <v>825</v>
      </c>
      <c r="E301" s="157"/>
      <c r="F301" s="169">
        <v>8</v>
      </c>
      <c r="G301" s="179" t="s">
        <v>826</v>
      </c>
      <c r="H301" s="157"/>
    </row>
    <row r="302" spans="1:8" s="108" customFormat="1" ht="23.1" customHeight="1">
      <c r="A302" s="157" t="s">
        <v>642</v>
      </c>
      <c r="B302" s="1263" t="s">
        <v>846</v>
      </c>
      <c r="C302" s="159" t="s">
        <v>847</v>
      </c>
      <c r="D302" s="158" t="s">
        <v>697</v>
      </c>
      <c r="E302" s="160"/>
      <c r="F302" s="170"/>
      <c r="G302" s="179"/>
      <c r="H302" s="160"/>
    </row>
    <row r="303" spans="1:8" s="108" customFormat="1" ht="23.1" customHeight="1">
      <c r="A303" s="157" t="s">
        <v>642</v>
      </c>
      <c r="B303" s="1263"/>
      <c r="C303" s="159" t="s">
        <v>847</v>
      </c>
      <c r="D303" s="158" t="s">
        <v>848</v>
      </c>
      <c r="E303" s="160"/>
      <c r="F303" s="170"/>
      <c r="G303" s="179"/>
      <c r="H303" s="160"/>
    </row>
    <row r="304" spans="1:8" s="108" customFormat="1" ht="23.1" customHeight="1">
      <c r="A304" s="157" t="s">
        <v>642</v>
      </c>
      <c r="B304" s="1263"/>
      <c r="C304" s="159" t="s">
        <v>847</v>
      </c>
      <c r="D304" s="158" t="s">
        <v>808</v>
      </c>
      <c r="E304" s="160"/>
      <c r="F304" s="170"/>
      <c r="G304" s="179"/>
      <c r="H304" s="160"/>
    </row>
    <row r="305" spans="1:8" s="108" customFormat="1" ht="23.1" customHeight="1">
      <c r="A305" s="157" t="s">
        <v>642</v>
      </c>
      <c r="B305" s="1263"/>
      <c r="C305" s="159" t="s">
        <v>847</v>
      </c>
      <c r="D305" s="158" t="s">
        <v>771</v>
      </c>
      <c r="E305" s="160"/>
      <c r="F305" s="170"/>
      <c r="G305" s="179"/>
      <c r="H305" s="160"/>
    </row>
    <row r="306" spans="1:8" s="108" customFormat="1" ht="23.1" customHeight="1">
      <c r="A306" s="157" t="s">
        <v>642</v>
      </c>
      <c r="B306" s="1263"/>
      <c r="C306" s="159" t="s">
        <v>847</v>
      </c>
      <c r="D306" s="158" t="s">
        <v>705</v>
      </c>
      <c r="E306" s="160"/>
      <c r="F306" s="170"/>
      <c r="G306" s="179"/>
      <c r="H306" s="160"/>
    </row>
    <row r="307" spans="1:8" s="108" customFormat="1" ht="23.1" customHeight="1">
      <c r="A307" s="157" t="s">
        <v>642</v>
      </c>
      <c r="B307" s="1263"/>
      <c r="C307" s="159" t="s">
        <v>847</v>
      </c>
      <c r="D307" s="158" t="s">
        <v>830</v>
      </c>
      <c r="E307" s="160"/>
      <c r="F307" s="170"/>
      <c r="G307" s="179"/>
      <c r="H307" s="160"/>
    </row>
    <row r="308" spans="1:8" s="108" customFormat="1" ht="23.1" customHeight="1">
      <c r="A308" s="157" t="s">
        <v>642</v>
      </c>
      <c r="B308" s="1263"/>
      <c r="C308" s="159" t="s">
        <v>847</v>
      </c>
      <c r="D308" s="158" t="s">
        <v>815</v>
      </c>
      <c r="E308" s="160"/>
      <c r="F308" s="170"/>
      <c r="G308" s="179"/>
      <c r="H308" s="160"/>
    </row>
    <row r="309" spans="1:8" s="108" customFormat="1" ht="23.1" customHeight="1">
      <c r="A309" s="157" t="s">
        <v>642</v>
      </c>
      <c r="B309" s="1263"/>
      <c r="C309" s="159" t="s">
        <v>847</v>
      </c>
      <c r="D309" s="158" t="s">
        <v>849</v>
      </c>
      <c r="E309" s="160"/>
      <c r="F309" s="170"/>
      <c r="G309" s="179"/>
      <c r="H309" s="160"/>
    </row>
    <row r="310" spans="1:8" s="108" customFormat="1" ht="23.1" customHeight="1">
      <c r="A310" s="157" t="s">
        <v>642</v>
      </c>
      <c r="B310" s="1263"/>
      <c r="C310" s="159" t="s">
        <v>847</v>
      </c>
      <c r="D310" s="158" t="s">
        <v>824</v>
      </c>
      <c r="E310" s="160"/>
      <c r="F310" s="170"/>
      <c r="G310" s="179"/>
      <c r="H310" s="160"/>
    </row>
    <row r="311" spans="1:8" s="108" customFormat="1" ht="23.1" customHeight="1">
      <c r="A311" s="157" t="s">
        <v>642</v>
      </c>
      <c r="B311" s="1263"/>
      <c r="C311" s="159" t="s">
        <v>847</v>
      </c>
      <c r="D311" s="158" t="s">
        <v>825</v>
      </c>
      <c r="E311" s="160"/>
      <c r="F311" s="170"/>
      <c r="G311" s="179"/>
      <c r="H311" s="160"/>
    </row>
    <row r="312" spans="1:8" s="108" customFormat="1" ht="23.1" customHeight="1">
      <c r="A312" s="157" t="s">
        <v>642</v>
      </c>
      <c r="B312" s="1263" t="s">
        <v>850</v>
      </c>
      <c r="C312" s="159" t="s">
        <v>851</v>
      </c>
      <c r="D312" s="158" t="s">
        <v>697</v>
      </c>
      <c r="E312" s="160"/>
      <c r="F312" s="170"/>
      <c r="G312" s="179"/>
      <c r="H312" s="160"/>
    </row>
    <row r="313" spans="1:8" s="108" customFormat="1" ht="23.1" customHeight="1">
      <c r="A313" s="157" t="s">
        <v>642</v>
      </c>
      <c r="B313" s="1263"/>
      <c r="C313" s="159" t="s">
        <v>851</v>
      </c>
      <c r="D313" s="158" t="s">
        <v>769</v>
      </c>
      <c r="E313" s="160"/>
      <c r="F313" s="170"/>
      <c r="G313" s="179"/>
      <c r="H313" s="160"/>
    </row>
    <row r="314" spans="1:8" s="108" customFormat="1" ht="23.1" customHeight="1">
      <c r="A314" s="157" t="s">
        <v>642</v>
      </c>
      <c r="B314" s="1263"/>
      <c r="C314" s="159" t="s">
        <v>851</v>
      </c>
      <c r="D314" s="158" t="s">
        <v>701</v>
      </c>
      <c r="E314" s="160"/>
      <c r="F314" s="170"/>
      <c r="G314" s="179"/>
      <c r="H314" s="160"/>
    </row>
    <row r="315" spans="1:8" s="108" customFormat="1" ht="23.1" customHeight="1">
      <c r="A315" s="157" t="s">
        <v>642</v>
      </c>
      <c r="B315" s="1263"/>
      <c r="C315" s="159" t="s">
        <v>851</v>
      </c>
      <c r="D315" s="158" t="s">
        <v>771</v>
      </c>
      <c r="E315" s="160"/>
      <c r="F315" s="170"/>
      <c r="G315" s="179"/>
      <c r="H315" s="160"/>
    </row>
    <row r="316" spans="1:8" s="108" customFormat="1" ht="23.1" customHeight="1">
      <c r="A316" s="157" t="s">
        <v>642</v>
      </c>
      <c r="B316" s="1263"/>
      <c r="C316" s="159" t="s">
        <v>851</v>
      </c>
      <c r="D316" s="158" t="s">
        <v>705</v>
      </c>
      <c r="E316" s="160"/>
      <c r="F316" s="170"/>
      <c r="G316" s="179"/>
      <c r="H316" s="160"/>
    </row>
    <row r="317" spans="1:8" s="108" customFormat="1" ht="23.1" customHeight="1">
      <c r="A317" s="157" t="s">
        <v>642</v>
      </c>
      <c r="B317" s="1263"/>
      <c r="C317" s="159" t="s">
        <v>851</v>
      </c>
      <c r="D317" s="158" t="s">
        <v>830</v>
      </c>
      <c r="E317" s="160"/>
      <c r="F317" s="170"/>
      <c r="G317" s="179"/>
      <c r="H317" s="160"/>
    </row>
    <row r="318" spans="1:8" s="108" customFormat="1" ht="23.1" customHeight="1">
      <c r="A318" s="157" t="s">
        <v>642</v>
      </c>
      <c r="B318" s="1263"/>
      <c r="C318" s="159" t="s">
        <v>851</v>
      </c>
      <c r="D318" s="158" t="s">
        <v>815</v>
      </c>
      <c r="E318" s="160"/>
      <c r="F318" s="170"/>
      <c r="G318" s="179"/>
      <c r="H318" s="160"/>
    </row>
    <row r="319" spans="1:8" s="108" customFormat="1" ht="23.1" customHeight="1">
      <c r="A319" s="157" t="s">
        <v>642</v>
      </c>
      <c r="B319" s="1263"/>
      <c r="C319" s="159" t="s">
        <v>851</v>
      </c>
      <c r="D319" s="158" t="s">
        <v>832</v>
      </c>
      <c r="E319" s="160"/>
      <c r="F319" s="170"/>
      <c r="G319" s="179"/>
      <c r="H319" s="160"/>
    </row>
    <row r="320" spans="1:8" s="108" customFormat="1" ht="23.1" customHeight="1">
      <c r="A320" s="157" t="s">
        <v>642</v>
      </c>
      <c r="B320" s="1263"/>
      <c r="C320" s="159" t="s">
        <v>851</v>
      </c>
      <c r="D320" s="158" t="s">
        <v>824</v>
      </c>
      <c r="E320" s="160"/>
      <c r="F320" s="170"/>
      <c r="G320" s="179"/>
      <c r="H320" s="160"/>
    </row>
    <row r="321" spans="1:8" s="108" customFormat="1" ht="23.1" customHeight="1">
      <c r="A321" s="157" t="s">
        <v>642</v>
      </c>
      <c r="B321" s="1263"/>
      <c r="C321" s="159" t="s">
        <v>851</v>
      </c>
      <c r="D321" s="158" t="s">
        <v>825</v>
      </c>
      <c r="E321" s="160"/>
      <c r="F321" s="170"/>
      <c r="G321" s="179"/>
      <c r="H321" s="160"/>
    </row>
    <row r="322" spans="1:8" s="108" customFormat="1" ht="23.1" customHeight="1">
      <c r="A322" s="157" t="s">
        <v>642</v>
      </c>
      <c r="B322" s="1263" t="s">
        <v>852</v>
      </c>
      <c r="C322" s="159" t="s">
        <v>853</v>
      </c>
      <c r="D322" s="158" t="s">
        <v>697</v>
      </c>
      <c r="E322" s="160"/>
      <c r="F322" s="170"/>
      <c r="G322" s="179"/>
      <c r="H322" s="160"/>
    </row>
    <row r="323" spans="1:8" s="108" customFormat="1" ht="23.1" customHeight="1">
      <c r="A323" s="157" t="s">
        <v>642</v>
      </c>
      <c r="B323" s="1263"/>
      <c r="C323" s="159" t="s">
        <v>853</v>
      </c>
      <c r="D323" s="158" t="s">
        <v>848</v>
      </c>
      <c r="E323" s="160"/>
      <c r="F323" s="170"/>
      <c r="G323" s="179"/>
      <c r="H323" s="160"/>
    </row>
    <row r="324" spans="1:8" s="108" customFormat="1" ht="23.1" customHeight="1">
      <c r="A324" s="157" t="s">
        <v>642</v>
      </c>
      <c r="B324" s="1263"/>
      <c r="C324" s="159" t="s">
        <v>853</v>
      </c>
      <c r="D324" s="158" t="s">
        <v>808</v>
      </c>
      <c r="E324" s="160"/>
      <c r="F324" s="170"/>
      <c r="G324" s="179"/>
      <c r="H324" s="160"/>
    </row>
    <row r="325" spans="1:8" s="108" customFormat="1" ht="23.1" customHeight="1">
      <c r="A325" s="157" t="s">
        <v>642</v>
      </c>
      <c r="B325" s="1263"/>
      <c r="C325" s="159" t="s">
        <v>853</v>
      </c>
      <c r="D325" s="158" t="s">
        <v>771</v>
      </c>
      <c r="E325" s="160"/>
      <c r="F325" s="170"/>
      <c r="G325" s="179"/>
      <c r="H325" s="160"/>
    </row>
    <row r="326" spans="1:8" s="108" customFormat="1" ht="23.1" customHeight="1">
      <c r="A326" s="157" t="s">
        <v>642</v>
      </c>
      <c r="B326" s="1263"/>
      <c r="C326" s="159" t="s">
        <v>853</v>
      </c>
      <c r="D326" s="158" t="s">
        <v>705</v>
      </c>
      <c r="E326" s="160"/>
      <c r="F326" s="170"/>
      <c r="G326" s="179"/>
      <c r="H326" s="160"/>
    </row>
    <row r="327" spans="1:8" s="108" customFormat="1" ht="23.1" customHeight="1">
      <c r="A327" s="157" t="s">
        <v>642</v>
      </c>
      <c r="B327" s="1263"/>
      <c r="C327" s="159" t="s">
        <v>853</v>
      </c>
      <c r="D327" s="158" t="s">
        <v>830</v>
      </c>
      <c r="E327" s="160"/>
      <c r="F327" s="170"/>
      <c r="G327" s="179"/>
      <c r="H327" s="160"/>
    </row>
    <row r="328" spans="1:8" s="108" customFormat="1" ht="23.1" customHeight="1">
      <c r="A328" s="157" t="s">
        <v>642</v>
      </c>
      <c r="B328" s="1263"/>
      <c r="C328" s="159" t="s">
        <v>853</v>
      </c>
      <c r="D328" s="158" t="s">
        <v>815</v>
      </c>
      <c r="E328" s="160"/>
      <c r="F328" s="170"/>
      <c r="G328" s="179"/>
      <c r="H328" s="160"/>
    </row>
    <row r="329" spans="1:8" s="108" customFormat="1" ht="23.1" customHeight="1">
      <c r="A329" s="157" t="s">
        <v>642</v>
      </c>
      <c r="B329" s="1263"/>
      <c r="C329" s="159" t="s">
        <v>853</v>
      </c>
      <c r="D329" s="158" t="s">
        <v>849</v>
      </c>
      <c r="E329" s="160"/>
      <c r="F329" s="170"/>
      <c r="G329" s="179"/>
      <c r="H329" s="160"/>
    </row>
    <row r="330" spans="1:8" s="108" customFormat="1" ht="23.1" customHeight="1">
      <c r="A330" s="157" t="s">
        <v>642</v>
      </c>
      <c r="B330" s="1263"/>
      <c r="C330" s="159" t="s">
        <v>853</v>
      </c>
      <c r="D330" s="158" t="s">
        <v>824</v>
      </c>
      <c r="E330" s="160"/>
      <c r="F330" s="170"/>
      <c r="G330" s="179"/>
      <c r="H330" s="160"/>
    </row>
    <row r="331" spans="1:8" s="108" customFormat="1" ht="23.1" customHeight="1">
      <c r="A331" s="157" t="s">
        <v>642</v>
      </c>
      <c r="B331" s="1263"/>
      <c r="C331" s="159" t="s">
        <v>853</v>
      </c>
      <c r="D331" s="158" t="s">
        <v>825</v>
      </c>
      <c r="E331" s="160"/>
      <c r="F331" s="170"/>
      <c r="G331" s="179"/>
      <c r="H331" s="160"/>
    </row>
    <row r="332" spans="1:8" s="108" customFormat="1" ht="23.1" customHeight="1">
      <c r="A332" s="157" t="s">
        <v>642</v>
      </c>
      <c r="B332" s="1263" t="s">
        <v>854</v>
      </c>
      <c r="C332" s="159" t="s">
        <v>855</v>
      </c>
      <c r="D332" s="158" t="s">
        <v>697</v>
      </c>
      <c r="E332" s="160"/>
      <c r="F332" s="170"/>
      <c r="G332" s="179"/>
      <c r="H332" s="160"/>
    </row>
    <row r="333" spans="1:8" s="108" customFormat="1" ht="23.1" customHeight="1">
      <c r="A333" s="157" t="s">
        <v>642</v>
      </c>
      <c r="B333" s="1263"/>
      <c r="C333" s="159" t="s">
        <v>855</v>
      </c>
      <c r="D333" s="158" t="s">
        <v>769</v>
      </c>
      <c r="E333" s="160"/>
      <c r="F333" s="170"/>
      <c r="G333" s="179"/>
      <c r="H333" s="160"/>
    </row>
    <row r="334" spans="1:8" s="108" customFormat="1" ht="23.1" customHeight="1">
      <c r="A334" s="157" t="s">
        <v>642</v>
      </c>
      <c r="B334" s="1263"/>
      <c r="C334" s="159" t="s">
        <v>855</v>
      </c>
      <c r="D334" s="158" t="s">
        <v>701</v>
      </c>
      <c r="E334" s="160"/>
      <c r="F334" s="170"/>
      <c r="G334" s="179"/>
      <c r="H334" s="160"/>
    </row>
    <row r="335" spans="1:8" s="108" customFormat="1" ht="23.1" customHeight="1">
      <c r="A335" s="157" t="s">
        <v>642</v>
      </c>
      <c r="B335" s="1263"/>
      <c r="C335" s="159" t="s">
        <v>855</v>
      </c>
      <c r="D335" s="158" t="s">
        <v>771</v>
      </c>
      <c r="E335" s="160"/>
      <c r="F335" s="170"/>
      <c r="G335" s="179"/>
      <c r="H335" s="160"/>
    </row>
    <row r="336" spans="1:8" s="108" customFormat="1" ht="23.1" customHeight="1">
      <c r="A336" s="157" t="s">
        <v>642</v>
      </c>
      <c r="B336" s="1263"/>
      <c r="C336" s="159" t="s">
        <v>855</v>
      </c>
      <c r="D336" s="158" t="s">
        <v>705</v>
      </c>
      <c r="E336" s="160"/>
      <c r="F336" s="170"/>
      <c r="G336" s="179"/>
      <c r="H336" s="160"/>
    </row>
    <row r="337" spans="1:8" s="108" customFormat="1" ht="23.1" customHeight="1">
      <c r="A337" s="157" t="s">
        <v>642</v>
      </c>
      <c r="B337" s="1263"/>
      <c r="C337" s="159" t="s">
        <v>855</v>
      </c>
      <c r="D337" s="158" t="s">
        <v>830</v>
      </c>
      <c r="E337" s="160"/>
      <c r="F337" s="170"/>
      <c r="G337" s="179"/>
      <c r="H337" s="160"/>
    </row>
    <row r="338" spans="1:8" s="108" customFormat="1" ht="23.1" customHeight="1">
      <c r="A338" s="157" t="s">
        <v>642</v>
      </c>
      <c r="B338" s="1263"/>
      <c r="C338" s="159" t="s">
        <v>855</v>
      </c>
      <c r="D338" s="158" t="s">
        <v>815</v>
      </c>
      <c r="E338" s="160"/>
      <c r="F338" s="170"/>
      <c r="G338" s="179"/>
      <c r="H338" s="160"/>
    </row>
    <row r="339" spans="1:8" s="108" customFormat="1" ht="23.1" customHeight="1">
      <c r="A339" s="157" t="s">
        <v>642</v>
      </c>
      <c r="B339" s="1263"/>
      <c r="C339" s="159" t="s">
        <v>855</v>
      </c>
      <c r="D339" s="158" t="s">
        <v>832</v>
      </c>
      <c r="E339" s="160"/>
      <c r="F339" s="170"/>
      <c r="G339" s="179"/>
      <c r="H339" s="160"/>
    </row>
    <row r="340" spans="1:8" s="108" customFormat="1" ht="23.1" customHeight="1">
      <c r="A340" s="157" t="s">
        <v>642</v>
      </c>
      <c r="B340" s="1263"/>
      <c r="C340" s="159" t="s">
        <v>855</v>
      </c>
      <c r="D340" s="158" t="s">
        <v>825</v>
      </c>
      <c r="E340" s="160"/>
      <c r="F340" s="170"/>
      <c r="G340" s="179"/>
      <c r="H340" s="160"/>
    </row>
    <row r="341" spans="1:8" s="108" customFormat="1" ht="23.1" customHeight="1">
      <c r="A341" s="157" t="s">
        <v>642</v>
      </c>
      <c r="B341" s="1263" t="s">
        <v>856</v>
      </c>
      <c r="C341" s="159" t="s">
        <v>857</v>
      </c>
      <c r="D341" s="158" t="s">
        <v>697</v>
      </c>
      <c r="E341" s="160"/>
      <c r="F341" s="170"/>
      <c r="G341" s="179"/>
      <c r="H341" s="160"/>
    </row>
    <row r="342" spans="1:8" s="108" customFormat="1" ht="23.1" customHeight="1">
      <c r="A342" s="157" t="s">
        <v>642</v>
      </c>
      <c r="B342" s="1263"/>
      <c r="C342" s="159" t="s">
        <v>857</v>
      </c>
      <c r="D342" s="158" t="s">
        <v>848</v>
      </c>
      <c r="E342" s="160"/>
      <c r="F342" s="170"/>
      <c r="G342" s="179"/>
      <c r="H342" s="160"/>
    </row>
    <row r="343" spans="1:8" s="108" customFormat="1" ht="23.1" customHeight="1">
      <c r="A343" s="157" t="s">
        <v>642</v>
      </c>
      <c r="B343" s="1263"/>
      <c r="C343" s="159" t="s">
        <v>857</v>
      </c>
      <c r="D343" s="158" t="s">
        <v>808</v>
      </c>
      <c r="E343" s="160"/>
      <c r="F343" s="170"/>
      <c r="G343" s="179"/>
      <c r="H343" s="160"/>
    </row>
    <row r="344" spans="1:8" s="108" customFormat="1" ht="23.1" customHeight="1">
      <c r="A344" s="157" t="s">
        <v>642</v>
      </c>
      <c r="B344" s="1263"/>
      <c r="C344" s="159" t="s">
        <v>857</v>
      </c>
      <c r="D344" s="158" t="s">
        <v>771</v>
      </c>
      <c r="E344" s="160"/>
      <c r="F344" s="170"/>
      <c r="G344" s="179"/>
      <c r="H344" s="160"/>
    </row>
    <row r="345" spans="1:8" s="108" customFormat="1" ht="23.1" customHeight="1">
      <c r="A345" s="157" t="s">
        <v>642</v>
      </c>
      <c r="B345" s="1263"/>
      <c r="C345" s="159" t="s">
        <v>857</v>
      </c>
      <c r="D345" s="158" t="s">
        <v>705</v>
      </c>
      <c r="E345" s="160"/>
      <c r="F345" s="170"/>
      <c r="G345" s="179"/>
      <c r="H345" s="160"/>
    </row>
    <row r="346" spans="1:8" s="108" customFormat="1" ht="23.1" customHeight="1">
      <c r="A346" s="157" t="s">
        <v>642</v>
      </c>
      <c r="B346" s="1263"/>
      <c r="C346" s="159" t="s">
        <v>857</v>
      </c>
      <c r="D346" s="158" t="s">
        <v>830</v>
      </c>
      <c r="E346" s="160"/>
      <c r="F346" s="170"/>
      <c r="G346" s="179"/>
      <c r="H346" s="160"/>
    </row>
    <row r="347" spans="1:8" s="108" customFormat="1" ht="23.1" customHeight="1">
      <c r="A347" s="157" t="s">
        <v>642</v>
      </c>
      <c r="B347" s="1263"/>
      <c r="C347" s="159" t="s">
        <v>857</v>
      </c>
      <c r="D347" s="158" t="s">
        <v>815</v>
      </c>
      <c r="E347" s="160"/>
      <c r="F347" s="170"/>
      <c r="G347" s="179"/>
      <c r="H347" s="160"/>
    </row>
    <row r="348" spans="1:8" s="108" customFormat="1" ht="23.1" customHeight="1">
      <c r="A348" s="157" t="s">
        <v>642</v>
      </c>
      <c r="B348" s="1263"/>
      <c r="C348" s="159" t="s">
        <v>857</v>
      </c>
      <c r="D348" s="158" t="s">
        <v>849</v>
      </c>
      <c r="E348" s="160"/>
      <c r="F348" s="170"/>
      <c r="G348" s="179"/>
      <c r="H348" s="160"/>
    </row>
    <row r="349" spans="1:8" s="108" customFormat="1" ht="23.1" customHeight="1">
      <c r="A349" s="157" t="s">
        <v>642</v>
      </c>
      <c r="B349" s="1263"/>
      <c r="C349" s="159" t="s">
        <v>857</v>
      </c>
      <c r="D349" s="158" t="s">
        <v>825</v>
      </c>
      <c r="E349" s="159"/>
      <c r="F349" s="170"/>
      <c r="G349" s="179"/>
      <c r="H349" s="159"/>
    </row>
    <row r="350" spans="1:8" s="108" customFormat="1" ht="23.1" customHeight="1">
      <c r="A350" s="157" t="s">
        <v>642</v>
      </c>
      <c r="B350" s="1263" t="s">
        <v>858</v>
      </c>
      <c r="C350" s="159" t="s">
        <v>859</v>
      </c>
      <c r="D350" s="158" t="s">
        <v>697</v>
      </c>
      <c r="E350" s="160"/>
      <c r="F350" s="170"/>
      <c r="G350" s="179"/>
      <c r="H350" s="160"/>
    </row>
    <row r="351" spans="1:8" s="108" customFormat="1" ht="23.1" customHeight="1">
      <c r="A351" s="157" t="s">
        <v>642</v>
      </c>
      <c r="B351" s="1263"/>
      <c r="C351" s="159" t="s">
        <v>859</v>
      </c>
      <c r="D351" s="158" t="s">
        <v>769</v>
      </c>
      <c r="E351" s="160"/>
      <c r="F351" s="170"/>
      <c r="G351" s="179"/>
      <c r="H351" s="160"/>
    </row>
    <row r="352" spans="1:8" s="108" customFormat="1" ht="23.1" customHeight="1">
      <c r="A352" s="157" t="s">
        <v>642</v>
      </c>
      <c r="B352" s="1263"/>
      <c r="C352" s="159" t="s">
        <v>859</v>
      </c>
      <c r="D352" s="158" t="s">
        <v>701</v>
      </c>
      <c r="E352" s="160"/>
      <c r="F352" s="170"/>
      <c r="G352" s="179"/>
      <c r="H352" s="160"/>
    </row>
    <row r="353" spans="1:8" s="108" customFormat="1" ht="23.1" customHeight="1">
      <c r="A353" s="157" t="s">
        <v>642</v>
      </c>
      <c r="B353" s="1263"/>
      <c r="C353" s="159" t="s">
        <v>859</v>
      </c>
      <c r="D353" s="158" t="s">
        <v>771</v>
      </c>
      <c r="E353" s="160"/>
      <c r="F353" s="170"/>
      <c r="G353" s="179"/>
      <c r="H353" s="160"/>
    </row>
    <row r="354" spans="1:8" s="108" customFormat="1" ht="23.1" customHeight="1">
      <c r="A354" s="157" t="s">
        <v>642</v>
      </c>
      <c r="B354" s="1263"/>
      <c r="C354" s="159" t="s">
        <v>859</v>
      </c>
      <c r="D354" s="158" t="s">
        <v>705</v>
      </c>
      <c r="E354" s="160"/>
      <c r="F354" s="170"/>
      <c r="G354" s="179"/>
      <c r="H354" s="160"/>
    </row>
    <row r="355" spans="1:8" s="108" customFormat="1" ht="23.1" customHeight="1">
      <c r="A355" s="157" t="s">
        <v>642</v>
      </c>
      <c r="B355" s="1263"/>
      <c r="C355" s="159" t="s">
        <v>859</v>
      </c>
      <c r="D355" s="158" t="s">
        <v>830</v>
      </c>
      <c r="E355" s="160"/>
      <c r="F355" s="170"/>
      <c r="G355" s="179"/>
      <c r="H355" s="160"/>
    </row>
    <row r="356" spans="1:8" s="108" customFormat="1" ht="23.1" customHeight="1">
      <c r="A356" s="157" t="s">
        <v>642</v>
      </c>
      <c r="B356" s="1263"/>
      <c r="C356" s="159" t="s">
        <v>859</v>
      </c>
      <c r="D356" s="158" t="s">
        <v>815</v>
      </c>
      <c r="E356" s="160"/>
      <c r="F356" s="170"/>
      <c r="G356" s="179"/>
      <c r="H356" s="160"/>
    </row>
    <row r="357" spans="1:8" s="108" customFormat="1" ht="23.1" customHeight="1">
      <c r="A357" s="157" t="s">
        <v>642</v>
      </c>
      <c r="B357" s="1263"/>
      <c r="C357" s="159" t="s">
        <v>859</v>
      </c>
      <c r="D357" s="158" t="s">
        <v>832</v>
      </c>
      <c r="E357" s="160"/>
      <c r="F357" s="170"/>
      <c r="G357" s="179"/>
      <c r="H357" s="160"/>
    </row>
    <row r="358" spans="1:8" s="108" customFormat="1" ht="23.1" customHeight="1">
      <c r="A358" s="157" t="s">
        <v>642</v>
      </c>
      <c r="B358" s="1263"/>
      <c r="C358" s="159" t="s">
        <v>859</v>
      </c>
      <c r="D358" s="158" t="s">
        <v>825</v>
      </c>
      <c r="E358" s="159"/>
      <c r="F358" s="170"/>
      <c r="G358" s="179"/>
      <c r="H358" s="159"/>
    </row>
    <row r="359" spans="1:8" s="108" customFormat="1" ht="23.1" customHeight="1">
      <c r="A359" s="157" t="s">
        <v>642</v>
      </c>
      <c r="B359" s="1263" t="s">
        <v>860</v>
      </c>
      <c r="C359" s="159" t="s">
        <v>861</v>
      </c>
      <c r="D359" s="158" t="s">
        <v>697</v>
      </c>
      <c r="E359" s="159"/>
      <c r="F359" s="170"/>
      <c r="G359" s="179"/>
      <c r="H359" s="159"/>
    </row>
    <row r="360" spans="1:8" s="108" customFormat="1" ht="23.1" customHeight="1">
      <c r="A360" s="157" t="s">
        <v>642</v>
      </c>
      <c r="B360" s="1263"/>
      <c r="C360" s="159" t="s">
        <v>861</v>
      </c>
      <c r="D360" s="158" t="s">
        <v>848</v>
      </c>
      <c r="E360" s="159"/>
      <c r="F360" s="170"/>
      <c r="G360" s="179"/>
      <c r="H360" s="159"/>
    </row>
    <row r="361" spans="1:8" s="108" customFormat="1" ht="23.1" customHeight="1">
      <c r="A361" s="157" t="s">
        <v>642</v>
      </c>
      <c r="B361" s="1263"/>
      <c r="C361" s="159" t="s">
        <v>861</v>
      </c>
      <c r="D361" s="158" t="s">
        <v>808</v>
      </c>
      <c r="E361" s="159"/>
      <c r="F361" s="170"/>
      <c r="G361" s="179"/>
      <c r="H361" s="159"/>
    </row>
    <row r="362" spans="1:8" s="108" customFormat="1" ht="23.1" customHeight="1">
      <c r="A362" s="157" t="s">
        <v>642</v>
      </c>
      <c r="B362" s="1263"/>
      <c r="C362" s="159" t="s">
        <v>861</v>
      </c>
      <c r="D362" s="158" t="s">
        <v>771</v>
      </c>
      <c r="E362" s="159"/>
      <c r="F362" s="170"/>
      <c r="G362" s="179"/>
      <c r="H362" s="159"/>
    </row>
    <row r="363" spans="1:8" s="108" customFormat="1" ht="23.1" customHeight="1">
      <c r="A363" s="157" t="s">
        <v>642</v>
      </c>
      <c r="B363" s="1263"/>
      <c r="C363" s="159" t="s">
        <v>861</v>
      </c>
      <c r="D363" s="158" t="s">
        <v>705</v>
      </c>
      <c r="E363" s="159"/>
      <c r="F363" s="170"/>
      <c r="G363" s="179"/>
      <c r="H363" s="159"/>
    </row>
    <row r="364" spans="1:8" s="108" customFormat="1" ht="23.1" customHeight="1">
      <c r="A364" s="157" t="s">
        <v>642</v>
      </c>
      <c r="B364" s="1263"/>
      <c r="C364" s="159" t="s">
        <v>861</v>
      </c>
      <c r="D364" s="158" t="s">
        <v>830</v>
      </c>
      <c r="E364" s="159"/>
      <c r="F364" s="170"/>
      <c r="G364" s="179"/>
      <c r="H364" s="159"/>
    </row>
    <row r="365" spans="1:8" s="108" customFormat="1" ht="23.1" customHeight="1">
      <c r="A365" s="157" t="s">
        <v>642</v>
      </c>
      <c r="B365" s="1263"/>
      <c r="C365" s="159" t="s">
        <v>861</v>
      </c>
      <c r="D365" s="158" t="s">
        <v>815</v>
      </c>
      <c r="E365" s="159"/>
      <c r="F365" s="170"/>
      <c r="G365" s="179"/>
      <c r="H365" s="159"/>
    </row>
    <row r="366" spans="1:8" s="108" customFormat="1" ht="23.1" customHeight="1">
      <c r="A366" s="157" t="s">
        <v>642</v>
      </c>
      <c r="B366" s="1263"/>
      <c r="C366" s="159" t="s">
        <v>861</v>
      </c>
      <c r="D366" s="158" t="s">
        <v>849</v>
      </c>
      <c r="E366" s="159"/>
      <c r="F366" s="170"/>
      <c r="G366" s="179"/>
      <c r="H366" s="159"/>
    </row>
    <row r="367" spans="1:8" s="108" customFormat="1" ht="23.1" customHeight="1">
      <c r="A367" s="157" t="s">
        <v>642</v>
      </c>
      <c r="B367" s="1263"/>
      <c r="C367" s="159" t="s">
        <v>861</v>
      </c>
      <c r="D367" s="158" t="s">
        <v>825</v>
      </c>
      <c r="E367" s="159"/>
      <c r="F367" s="170"/>
      <c r="G367" s="179"/>
      <c r="H367" s="159"/>
    </row>
    <row r="368" spans="1:8" s="108" customFormat="1" ht="23.1" customHeight="1">
      <c r="A368" s="157" t="s">
        <v>642</v>
      </c>
      <c r="B368" s="1263" t="s">
        <v>862</v>
      </c>
      <c r="C368" s="159" t="s">
        <v>863</v>
      </c>
      <c r="D368" s="158" t="s">
        <v>697</v>
      </c>
      <c r="E368" s="159"/>
      <c r="F368" s="170"/>
      <c r="G368" s="179"/>
      <c r="H368" s="159"/>
    </row>
    <row r="369" spans="1:8" s="108" customFormat="1" ht="23.1" customHeight="1">
      <c r="A369" s="157" t="s">
        <v>642</v>
      </c>
      <c r="B369" s="1263"/>
      <c r="C369" s="159" t="s">
        <v>863</v>
      </c>
      <c r="D369" s="158" t="s">
        <v>769</v>
      </c>
      <c r="E369" s="159"/>
      <c r="F369" s="170"/>
      <c r="G369" s="179"/>
      <c r="H369" s="159"/>
    </row>
    <row r="370" spans="1:8" s="108" customFormat="1" ht="23.1" customHeight="1">
      <c r="A370" s="157" t="s">
        <v>642</v>
      </c>
      <c r="B370" s="1263"/>
      <c r="C370" s="159" t="s">
        <v>863</v>
      </c>
      <c r="D370" s="158" t="s">
        <v>701</v>
      </c>
      <c r="E370" s="159"/>
      <c r="F370" s="170"/>
      <c r="G370" s="179"/>
      <c r="H370" s="159"/>
    </row>
    <row r="371" spans="1:8" s="108" customFormat="1" ht="23.1" customHeight="1">
      <c r="A371" s="157" t="s">
        <v>642</v>
      </c>
      <c r="B371" s="1263"/>
      <c r="C371" s="159" t="s">
        <v>863</v>
      </c>
      <c r="D371" s="158" t="s">
        <v>771</v>
      </c>
      <c r="E371" s="159"/>
      <c r="F371" s="170"/>
      <c r="G371" s="179"/>
      <c r="H371" s="159"/>
    </row>
    <row r="372" spans="1:8" s="108" customFormat="1" ht="23.1" customHeight="1">
      <c r="A372" s="157" t="s">
        <v>642</v>
      </c>
      <c r="B372" s="1263"/>
      <c r="C372" s="159" t="s">
        <v>863</v>
      </c>
      <c r="D372" s="158" t="s">
        <v>705</v>
      </c>
      <c r="E372" s="159"/>
      <c r="F372" s="170"/>
      <c r="G372" s="179"/>
      <c r="H372" s="159"/>
    </row>
    <row r="373" spans="1:8" s="108" customFormat="1" ht="23.1" customHeight="1">
      <c r="A373" s="157" t="s">
        <v>642</v>
      </c>
      <c r="B373" s="1263"/>
      <c r="C373" s="159" t="s">
        <v>863</v>
      </c>
      <c r="D373" s="158" t="s">
        <v>830</v>
      </c>
      <c r="E373" s="159"/>
      <c r="F373" s="170"/>
      <c r="G373" s="179"/>
      <c r="H373" s="159"/>
    </row>
    <row r="374" spans="1:8" s="108" customFormat="1" ht="23.1" customHeight="1">
      <c r="A374" s="157" t="s">
        <v>642</v>
      </c>
      <c r="B374" s="1263"/>
      <c r="C374" s="159" t="s">
        <v>863</v>
      </c>
      <c r="D374" s="158" t="s">
        <v>815</v>
      </c>
      <c r="E374" s="159"/>
      <c r="F374" s="170"/>
      <c r="G374" s="179"/>
      <c r="H374" s="159"/>
    </row>
    <row r="375" spans="1:8" s="108" customFormat="1" ht="23.1" customHeight="1">
      <c r="A375" s="157" t="s">
        <v>642</v>
      </c>
      <c r="B375" s="1263"/>
      <c r="C375" s="159" t="s">
        <v>863</v>
      </c>
      <c r="D375" s="158" t="s">
        <v>832</v>
      </c>
      <c r="E375" s="159"/>
      <c r="F375" s="170"/>
      <c r="G375" s="179"/>
      <c r="H375" s="159"/>
    </row>
    <row r="376" spans="1:8" s="108" customFormat="1" ht="23.1" customHeight="1">
      <c r="A376" s="157" t="s">
        <v>642</v>
      </c>
      <c r="B376" s="1263"/>
      <c r="C376" s="159" t="s">
        <v>863</v>
      </c>
      <c r="D376" s="158" t="s">
        <v>825</v>
      </c>
      <c r="E376" s="159"/>
      <c r="F376" s="170"/>
      <c r="G376" s="179"/>
      <c r="H376" s="159"/>
    </row>
    <row r="377" spans="1:8" s="108" customFormat="1" ht="23.1" customHeight="1">
      <c r="A377" s="157" t="s">
        <v>642</v>
      </c>
      <c r="B377" s="155" t="s">
        <v>864</v>
      </c>
      <c r="C377" s="155" t="s">
        <v>865</v>
      </c>
      <c r="D377" s="156"/>
      <c r="E377" s="157"/>
      <c r="F377" s="169"/>
      <c r="G377" s="178"/>
      <c r="H377" s="157"/>
    </row>
    <row r="378" spans="1:8" s="108" customFormat="1" ht="23.1" customHeight="1">
      <c r="A378" s="157" t="s">
        <v>642</v>
      </c>
      <c r="B378" s="155" t="s">
        <v>866</v>
      </c>
      <c r="C378" s="155" t="s">
        <v>867</v>
      </c>
      <c r="D378" s="156"/>
      <c r="E378" s="157"/>
      <c r="F378" s="169"/>
      <c r="G378" s="178"/>
      <c r="H378" s="157"/>
    </row>
    <row r="379" spans="1:8" s="108" customFormat="1" ht="23.1" customHeight="1">
      <c r="A379" s="157" t="s">
        <v>642</v>
      </c>
      <c r="B379" s="155" t="s">
        <v>868</v>
      </c>
      <c r="C379" s="155" t="s">
        <v>869</v>
      </c>
      <c r="D379" s="156"/>
      <c r="E379" s="157"/>
      <c r="F379" s="169"/>
      <c r="G379" s="178"/>
      <c r="H379" s="157"/>
    </row>
    <row r="380" spans="1:8" s="108" customFormat="1" ht="23.1" customHeight="1">
      <c r="A380" s="157" t="s">
        <v>642</v>
      </c>
      <c r="B380" s="155" t="s">
        <v>870</v>
      </c>
      <c r="C380" s="155" t="s">
        <v>871</v>
      </c>
      <c r="D380" s="156"/>
      <c r="E380" s="157"/>
      <c r="F380" s="169"/>
      <c r="G380" s="178"/>
      <c r="H380" s="157"/>
    </row>
    <row r="381" spans="1:8" s="108" customFormat="1" ht="23.1" customHeight="1">
      <c r="A381" s="157" t="s">
        <v>642</v>
      </c>
      <c r="B381" s="155" t="s">
        <v>872</v>
      </c>
      <c r="C381" s="155" t="s">
        <v>873</v>
      </c>
      <c r="D381" s="156"/>
      <c r="E381" s="157"/>
      <c r="F381" s="169"/>
      <c r="G381" s="178"/>
      <c r="H381" s="157"/>
    </row>
    <row r="382" spans="1:8" s="108" customFormat="1" ht="23.1" customHeight="1">
      <c r="A382" s="157" t="s">
        <v>642</v>
      </c>
      <c r="B382" s="155" t="s">
        <v>874</v>
      </c>
      <c r="C382" s="155" t="s">
        <v>875</v>
      </c>
      <c r="D382" s="156"/>
      <c r="E382" s="157"/>
      <c r="F382" s="169"/>
      <c r="G382" s="178"/>
      <c r="H382" s="157"/>
    </row>
    <row r="383" spans="1:8" s="108" customFormat="1" ht="23.1" customHeight="1">
      <c r="A383" s="157" t="s">
        <v>642</v>
      </c>
      <c r="B383" s="155" t="s">
        <v>876</v>
      </c>
      <c r="C383" s="155" t="s">
        <v>877</v>
      </c>
      <c r="D383" s="156"/>
      <c r="E383" s="157"/>
      <c r="F383" s="169"/>
      <c r="G383" s="178"/>
      <c r="H383" s="157"/>
    </row>
    <row r="384" spans="1:8" s="108" customFormat="1" ht="23.1" customHeight="1">
      <c r="A384" s="157" t="s">
        <v>642</v>
      </c>
      <c r="B384" s="155" t="s">
        <v>878</v>
      </c>
      <c r="C384" s="155" t="s">
        <v>879</v>
      </c>
      <c r="D384" s="156"/>
      <c r="E384" s="157"/>
      <c r="F384" s="169"/>
      <c r="G384" s="178"/>
      <c r="H384" s="157"/>
    </row>
    <row r="385" spans="1:8" s="108" customFormat="1" ht="23.1" customHeight="1">
      <c r="A385" s="157" t="s">
        <v>642</v>
      </c>
      <c r="B385" s="1263" t="s">
        <v>880</v>
      </c>
      <c r="C385" s="1263" t="s">
        <v>881</v>
      </c>
      <c r="D385" s="156" t="s">
        <v>882</v>
      </c>
      <c r="E385" s="157" t="s">
        <v>881</v>
      </c>
      <c r="F385" s="169"/>
      <c r="G385" s="178"/>
      <c r="H385" s="157" t="s">
        <v>881</v>
      </c>
    </row>
    <row r="386" spans="1:8" s="108" customFormat="1" ht="23.1" customHeight="1">
      <c r="A386" s="157" t="s">
        <v>642</v>
      </c>
      <c r="B386" s="1263"/>
      <c r="C386" s="1263"/>
      <c r="D386" s="156" t="s">
        <v>883</v>
      </c>
      <c r="E386" s="157" t="s">
        <v>884</v>
      </c>
      <c r="F386" s="169"/>
      <c r="G386" s="178"/>
      <c r="H386" s="157" t="s">
        <v>884</v>
      </c>
    </row>
    <row r="387" spans="1:8" s="108" customFormat="1" ht="23.1" customHeight="1">
      <c r="A387" s="157" t="s">
        <v>642</v>
      </c>
      <c r="B387" s="1263"/>
      <c r="C387" s="1263"/>
      <c r="D387" s="156" t="s">
        <v>885</v>
      </c>
      <c r="E387" s="157" t="s">
        <v>886</v>
      </c>
      <c r="F387" s="169"/>
      <c r="G387" s="178"/>
      <c r="H387" s="157" t="s">
        <v>886</v>
      </c>
    </row>
    <row r="388" spans="1:8" s="108" customFormat="1" ht="23.1" customHeight="1">
      <c r="A388" s="157" t="s">
        <v>642</v>
      </c>
      <c r="B388" s="1263"/>
      <c r="C388" s="1263"/>
      <c r="D388" s="156" t="s">
        <v>887</v>
      </c>
      <c r="E388" s="157" t="s">
        <v>888</v>
      </c>
      <c r="F388" s="169"/>
      <c r="G388" s="178"/>
      <c r="H388" s="157" t="s">
        <v>888</v>
      </c>
    </row>
    <row r="389" spans="1:8" s="108" customFormat="1" ht="23.1" customHeight="1">
      <c r="A389" s="157" t="s">
        <v>642</v>
      </c>
      <c r="B389" s="155" t="s">
        <v>889</v>
      </c>
      <c r="C389" s="155" t="s">
        <v>890</v>
      </c>
      <c r="D389" s="156"/>
      <c r="E389" s="157"/>
      <c r="F389" s="169"/>
      <c r="G389" s="178"/>
      <c r="H389" s="157"/>
    </row>
    <row r="390" spans="1:8" s="108" customFormat="1" ht="23.1" customHeight="1">
      <c r="A390" s="157" t="s">
        <v>642</v>
      </c>
      <c r="B390" s="155" t="s">
        <v>891</v>
      </c>
      <c r="C390" s="155" t="s">
        <v>892</v>
      </c>
      <c r="D390" s="156"/>
      <c r="E390" s="157"/>
      <c r="F390" s="169"/>
      <c r="G390" s="178"/>
      <c r="H390" s="157"/>
    </row>
    <row r="391" spans="1:8" s="108" customFormat="1" ht="23.1" customHeight="1">
      <c r="A391" s="157" t="s">
        <v>642</v>
      </c>
      <c r="B391" s="155" t="s">
        <v>893</v>
      </c>
      <c r="C391" s="155" t="s">
        <v>894</v>
      </c>
      <c r="D391" s="156"/>
      <c r="E391" s="157"/>
      <c r="F391" s="169"/>
      <c r="G391" s="178"/>
      <c r="H391" s="157"/>
    </row>
    <row r="392" spans="1:8" s="108" customFormat="1" ht="23.1" customHeight="1">
      <c r="A392" s="157" t="s">
        <v>642</v>
      </c>
      <c r="B392" s="155" t="s">
        <v>895</v>
      </c>
      <c r="C392" s="155" t="s">
        <v>896</v>
      </c>
      <c r="D392" s="156"/>
      <c r="E392" s="157"/>
      <c r="F392" s="169"/>
      <c r="G392" s="178"/>
      <c r="H392" s="157"/>
    </row>
    <row r="393" spans="1:8" s="108" customFormat="1" ht="23.1" customHeight="1">
      <c r="A393" s="157" t="s">
        <v>642</v>
      </c>
      <c r="B393" s="155" t="s">
        <v>897</v>
      </c>
      <c r="C393" s="155" t="s">
        <v>898</v>
      </c>
      <c r="D393" s="156"/>
      <c r="E393" s="157"/>
      <c r="F393" s="169"/>
      <c r="G393" s="178"/>
      <c r="H393" s="157"/>
    </row>
    <row r="394" spans="1:8" s="108" customFormat="1" ht="23.1" customHeight="1">
      <c r="A394" s="157" t="s">
        <v>642</v>
      </c>
      <c r="B394" s="155" t="s">
        <v>899</v>
      </c>
      <c r="C394" s="155" t="s">
        <v>900</v>
      </c>
      <c r="D394" s="156"/>
      <c r="E394" s="157"/>
      <c r="F394" s="169"/>
      <c r="G394" s="178"/>
      <c r="H394" s="157"/>
    </row>
    <row r="395" spans="1:8" s="108" customFormat="1" ht="23.1" customHeight="1">
      <c r="A395" s="157" t="s">
        <v>642</v>
      </c>
      <c r="B395" s="155" t="s">
        <v>901</v>
      </c>
      <c r="C395" s="155" t="s">
        <v>902</v>
      </c>
      <c r="D395" s="156"/>
      <c r="E395" s="157"/>
      <c r="F395" s="169"/>
      <c r="G395" s="178"/>
      <c r="H395" s="157"/>
    </row>
    <row r="396" spans="1:8" s="108" customFormat="1" ht="23.1" customHeight="1">
      <c r="A396" s="157" t="s">
        <v>642</v>
      </c>
      <c r="B396" s="155" t="s">
        <v>903</v>
      </c>
      <c r="C396" s="155" t="s">
        <v>904</v>
      </c>
      <c r="D396" s="156"/>
      <c r="E396" s="157"/>
      <c r="F396" s="169"/>
      <c r="G396" s="178"/>
      <c r="H396" s="157"/>
    </row>
    <row r="397" spans="1:8" s="108" customFormat="1" ht="23.1" customHeight="1">
      <c r="A397" s="157" t="s">
        <v>642</v>
      </c>
      <c r="B397" s="1263" t="s">
        <v>905</v>
      </c>
      <c r="C397" s="155" t="s">
        <v>906</v>
      </c>
      <c r="D397" s="156" t="s">
        <v>769</v>
      </c>
      <c r="E397" s="157"/>
      <c r="F397" s="169">
        <v>1</v>
      </c>
      <c r="G397" s="178" t="s">
        <v>907</v>
      </c>
      <c r="H397" s="157"/>
    </row>
    <row r="398" spans="1:8" s="108" customFormat="1" ht="23.1" customHeight="1">
      <c r="A398" s="157" t="s">
        <v>642</v>
      </c>
      <c r="B398" s="1263"/>
      <c r="C398" s="155" t="s">
        <v>906</v>
      </c>
      <c r="D398" s="1266" t="s">
        <v>697</v>
      </c>
      <c r="E398" s="1266" t="s">
        <v>410</v>
      </c>
      <c r="F398" s="169">
        <v>1</v>
      </c>
      <c r="G398" s="178" t="s">
        <v>908</v>
      </c>
      <c r="H398" s="1266" t="s">
        <v>410</v>
      </c>
    </row>
    <row r="399" spans="1:8" s="108" customFormat="1" ht="23.1" customHeight="1">
      <c r="A399" s="157" t="s">
        <v>642</v>
      </c>
      <c r="B399" s="1263"/>
      <c r="C399" s="155" t="s">
        <v>906</v>
      </c>
      <c r="D399" s="1266"/>
      <c r="E399" s="1266"/>
      <c r="F399" s="169">
        <v>2</v>
      </c>
      <c r="G399" s="178" t="s">
        <v>909</v>
      </c>
      <c r="H399" s="1266"/>
    </row>
    <row r="400" spans="1:8" s="108" customFormat="1" ht="23.1" customHeight="1">
      <c r="A400" s="157" t="s">
        <v>642</v>
      </c>
      <c r="B400" s="1263"/>
      <c r="C400" s="155" t="s">
        <v>906</v>
      </c>
      <c r="D400" s="1266"/>
      <c r="E400" s="1266"/>
      <c r="F400" s="169">
        <v>3</v>
      </c>
      <c r="G400" s="178" t="s">
        <v>910</v>
      </c>
      <c r="H400" s="1266"/>
    </row>
    <row r="401" spans="1:8" s="108" customFormat="1" ht="23.1" customHeight="1">
      <c r="A401" s="157" t="s">
        <v>642</v>
      </c>
      <c r="B401" s="1263"/>
      <c r="C401" s="155" t="s">
        <v>906</v>
      </c>
      <c r="D401" s="156" t="s">
        <v>771</v>
      </c>
      <c r="E401" s="157"/>
      <c r="F401" s="169">
        <v>1</v>
      </c>
      <c r="G401" s="178" t="s">
        <v>911</v>
      </c>
      <c r="H401" s="157"/>
    </row>
    <row r="402" spans="1:8" s="108" customFormat="1" ht="23.1" customHeight="1">
      <c r="A402" s="157" t="s">
        <v>642</v>
      </c>
      <c r="B402" s="1263"/>
      <c r="C402" s="1263" t="s">
        <v>906</v>
      </c>
      <c r="D402" s="1266" t="s">
        <v>705</v>
      </c>
      <c r="E402" s="157"/>
      <c r="F402" s="169">
        <v>1</v>
      </c>
      <c r="G402" s="178" t="s">
        <v>912</v>
      </c>
      <c r="H402" s="157"/>
    </row>
    <row r="403" spans="1:8" s="108" customFormat="1" ht="23.1" customHeight="1">
      <c r="A403" s="157" t="s">
        <v>642</v>
      </c>
      <c r="B403" s="1263"/>
      <c r="C403" s="1263"/>
      <c r="D403" s="1266"/>
      <c r="E403" s="157"/>
      <c r="F403" s="169">
        <v>2</v>
      </c>
      <c r="G403" s="178" t="s">
        <v>913</v>
      </c>
      <c r="H403" s="157"/>
    </row>
    <row r="404" spans="1:8" s="108" customFormat="1" ht="23.1" customHeight="1">
      <c r="A404" s="157" t="s">
        <v>642</v>
      </c>
      <c r="B404" s="1263"/>
      <c r="C404" s="1263"/>
      <c r="D404" s="1266"/>
      <c r="E404" s="157"/>
      <c r="F404" s="169">
        <v>3</v>
      </c>
      <c r="G404" s="178" t="s">
        <v>914</v>
      </c>
      <c r="H404" s="157"/>
    </row>
    <row r="405" spans="1:8" s="108" customFormat="1" ht="23.1" customHeight="1">
      <c r="A405" s="157" t="s">
        <v>642</v>
      </c>
      <c r="B405" s="1263"/>
      <c r="C405" s="155" t="s">
        <v>906</v>
      </c>
      <c r="D405" s="156" t="s">
        <v>830</v>
      </c>
      <c r="E405" s="157"/>
      <c r="F405" s="169">
        <v>1</v>
      </c>
      <c r="G405" s="178" t="s">
        <v>915</v>
      </c>
      <c r="H405" s="157"/>
    </row>
    <row r="406" spans="1:8" s="108" customFormat="1" ht="23.1" customHeight="1">
      <c r="A406" s="157" t="s">
        <v>642</v>
      </c>
      <c r="B406" s="1263"/>
      <c r="C406" s="1263" t="s">
        <v>906</v>
      </c>
      <c r="D406" s="1266" t="s">
        <v>815</v>
      </c>
      <c r="E406" s="157"/>
      <c r="F406" s="169">
        <v>1</v>
      </c>
      <c r="G406" s="178" t="s">
        <v>916</v>
      </c>
      <c r="H406" s="157"/>
    </row>
    <row r="407" spans="1:8" s="108" customFormat="1" ht="23.1" customHeight="1">
      <c r="A407" s="157" t="s">
        <v>642</v>
      </c>
      <c r="B407" s="1263"/>
      <c r="C407" s="1263"/>
      <c r="D407" s="1266"/>
      <c r="E407" s="157"/>
      <c r="F407" s="169">
        <v>2</v>
      </c>
      <c r="G407" s="178" t="s">
        <v>917</v>
      </c>
      <c r="H407" s="157"/>
    </row>
    <row r="408" spans="1:8" s="108" customFormat="1" ht="23.1" customHeight="1">
      <c r="A408" s="157" t="s">
        <v>642</v>
      </c>
      <c r="B408" s="1263"/>
      <c r="C408" s="155" t="s">
        <v>906</v>
      </c>
      <c r="D408" s="156" t="s">
        <v>824</v>
      </c>
      <c r="E408" s="157"/>
      <c r="F408" s="169">
        <v>1</v>
      </c>
      <c r="G408" s="178" t="s">
        <v>918</v>
      </c>
      <c r="H408" s="157"/>
    </row>
    <row r="409" spans="1:8" s="108" customFormat="1" ht="23.1" customHeight="1">
      <c r="A409" s="157" t="s">
        <v>642</v>
      </c>
      <c r="B409" s="1263"/>
      <c r="C409" s="155" t="s">
        <v>906</v>
      </c>
      <c r="D409" s="156" t="s">
        <v>825</v>
      </c>
      <c r="E409" s="157"/>
      <c r="F409" s="169">
        <v>1</v>
      </c>
      <c r="G409" s="178" t="s">
        <v>919</v>
      </c>
      <c r="H409" s="157"/>
    </row>
    <row r="410" spans="1:8" s="108" customFormat="1" ht="23.1" customHeight="1">
      <c r="A410" s="157" t="s">
        <v>642</v>
      </c>
      <c r="B410" s="1263"/>
      <c r="C410" s="155" t="s">
        <v>906</v>
      </c>
      <c r="D410" s="156" t="s">
        <v>920</v>
      </c>
      <c r="E410" s="157"/>
      <c r="F410" s="169">
        <v>1</v>
      </c>
      <c r="G410" s="178" t="s">
        <v>921</v>
      </c>
      <c r="H410" s="157"/>
    </row>
    <row r="411" spans="1:8" s="108" customFormat="1" ht="23.1" customHeight="1">
      <c r="A411" s="157" t="s">
        <v>642</v>
      </c>
      <c r="B411" s="1263" t="s">
        <v>922</v>
      </c>
      <c r="C411" s="155" t="s">
        <v>923</v>
      </c>
      <c r="D411" s="156" t="s">
        <v>769</v>
      </c>
      <c r="E411" s="157"/>
      <c r="F411" s="169">
        <v>1</v>
      </c>
      <c r="G411" s="178" t="s">
        <v>924</v>
      </c>
      <c r="H411" s="157"/>
    </row>
    <row r="412" spans="1:8" s="108" customFormat="1" ht="23.1" customHeight="1">
      <c r="A412" s="157" t="s">
        <v>642</v>
      </c>
      <c r="B412" s="1263"/>
      <c r="C412" s="155" t="s">
        <v>923</v>
      </c>
      <c r="D412" s="156" t="s">
        <v>771</v>
      </c>
      <c r="E412" s="157"/>
      <c r="F412" s="169">
        <v>1</v>
      </c>
      <c r="G412" s="178" t="s">
        <v>911</v>
      </c>
      <c r="H412" s="157"/>
    </row>
    <row r="413" spans="1:8" s="108" customFormat="1" ht="23.1" customHeight="1">
      <c r="A413" s="157" t="s">
        <v>642</v>
      </c>
      <c r="B413" s="1263"/>
      <c r="C413" s="1263" t="s">
        <v>923</v>
      </c>
      <c r="D413" s="1266" t="s">
        <v>705</v>
      </c>
      <c r="E413" s="157"/>
      <c r="F413" s="169">
        <v>1</v>
      </c>
      <c r="G413" s="178" t="s">
        <v>912</v>
      </c>
      <c r="H413" s="157"/>
    </row>
    <row r="414" spans="1:8" s="108" customFormat="1" ht="23.1" customHeight="1">
      <c r="A414" s="157" t="s">
        <v>642</v>
      </c>
      <c r="B414" s="1263"/>
      <c r="C414" s="1263"/>
      <c r="D414" s="1266"/>
      <c r="E414" s="157"/>
      <c r="F414" s="169">
        <v>2</v>
      </c>
      <c r="G414" s="178" t="s">
        <v>913</v>
      </c>
      <c r="H414" s="157"/>
    </row>
    <row r="415" spans="1:8" s="108" customFormat="1" ht="23.1" customHeight="1">
      <c r="A415" s="157" t="s">
        <v>642</v>
      </c>
      <c r="B415" s="1263"/>
      <c r="C415" s="1263"/>
      <c r="D415" s="1266"/>
      <c r="E415" s="157"/>
      <c r="F415" s="169">
        <v>3</v>
      </c>
      <c r="G415" s="178" t="s">
        <v>914</v>
      </c>
      <c r="H415" s="157"/>
    </row>
    <row r="416" spans="1:8" s="108" customFormat="1" ht="23.1" customHeight="1">
      <c r="A416" s="157" t="s">
        <v>642</v>
      </c>
      <c r="B416" s="1263"/>
      <c r="C416" s="1263" t="s">
        <v>923</v>
      </c>
      <c r="D416" s="1266" t="s">
        <v>815</v>
      </c>
      <c r="E416" s="157"/>
      <c r="F416" s="169">
        <v>1</v>
      </c>
      <c r="G416" s="178" t="s">
        <v>916</v>
      </c>
      <c r="H416" s="157"/>
    </row>
    <row r="417" spans="1:8" s="108" customFormat="1" ht="23.1" customHeight="1">
      <c r="A417" s="157" t="s">
        <v>642</v>
      </c>
      <c r="B417" s="1263"/>
      <c r="C417" s="1263"/>
      <c r="D417" s="1266"/>
      <c r="E417" s="157"/>
      <c r="F417" s="169">
        <v>2</v>
      </c>
      <c r="G417" s="178" t="s">
        <v>917</v>
      </c>
      <c r="H417" s="157"/>
    </row>
    <row r="418" spans="1:8" s="108" customFormat="1" ht="23.1" customHeight="1">
      <c r="A418" s="157" t="s">
        <v>642</v>
      </c>
      <c r="B418" s="1263"/>
      <c r="C418" s="155" t="s">
        <v>923</v>
      </c>
      <c r="D418" s="156" t="s">
        <v>824</v>
      </c>
      <c r="E418" s="157"/>
      <c r="F418" s="169">
        <v>1</v>
      </c>
      <c r="G418" s="178" t="s">
        <v>918</v>
      </c>
      <c r="H418" s="157"/>
    </row>
    <row r="419" spans="1:8" s="108" customFormat="1" ht="23.1" customHeight="1">
      <c r="A419" s="157" t="s">
        <v>642</v>
      </c>
      <c r="B419" s="1263"/>
      <c r="C419" s="155" t="s">
        <v>923</v>
      </c>
      <c r="D419" s="156" t="s">
        <v>825</v>
      </c>
      <c r="E419" s="157"/>
      <c r="F419" s="169">
        <v>1</v>
      </c>
      <c r="G419" s="178" t="s">
        <v>919</v>
      </c>
      <c r="H419" s="157"/>
    </row>
    <row r="420" spans="1:8" s="108" customFormat="1" ht="23.1" customHeight="1">
      <c r="A420" s="157" t="s">
        <v>642</v>
      </c>
      <c r="B420" s="1263"/>
      <c r="C420" s="155" t="s">
        <v>923</v>
      </c>
      <c r="D420" s="156" t="s">
        <v>920</v>
      </c>
      <c r="E420" s="157"/>
      <c r="F420" s="169">
        <v>1</v>
      </c>
      <c r="G420" s="178" t="s">
        <v>921</v>
      </c>
      <c r="H420" s="157"/>
    </row>
    <row r="421" spans="1:8" s="108" customFormat="1" ht="23.1" customHeight="1">
      <c r="A421" s="157" t="s">
        <v>642</v>
      </c>
      <c r="B421" s="1263" t="s">
        <v>925</v>
      </c>
      <c r="C421" s="155" t="s">
        <v>926</v>
      </c>
      <c r="D421" s="156" t="s">
        <v>769</v>
      </c>
      <c r="E421" s="157"/>
      <c r="F421" s="169">
        <v>1</v>
      </c>
      <c r="G421" s="178" t="s">
        <v>924</v>
      </c>
      <c r="H421" s="157"/>
    </row>
    <row r="422" spans="1:8" s="108" customFormat="1" ht="23.1" customHeight="1">
      <c r="A422" s="157" t="s">
        <v>642</v>
      </c>
      <c r="B422" s="1263"/>
      <c r="C422" s="155" t="s">
        <v>926</v>
      </c>
      <c r="D422" s="1266" t="s">
        <v>697</v>
      </c>
      <c r="E422" s="1266" t="s">
        <v>410</v>
      </c>
      <c r="F422" s="169">
        <v>1</v>
      </c>
      <c r="G422" s="178" t="s">
        <v>908</v>
      </c>
      <c r="H422" s="1266" t="s">
        <v>410</v>
      </c>
    </row>
    <row r="423" spans="1:8" s="108" customFormat="1" ht="23.1" customHeight="1">
      <c r="A423" s="157" t="s">
        <v>642</v>
      </c>
      <c r="B423" s="1263"/>
      <c r="C423" s="155" t="s">
        <v>926</v>
      </c>
      <c r="D423" s="1266"/>
      <c r="E423" s="1266"/>
      <c r="F423" s="169">
        <v>2</v>
      </c>
      <c r="G423" s="178" t="s">
        <v>909</v>
      </c>
      <c r="H423" s="1266"/>
    </row>
    <row r="424" spans="1:8" s="108" customFormat="1" ht="23.1" customHeight="1">
      <c r="A424" s="157" t="s">
        <v>642</v>
      </c>
      <c r="B424" s="1263"/>
      <c r="C424" s="155" t="s">
        <v>926</v>
      </c>
      <c r="D424" s="1266"/>
      <c r="E424" s="1266"/>
      <c r="F424" s="169">
        <v>3</v>
      </c>
      <c r="G424" s="178" t="s">
        <v>910</v>
      </c>
      <c r="H424" s="1266"/>
    </row>
    <row r="425" spans="1:8" s="108" customFormat="1" ht="23.1" customHeight="1">
      <c r="A425" s="157" t="s">
        <v>642</v>
      </c>
      <c r="B425" s="1263"/>
      <c r="C425" s="155" t="s">
        <v>926</v>
      </c>
      <c r="D425" s="156" t="s">
        <v>771</v>
      </c>
      <c r="E425" s="157"/>
      <c r="F425" s="169">
        <v>1</v>
      </c>
      <c r="G425" s="178" t="s">
        <v>911</v>
      </c>
      <c r="H425" s="157"/>
    </row>
    <row r="426" spans="1:8" s="108" customFormat="1" ht="23.1" customHeight="1">
      <c r="A426" s="157" t="s">
        <v>642</v>
      </c>
      <c r="B426" s="1263"/>
      <c r="C426" s="1263" t="s">
        <v>926</v>
      </c>
      <c r="D426" s="1266" t="s">
        <v>705</v>
      </c>
      <c r="E426" s="157"/>
      <c r="F426" s="169">
        <v>1</v>
      </c>
      <c r="G426" s="178" t="s">
        <v>912</v>
      </c>
      <c r="H426" s="157"/>
    </row>
    <row r="427" spans="1:8" s="108" customFormat="1" ht="23.1" customHeight="1">
      <c r="A427" s="157" t="s">
        <v>642</v>
      </c>
      <c r="B427" s="1263"/>
      <c r="C427" s="1263"/>
      <c r="D427" s="1266"/>
      <c r="E427" s="157"/>
      <c r="F427" s="169">
        <v>2</v>
      </c>
      <c r="G427" s="178" t="s">
        <v>913</v>
      </c>
      <c r="H427" s="157"/>
    </row>
    <row r="428" spans="1:8" s="108" customFormat="1" ht="23.1" customHeight="1">
      <c r="A428" s="157" t="s">
        <v>642</v>
      </c>
      <c r="B428" s="1263"/>
      <c r="C428" s="1263"/>
      <c r="D428" s="1266"/>
      <c r="E428" s="157"/>
      <c r="F428" s="169">
        <v>3</v>
      </c>
      <c r="G428" s="178" t="s">
        <v>914</v>
      </c>
      <c r="H428" s="157"/>
    </row>
    <row r="429" spans="1:8" s="108" customFormat="1" ht="23.1" customHeight="1">
      <c r="A429" s="157" t="s">
        <v>642</v>
      </c>
      <c r="B429" s="1263"/>
      <c r="C429" s="1263" t="s">
        <v>926</v>
      </c>
      <c r="D429" s="1266" t="s">
        <v>815</v>
      </c>
      <c r="E429" s="157"/>
      <c r="F429" s="169">
        <v>1</v>
      </c>
      <c r="G429" s="178" t="s">
        <v>916</v>
      </c>
      <c r="H429" s="157"/>
    </row>
    <row r="430" spans="1:8" s="108" customFormat="1" ht="23.1" customHeight="1">
      <c r="A430" s="157" t="s">
        <v>642</v>
      </c>
      <c r="B430" s="1263"/>
      <c r="C430" s="1263"/>
      <c r="D430" s="1266"/>
      <c r="E430" s="157"/>
      <c r="F430" s="169">
        <v>2</v>
      </c>
      <c r="G430" s="178" t="s">
        <v>917</v>
      </c>
      <c r="H430" s="157"/>
    </row>
    <row r="431" spans="1:8" s="108" customFormat="1" ht="23.1" customHeight="1">
      <c r="A431" s="157" t="s">
        <v>642</v>
      </c>
      <c r="B431" s="1263"/>
      <c r="C431" s="155" t="s">
        <v>926</v>
      </c>
      <c r="D431" s="156" t="s">
        <v>825</v>
      </c>
      <c r="E431" s="157"/>
      <c r="F431" s="169">
        <v>1</v>
      </c>
      <c r="G431" s="178" t="s">
        <v>919</v>
      </c>
      <c r="H431" s="157"/>
    </row>
    <row r="432" spans="1:8" s="108" customFormat="1" ht="31.5">
      <c r="A432" s="157" t="s">
        <v>642</v>
      </c>
      <c r="B432" s="1263"/>
      <c r="C432" s="155" t="s">
        <v>926</v>
      </c>
      <c r="D432" s="156" t="s">
        <v>920</v>
      </c>
      <c r="E432" s="157"/>
      <c r="F432" s="169">
        <v>1</v>
      </c>
      <c r="G432" s="178" t="s">
        <v>921</v>
      </c>
      <c r="H432" s="157"/>
    </row>
    <row r="433" spans="1:8" s="108" customFormat="1">
      <c r="A433" s="157" t="s">
        <v>642</v>
      </c>
      <c r="B433" s="1263" t="s">
        <v>927</v>
      </c>
      <c r="C433" s="171" t="s">
        <v>928</v>
      </c>
      <c r="D433" s="161" t="s">
        <v>701</v>
      </c>
      <c r="E433" s="162"/>
      <c r="F433" s="172"/>
      <c r="G433" s="180"/>
      <c r="H433" s="162"/>
    </row>
    <row r="434" spans="1:8" s="108" customFormat="1" ht="31.5">
      <c r="A434" s="157" t="s">
        <v>642</v>
      </c>
      <c r="B434" s="1263"/>
      <c r="C434" s="171" t="s">
        <v>928</v>
      </c>
      <c r="D434" s="161" t="s">
        <v>769</v>
      </c>
      <c r="E434" s="162"/>
      <c r="F434" s="172">
        <v>1</v>
      </c>
      <c r="G434" s="180" t="s">
        <v>924</v>
      </c>
      <c r="H434" s="162"/>
    </row>
    <row r="435" spans="1:8" s="108" customFormat="1" ht="31.5">
      <c r="A435" s="157" t="s">
        <v>642</v>
      </c>
      <c r="B435" s="1263"/>
      <c r="C435" s="171" t="s">
        <v>928</v>
      </c>
      <c r="D435" s="161" t="s">
        <v>771</v>
      </c>
      <c r="E435" s="162"/>
      <c r="F435" s="172">
        <v>1</v>
      </c>
      <c r="G435" s="180" t="s">
        <v>911</v>
      </c>
      <c r="H435" s="162"/>
    </row>
    <row r="436" spans="1:8" s="108" customFormat="1" ht="47.25">
      <c r="A436" s="157" t="s">
        <v>642</v>
      </c>
      <c r="B436" s="1263"/>
      <c r="C436" s="1270" t="s">
        <v>928</v>
      </c>
      <c r="D436" s="1271" t="s">
        <v>705</v>
      </c>
      <c r="E436" s="162"/>
      <c r="F436" s="172">
        <v>1</v>
      </c>
      <c r="G436" s="180" t="s">
        <v>912</v>
      </c>
      <c r="H436" s="162"/>
    </row>
    <row r="437" spans="1:8" s="108" customFormat="1" ht="31.5">
      <c r="A437" s="157" t="s">
        <v>642</v>
      </c>
      <c r="B437" s="1263"/>
      <c r="C437" s="1270"/>
      <c r="D437" s="1271"/>
      <c r="E437" s="162"/>
      <c r="F437" s="172">
        <v>2</v>
      </c>
      <c r="G437" s="180" t="s">
        <v>913</v>
      </c>
      <c r="H437" s="162"/>
    </row>
    <row r="438" spans="1:8" s="108" customFormat="1" ht="31.5">
      <c r="A438" s="157" t="s">
        <v>642</v>
      </c>
      <c r="B438" s="1263"/>
      <c r="C438" s="1270"/>
      <c r="D438" s="1271"/>
      <c r="E438" s="162"/>
      <c r="F438" s="172">
        <v>3</v>
      </c>
      <c r="G438" s="180" t="s">
        <v>914</v>
      </c>
      <c r="H438" s="162"/>
    </row>
    <row r="439" spans="1:8" s="108" customFormat="1" ht="31.5">
      <c r="A439" s="157" t="s">
        <v>642</v>
      </c>
      <c r="B439" s="1263"/>
      <c r="C439" s="1270" t="s">
        <v>928</v>
      </c>
      <c r="D439" s="1271" t="s">
        <v>815</v>
      </c>
      <c r="E439" s="162"/>
      <c r="F439" s="172">
        <v>1</v>
      </c>
      <c r="G439" s="180" t="s">
        <v>916</v>
      </c>
      <c r="H439" s="162"/>
    </row>
    <row r="440" spans="1:8" s="108" customFormat="1" ht="31.5">
      <c r="A440" s="157" t="s">
        <v>642</v>
      </c>
      <c r="B440" s="1263"/>
      <c r="C440" s="1270"/>
      <c r="D440" s="1271"/>
      <c r="E440" s="162"/>
      <c r="F440" s="172">
        <v>2</v>
      </c>
      <c r="G440" s="180" t="s">
        <v>917</v>
      </c>
      <c r="H440" s="162"/>
    </row>
    <row r="441" spans="1:8" s="108" customFormat="1" ht="31.5">
      <c r="A441" s="157" t="s">
        <v>642</v>
      </c>
      <c r="B441" s="1263"/>
      <c r="C441" s="171" t="s">
        <v>928</v>
      </c>
      <c r="D441" s="161" t="s">
        <v>824</v>
      </c>
      <c r="E441" s="162"/>
      <c r="F441" s="172">
        <v>1</v>
      </c>
      <c r="G441" s="180" t="s">
        <v>918</v>
      </c>
      <c r="H441" s="162"/>
    </row>
    <row r="442" spans="1:8" s="108" customFormat="1" ht="31.5">
      <c r="A442" s="157" t="s">
        <v>642</v>
      </c>
      <c r="B442" s="1263"/>
      <c r="C442" s="171" t="s">
        <v>928</v>
      </c>
      <c r="D442" s="161" t="s">
        <v>825</v>
      </c>
      <c r="E442" s="162"/>
      <c r="F442" s="172">
        <v>1</v>
      </c>
      <c r="G442" s="180" t="s">
        <v>919</v>
      </c>
      <c r="H442" s="162"/>
    </row>
    <row r="443" spans="1:8" s="108" customFormat="1" ht="31.5">
      <c r="A443" s="157" t="s">
        <v>642</v>
      </c>
      <c r="B443" s="1263"/>
      <c r="C443" s="171" t="s">
        <v>928</v>
      </c>
      <c r="D443" s="161" t="s">
        <v>920</v>
      </c>
      <c r="E443" s="162"/>
      <c r="F443" s="172">
        <v>1</v>
      </c>
      <c r="G443" s="180" t="s">
        <v>921</v>
      </c>
      <c r="H443" s="162"/>
    </row>
    <row r="444" spans="1:8" s="108" customFormat="1" ht="31.5">
      <c r="A444" s="157" t="s">
        <v>642</v>
      </c>
      <c r="B444" s="1263"/>
      <c r="C444" s="1270" t="s">
        <v>928</v>
      </c>
      <c r="D444" s="1271" t="s">
        <v>929</v>
      </c>
      <c r="E444" s="162"/>
      <c r="F444" s="172">
        <v>1</v>
      </c>
      <c r="G444" s="180" t="s">
        <v>930</v>
      </c>
      <c r="H444" s="162"/>
    </row>
    <row r="445" spans="1:8" s="108" customFormat="1" ht="31.5">
      <c r="A445" s="157" t="s">
        <v>642</v>
      </c>
      <c r="B445" s="1263"/>
      <c r="C445" s="1270"/>
      <c r="D445" s="1271"/>
      <c r="E445" s="162"/>
      <c r="F445" s="172">
        <v>2</v>
      </c>
      <c r="G445" s="180" t="s">
        <v>918</v>
      </c>
      <c r="H445" s="162"/>
    </row>
    <row r="446" spans="1:8" s="108" customFormat="1" ht="31.5">
      <c r="A446" s="157" t="s">
        <v>642</v>
      </c>
      <c r="B446" s="1263"/>
      <c r="C446" s="1270" t="s">
        <v>928</v>
      </c>
      <c r="D446" s="1271" t="s">
        <v>931</v>
      </c>
      <c r="E446" s="162"/>
      <c r="F446" s="172">
        <v>1</v>
      </c>
      <c r="G446" s="180" t="s">
        <v>932</v>
      </c>
      <c r="H446" s="162"/>
    </row>
    <row r="447" spans="1:8" s="108" customFormat="1" ht="31.5">
      <c r="A447" s="157" t="s">
        <v>642</v>
      </c>
      <c r="B447" s="1263"/>
      <c r="C447" s="1270"/>
      <c r="D447" s="1271"/>
      <c r="E447" s="162"/>
      <c r="F447" s="172">
        <v>2</v>
      </c>
      <c r="G447" s="180" t="s">
        <v>933</v>
      </c>
      <c r="H447" s="162"/>
    </row>
    <row r="448" spans="1:8" s="108" customFormat="1">
      <c r="A448" s="157" t="s">
        <v>642</v>
      </c>
      <c r="B448" s="1263"/>
      <c r="C448" s="1270"/>
      <c r="D448" s="1271"/>
      <c r="E448" s="162"/>
      <c r="F448" s="172">
        <v>3</v>
      </c>
      <c r="G448" s="180" t="s">
        <v>934</v>
      </c>
      <c r="H448" s="162"/>
    </row>
    <row r="449" spans="1:8" s="108" customFormat="1" ht="31.5">
      <c r="A449" s="157" t="s">
        <v>642</v>
      </c>
      <c r="B449" s="1263"/>
      <c r="C449" s="1270"/>
      <c r="D449" s="1271"/>
      <c r="E449" s="162"/>
      <c r="F449" s="172">
        <v>4</v>
      </c>
      <c r="G449" s="180" t="s">
        <v>935</v>
      </c>
      <c r="H449" s="162"/>
    </row>
    <row r="450" spans="1:8" s="108" customFormat="1">
      <c r="A450" s="157" t="s">
        <v>642</v>
      </c>
      <c r="B450" s="1263"/>
      <c r="C450" s="1270"/>
      <c r="D450" s="1271"/>
      <c r="E450" s="162"/>
      <c r="F450" s="172">
        <v>5</v>
      </c>
      <c r="G450" s="180" t="s">
        <v>936</v>
      </c>
      <c r="H450" s="162"/>
    </row>
    <row r="451" spans="1:8" s="108" customFormat="1" ht="31.5">
      <c r="A451" s="157" t="s">
        <v>642</v>
      </c>
      <c r="B451" s="1263"/>
      <c r="C451" s="1270"/>
      <c r="D451" s="1271"/>
      <c r="E451" s="162"/>
      <c r="F451" s="172">
        <v>6</v>
      </c>
      <c r="G451" s="180" t="s">
        <v>937</v>
      </c>
      <c r="H451" s="162"/>
    </row>
    <row r="452" spans="1:8" s="108" customFormat="1">
      <c r="A452" s="157" t="s">
        <v>642</v>
      </c>
      <c r="B452" s="1263"/>
      <c r="C452" s="1270" t="s">
        <v>928</v>
      </c>
      <c r="D452" s="1272" t="s">
        <v>938</v>
      </c>
      <c r="E452" s="162"/>
      <c r="F452" s="172">
        <v>1</v>
      </c>
      <c r="G452" s="180" t="s">
        <v>939</v>
      </c>
      <c r="H452" s="162"/>
    </row>
    <row r="453" spans="1:8" s="108" customFormat="1" ht="31.5">
      <c r="A453" s="157" t="s">
        <v>642</v>
      </c>
      <c r="B453" s="1263"/>
      <c r="C453" s="1270"/>
      <c r="D453" s="1272"/>
      <c r="E453" s="162"/>
      <c r="F453" s="172">
        <v>2</v>
      </c>
      <c r="G453" s="180" t="s">
        <v>940</v>
      </c>
      <c r="H453" s="162"/>
    </row>
    <row r="454" spans="1:8" s="108" customFormat="1" ht="31.5">
      <c r="A454" s="157" t="s">
        <v>642</v>
      </c>
      <c r="B454" s="1263"/>
      <c r="C454" s="1270"/>
      <c r="D454" s="1272"/>
      <c r="E454" s="162"/>
      <c r="F454" s="172">
        <v>3</v>
      </c>
      <c r="G454" s="180" t="s">
        <v>941</v>
      </c>
      <c r="H454" s="162"/>
    </row>
    <row r="455" spans="1:8" s="108" customFormat="1" ht="31.5">
      <c r="A455" s="157" t="s">
        <v>642</v>
      </c>
      <c r="B455" s="1263"/>
      <c r="C455" s="1270"/>
      <c r="D455" s="1272"/>
      <c r="E455" s="162"/>
      <c r="F455" s="172">
        <v>4</v>
      </c>
      <c r="G455" s="180" t="s">
        <v>942</v>
      </c>
      <c r="H455" s="162"/>
    </row>
    <row r="456" spans="1:8" s="108" customFormat="1" ht="47.25">
      <c r="A456" s="157" t="s">
        <v>642</v>
      </c>
      <c r="B456" s="155" t="s">
        <v>943</v>
      </c>
      <c r="C456" s="155" t="s">
        <v>928</v>
      </c>
      <c r="D456" s="156" t="s">
        <v>944</v>
      </c>
      <c r="E456" s="163"/>
      <c r="F456" s="173"/>
      <c r="G456" s="181"/>
      <c r="H456" s="163"/>
    </row>
    <row r="457" spans="1:8" s="108" customFormat="1" ht="47.25">
      <c r="A457" s="157" t="s">
        <v>642</v>
      </c>
      <c r="B457" s="155" t="s">
        <v>945</v>
      </c>
      <c r="C457" s="155" t="s">
        <v>928</v>
      </c>
      <c r="D457" s="156" t="s">
        <v>944</v>
      </c>
      <c r="E457" s="163"/>
      <c r="F457" s="173"/>
      <c r="G457" s="181"/>
      <c r="H457" s="163"/>
    </row>
    <row r="458" spans="1:8" s="108" customFormat="1" ht="31.5">
      <c r="A458" s="157" t="s">
        <v>642</v>
      </c>
      <c r="B458" s="155" t="s">
        <v>946</v>
      </c>
      <c r="C458" s="155" t="s">
        <v>947</v>
      </c>
      <c r="D458" s="156"/>
      <c r="E458" s="163"/>
      <c r="F458" s="173"/>
      <c r="G458" s="181"/>
      <c r="H458" s="163"/>
    </row>
    <row r="459" spans="1:8" s="108" customFormat="1" ht="31.5">
      <c r="A459" s="157" t="s">
        <v>642</v>
      </c>
      <c r="B459" s="1263" t="s">
        <v>948</v>
      </c>
      <c r="C459" s="155" t="s">
        <v>949</v>
      </c>
      <c r="D459" s="156" t="s">
        <v>769</v>
      </c>
      <c r="E459" s="157"/>
      <c r="F459" s="169">
        <v>1</v>
      </c>
      <c r="G459" s="178" t="s">
        <v>924</v>
      </c>
      <c r="H459" s="157"/>
    </row>
    <row r="460" spans="1:8" s="108" customFormat="1" ht="31.5">
      <c r="A460" s="157" t="s">
        <v>642</v>
      </c>
      <c r="B460" s="1263"/>
      <c r="C460" s="155" t="s">
        <v>949</v>
      </c>
      <c r="D460" s="1266" t="s">
        <v>697</v>
      </c>
      <c r="E460" s="1266" t="s">
        <v>410</v>
      </c>
      <c r="F460" s="169">
        <v>1</v>
      </c>
      <c r="G460" s="178" t="s">
        <v>908</v>
      </c>
      <c r="H460" s="1266" t="s">
        <v>410</v>
      </c>
    </row>
    <row r="461" spans="1:8" s="108" customFormat="1">
      <c r="A461" s="157" t="s">
        <v>642</v>
      </c>
      <c r="B461" s="1263"/>
      <c r="C461" s="155" t="s">
        <v>949</v>
      </c>
      <c r="D461" s="1266"/>
      <c r="E461" s="1266"/>
      <c r="F461" s="169">
        <v>2</v>
      </c>
      <c r="G461" s="178" t="s">
        <v>909</v>
      </c>
      <c r="H461" s="1266"/>
    </row>
    <row r="462" spans="1:8" s="108" customFormat="1">
      <c r="A462" s="157" t="s">
        <v>642</v>
      </c>
      <c r="B462" s="1263"/>
      <c r="C462" s="155" t="s">
        <v>949</v>
      </c>
      <c r="D462" s="1266"/>
      <c r="E462" s="1266"/>
      <c r="F462" s="169">
        <v>3</v>
      </c>
      <c r="G462" s="178" t="s">
        <v>910</v>
      </c>
      <c r="H462" s="1266"/>
    </row>
    <row r="463" spans="1:8" s="108" customFormat="1" ht="31.5">
      <c r="A463" s="157" t="s">
        <v>642</v>
      </c>
      <c r="B463" s="1263"/>
      <c r="C463" s="155" t="s">
        <v>949</v>
      </c>
      <c r="D463" s="156" t="s">
        <v>771</v>
      </c>
      <c r="E463" s="157"/>
      <c r="F463" s="169">
        <v>1</v>
      </c>
      <c r="G463" s="178" t="s">
        <v>911</v>
      </c>
      <c r="H463" s="157"/>
    </row>
    <row r="464" spans="1:8" s="108" customFormat="1" ht="47.25">
      <c r="A464" s="157" t="s">
        <v>642</v>
      </c>
      <c r="B464" s="1263"/>
      <c r="C464" s="1263" t="s">
        <v>949</v>
      </c>
      <c r="D464" s="1266" t="s">
        <v>705</v>
      </c>
      <c r="E464" s="157"/>
      <c r="F464" s="169">
        <v>1</v>
      </c>
      <c r="G464" s="178" t="s">
        <v>912</v>
      </c>
      <c r="H464" s="157"/>
    </row>
    <row r="465" spans="1:8" s="108" customFormat="1" ht="31.5">
      <c r="A465" s="157" t="s">
        <v>642</v>
      </c>
      <c r="B465" s="1263"/>
      <c r="C465" s="1263"/>
      <c r="D465" s="1266"/>
      <c r="E465" s="157"/>
      <c r="F465" s="169">
        <v>2</v>
      </c>
      <c r="G465" s="178" t="s">
        <v>913</v>
      </c>
      <c r="H465" s="157"/>
    </row>
    <row r="466" spans="1:8" s="108" customFormat="1" ht="31.5">
      <c r="A466" s="157" t="s">
        <v>642</v>
      </c>
      <c r="B466" s="1263"/>
      <c r="C466" s="1263"/>
      <c r="D466" s="1266"/>
      <c r="E466" s="157"/>
      <c r="F466" s="169">
        <v>3</v>
      </c>
      <c r="G466" s="178" t="s">
        <v>914</v>
      </c>
      <c r="H466" s="157"/>
    </row>
    <row r="467" spans="1:8" s="108" customFormat="1" ht="31.5">
      <c r="A467" s="157" t="s">
        <v>642</v>
      </c>
      <c r="B467" s="1263"/>
      <c r="C467" s="1263" t="s">
        <v>949</v>
      </c>
      <c r="D467" s="1266" t="s">
        <v>815</v>
      </c>
      <c r="E467" s="157"/>
      <c r="F467" s="169">
        <v>1</v>
      </c>
      <c r="G467" s="178" t="s">
        <v>916</v>
      </c>
      <c r="H467" s="157"/>
    </row>
    <row r="468" spans="1:8" s="108" customFormat="1" ht="31.5">
      <c r="A468" s="157" t="s">
        <v>642</v>
      </c>
      <c r="B468" s="1263"/>
      <c r="C468" s="1263"/>
      <c r="D468" s="1266"/>
      <c r="E468" s="157"/>
      <c r="F468" s="169">
        <v>2</v>
      </c>
      <c r="G468" s="178" t="s">
        <v>917</v>
      </c>
      <c r="H468" s="157"/>
    </row>
    <row r="469" spans="1:8" s="108" customFormat="1" ht="31.5">
      <c r="A469" s="157" t="s">
        <v>642</v>
      </c>
      <c r="B469" s="1263"/>
      <c r="C469" s="155" t="s">
        <v>949</v>
      </c>
      <c r="D469" s="156" t="s">
        <v>825</v>
      </c>
      <c r="E469" s="157"/>
      <c r="F469" s="169">
        <v>1</v>
      </c>
      <c r="G469" s="178" t="s">
        <v>919</v>
      </c>
      <c r="H469" s="157"/>
    </row>
    <row r="470" spans="1:8" s="108" customFormat="1" ht="31.5">
      <c r="A470" s="157" t="s">
        <v>642</v>
      </c>
      <c r="B470" s="1263"/>
      <c r="C470" s="155" t="s">
        <v>949</v>
      </c>
      <c r="D470" s="156" t="s">
        <v>920</v>
      </c>
      <c r="E470" s="157"/>
      <c r="F470" s="169">
        <v>1</v>
      </c>
      <c r="G470" s="178" t="s">
        <v>921</v>
      </c>
      <c r="H470" s="157"/>
    </row>
    <row r="471" spans="1:8" s="108" customFormat="1" ht="31.5">
      <c r="A471" s="157" t="s">
        <v>642</v>
      </c>
      <c r="B471" s="1263" t="s">
        <v>950</v>
      </c>
      <c r="C471" s="155" t="s">
        <v>951</v>
      </c>
      <c r="D471" s="156" t="s">
        <v>769</v>
      </c>
      <c r="E471" s="157"/>
      <c r="F471" s="169">
        <v>1</v>
      </c>
      <c r="G471" s="178" t="s">
        <v>924</v>
      </c>
      <c r="H471" s="157"/>
    </row>
    <row r="472" spans="1:8" s="108" customFormat="1" ht="31.5">
      <c r="A472" s="157" t="s">
        <v>642</v>
      </c>
      <c r="B472" s="1263"/>
      <c r="C472" s="155" t="s">
        <v>951</v>
      </c>
      <c r="D472" s="1266" t="s">
        <v>697</v>
      </c>
      <c r="E472" s="1266" t="s">
        <v>410</v>
      </c>
      <c r="F472" s="169">
        <v>1</v>
      </c>
      <c r="G472" s="178" t="s">
        <v>908</v>
      </c>
      <c r="H472" s="1266" t="s">
        <v>410</v>
      </c>
    </row>
    <row r="473" spans="1:8" s="108" customFormat="1">
      <c r="A473" s="157" t="s">
        <v>642</v>
      </c>
      <c r="B473" s="1263"/>
      <c r="C473" s="155" t="s">
        <v>951</v>
      </c>
      <c r="D473" s="1266"/>
      <c r="E473" s="1266"/>
      <c r="F473" s="169">
        <v>2</v>
      </c>
      <c r="G473" s="178" t="s">
        <v>909</v>
      </c>
      <c r="H473" s="1266"/>
    </row>
    <row r="474" spans="1:8" s="108" customFormat="1">
      <c r="A474" s="157" t="s">
        <v>642</v>
      </c>
      <c r="B474" s="1263"/>
      <c r="C474" s="155" t="s">
        <v>951</v>
      </c>
      <c r="D474" s="1266"/>
      <c r="E474" s="1266"/>
      <c r="F474" s="169">
        <v>3</v>
      </c>
      <c r="G474" s="178" t="s">
        <v>910</v>
      </c>
      <c r="H474" s="1266"/>
    </row>
    <row r="475" spans="1:8" s="108" customFormat="1" ht="31.5">
      <c r="A475" s="157" t="s">
        <v>642</v>
      </c>
      <c r="B475" s="1263"/>
      <c r="C475" s="155" t="s">
        <v>951</v>
      </c>
      <c r="D475" s="156" t="s">
        <v>771</v>
      </c>
      <c r="E475" s="157"/>
      <c r="F475" s="169">
        <v>1</v>
      </c>
      <c r="G475" s="178" t="s">
        <v>911</v>
      </c>
      <c r="H475" s="157"/>
    </row>
    <row r="476" spans="1:8" s="108" customFormat="1" ht="47.25">
      <c r="A476" s="157" t="s">
        <v>642</v>
      </c>
      <c r="B476" s="1263"/>
      <c r="C476" s="1263" t="s">
        <v>951</v>
      </c>
      <c r="D476" s="1266" t="s">
        <v>705</v>
      </c>
      <c r="E476" s="157"/>
      <c r="F476" s="169">
        <v>1</v>
      </c>
      <c r="G476" s="178" t="s">
        <v>912</v>
      </c>
      <c r="H476" s="157"/>
    </row>
    <row r="477" spans="1:8" s="108" customFormat="1" ht="31.5">
      <c r="A477" s="157" t="s">
        <v>642</v>
      </c>
      <c r="B477" s="1263"/>
      <c r="C477" s="1263"/>
      <c r="D477" s="1266"/>
      <c r="E477" s="157"/>
      <c r="F477" s="169">
        <v>2</v>
      </c>
      <c r="G477" s="178" t="s">
        <v>913</v>
      </c>
      <c r="H477" s="157"/>
    </row>
    <row r="478" spans="1:8" s="108" customFormat="1" ht="31.5">
      <c r="A478" s="157" t="s">
        <v>642</v>
      </c>
      <c r="B478" s="1263"/>
      <c r="C478" s="1263"/>
      <c r="D478" s="1266"/>
      <c r="E478" s="157"/>
      <c r="F478" s="169">
        <v>3</v>
      </c>
      <c r="G478" s="178" t="s">
        <v>914</v>
      </c>
      <c r="H478" s="157"/>
    </row>
    <row r="479" spans="1:8" s="108" customFormat="1" ht="47.25">
      <c r="A479" s="157" t="s">
        <v>642</v>
      </c>
      <c r="B479" s="1263"/>
      <c r="C479" s="155" t="s">
        <v>951</v>
      </c>
      <c r="D479" s="156" t="s">
        <v>830</v>
      </c>
      <c r="E479" s="157"/>
      <c r="F479" s="169">
        <v>1</v>
      </c>
      <c r="G479" s="178" t="s">
        <v>915</v>
      </c>
      <c r="H479" s="157"/>
    </row>
    <row r="480" spans="1:8" s="108" customFormat="1" ht="31.5">
      <c r="A480" s="157" t="s">
        <v>642</v>
      </c>
      <c r="B480" s="1263"/>
      <c r="C480" s="1263" t="s">
        <v>951</v>
      </c>
      <c r="D480" s="1266" t="s">
        <v>815</v>
      </c>
      <c r="E480" s="157"/>
      <c r="F480" s="169">
        <v>1</v>
      </c>
      <c r="G480" s="178" t="s">
        <v>916</v>
      </c>
      <c r="H480" s="157"/>
    </row>
    <row r="481" spans="1:8" s="108" customFormat="1" ht="31.5">
      <c r="A481" s="157" t="s">
        <v>642</v>
      </c>
      <c r="B481" s="1263"/>
      <c r="C481" s="1263"/>
      <c r="D481" s="1266"/>
      <c r="E481" s="157"/>
      <c r="F481" s="169">
        <v>2</v>
      </c>
      <c r="G481" s="178" t="s">
        <v>917</v>
      </c>
      <c r="H481" s="157"/>
    </row>
    <row r="482" spans="1:8" s="108" customFormat="1" ht="31.5">
      <c r="A482" s="157" t="s">
        <v>642</v>
      </c>
      <c r="B482" s="1263"/>
      <c r="C482" s="155" t="s">
        <v>951</v>
      </c>
      <c r="D482" s="156" t="s">
        <v>824</v>
      </c>
      <c r="E482" s="157"/>
      <c r="F482" s="169">
        <v>1</v>
      </c>
      <c r="G482" s="178" t="s">
        <v>918</v>
      </c>
      <c r="H482" s="157"/>
    </row>
    <row r="483" spans="1:8" s="108" customFormat="1" ht="31.5">
      <c r="A483" s="157" t="s">
        <v>642</v>
      </c>
      <c r="B483" s="1263"/>
      <c r="C483" s="155" t="s">
        <v>951</v>
      </c>
      <c r="D483" s="156" t="s">
        <v>825</v>
      </c>
      <c r="E483" s="157"/>
      <c r="F483" s="169">
        <v>1</v>
      </c>
      <c r="G483" s="178" t="s">
        <v>919</v>
      </c>
      <c r="H483" s="157"/>
    </row>
    <row r="484" spans="1:8" s="108" customFormat="1" ht="31.5">
      <c r="A484" s="157" t="s">
        <v>642</v>
      </c>
      <c r="B484" s="1263"/>
      <c r="C484" s="155" t="s">
        <v>951</v>
      </c>
      <c r="D484" s="156" t="s">
        <v>920</v>
      </c>
      <c r="E484" s="157"/>
      <c r="F484" s="169">
        <v>1</v>
      </c>
      <c r="G484" s="178" t="s">
        <v>921</v>
      </c>
      <c r="H484" s="157"/>
    </row>
    <row r="485" spans="1:8" s="108" customFormat="1">
      <c r="A485" s="157" t="s">
        <v>642</v>
      </c>
      <c r="B485" s="164" t="s">
        <v>952</v>
      </c>
      <c r="C485" s="164" t="s">
        <v>953</v>
      </c>
      <c r="D485" s="165" t="s">
        <v>701</v>
      </c>
      <c r="E485" s="157"/>
      <c r="F485" s="169"/>
      <c r="G485" s="178"/>
      <c r="H485" s="157"/>
    </row>
    <row r="486" spans="1:8" s="108" customFormat="1" ht="47.25">
      <c r="A486" s="157" t="s">
        <v>642</v>
      </c>
      <c r="B486" s="155" t="s">
        <v>954</v>
      </c>
      <c r="C486" s="155" t="s">
        <v>951</v>
      </c>
      <c r="D486" s="156"/>
      <c r="E486" s="163"/>
      <c r="F486" s="173"/>
      <c r="G486" s="181"/>
      <c r="H486" s="163"/>
    </row>
    <row r="487" spans="1:8" s="108" customFormat="1">
      <c r="A487" s="157" t="s">
        <v>642</v>
      </c>
      <c r="B487" s="1263" t="s">
        <v>955</v>
      </c>
      <c r="C487" s="155" t="s">
        <v>956</v>
      </c>
      <c r="D487" s="156" t="s">
        <v>957</v>
      </c>
      <c r="E487" s="157"/>
      <c r="F487" s="169">
        <v>1</v>
      </c>
      <c r="G487" s="178" t="s">
        <v>958</v>
      </c>
      <c r="H487" s="157"/>
    </row>
    <row r="488" spans="1:8" s="108" customFormat="1" ht="31.5">
      <c r="A488" s="157" t="s">
        <v>642</v>
      </c>
      <c r="B488" s="1263"/>
      <c r="C488" s="155" t="s">
        <v>956</v>
      </c>
      <c r="D488" s="156" t="s">
        <v>959</v>
      </c>
      <c r="E488" s="157"/>
      <c r="F488" s="169">
        <v>1</v>
      </c>
      <c r="G488" s="178" t="s">
        <v>960</v>
      </c>
      <c r="H488" s="157"/>
    </row>
    <row r="489" spans="1:8" s="108" customFormat="1" ht="47.25">
      <c r="A489" s="157" t="s">
        <v>642</v>
      </c>
      <c r="B489" s="1263"/>
      <c r="C489" s="155" t="s">
        <v>956</v>
      </c>
      <c r="D489" s="156" t="s">
        <v>961</v>
      </c>
      <c r="E489" s="157"/>
      <c r="F489" s="169">
        <v>1</v>
      </c>
      <c r="G489" s="178" t="s">
        <v>962</v>
      </c>
      <c r="H489" s="157"/>
    </row>
    <row r="490" spans="1:8" s="108" customFormat="1" ht="31.5">
      <c r="A490" s="157" t="s">
        <v>642</v>
      </c>
      <c r="B490" s="1263"/>
      <c r="C490" s="155" t="s">
        <v>956</v>
      </c>
      <c r="D490" s="156" t="s">
        <v>963</v>
      </c>
      <c r="E490" s="157"/>
      <c r="F490" s="169">
        <v>1</v>
      </c>
      <c r="G490" s="178" t="s">
        <v>964</v>
      </c>
      <c r="H490" s="157"/>
    </row>
    <row r="491" spans="1:8" s="108" customFormat="1" ht="63">
      <c r="A491" s="157" t="s">
        <v>642</v>
      </c>
      <c r="B491" s="1263"/>
      <c r="C491" s="155" t="s">
        <v>956</v>
      </c>
      <c r="D491" s="156" t="s">
        <v>965</v>
      </c>
      <c r="E491" s="157"/>
      <c r="F491" s="169">
        <v>1</v>
      </c>
      <c r="G491" s="178" t="s">
        <v>966</v>
      </c>
      <c r="H491" s="157"/>
    </row>
    <row r="492" spans="1:8" s="108" customFormat="1" ht="31.5">
      <c r="A492" s="157" t="s">
        <v>642</v>
      </c>
      <c r="B492" s="1263"/>
      <c r="C492" s="155" t="s">
        <v>956</v>
      </c>
      <c r="D492" s="156" t="s">
        <v>815</v>
      </c>
      <c r="E492" s="157"/>
      <c r="F492" s="169">
        <v>1</v>
      </c>
      <c r="G492" s="178" t="s">
        <v>916</v>
      </c>
      <c r="H492" s="157"/>
    </row>
    <row r="493" spans="1:8" s="108" customFormat="1" ht="31.5">
      <c r="A493" s="157" t="s">
        <v>642</v>
      </c>
      <c r="B493" s="1263"/>
      <c r="C493" s="155" t="s">
        <v>956</v>
      </c>
      <c r="D493" s="156" t="s">
        <v>967</v>
      </c>
      <c r="E493" s="157"/>
      <c r="F493" s="169">
        <v>1</v>
      </c>
      <c r="G493" s="178" t="s">
        <v>968</v>
      </c>
      <c r="H493" s="157"/>
    </row>
    <row r="494" spans="1:8" ht="30" customHeight="1">
      <c r="A494" s="157" t="s">
        <v>642</v>
      </c>
      <c r="B494" s="159" t="s">
        <v>969</v>
      </c>
      <c r="C494" s="159" t="s">
        <v>970</v>
      </c>
      <c r="D494" s="159"/>
      <c r="E494" s="159"/>
      <c r="F494" s="159"/>
      <c r="G494" s="179"/>
      <c r="H494" s="159"/>
    </row>
    <row r="495" spans="1:8" ht="15.75" customHeight="1">
      <c r="A495" s="157" t="s">
        <v>642</v>
      </c>
      <c r="B495" s="159" t="s">
        <v>971</v>
      </c>
      <c r="C495" s="159" t="s">
        <v>972</v>
      </c>
      <c r="D495" s="159"/>
      <c r="E495" s="159"/>
      <c r="F495" s="159"/>
      <c r="G495" s="179"/>
      <c r="H495" s="159"/>
    </row>
    <row r="496" spans="1:8" ht="30" customHeight="1">
      <c r="A496" s="157" t="s">
        <v>642</v>
      </c>
      <c r="B496" s="159" t="s">
        <v>973</v>
      </c>
      <c r="C496" s="159" t="s">
        <v>974</v>
      </c>
      <c r="D496" s="159"/>
      <c r="E496" s="159"/>
      <c r="F496" s="159"/>
      <c r="G496" s="179"/>
      <c r="H496" s="159"/>
    </row>
    <row r="497" spans="1:8">
      <c r="A497" s="157" t="s">
        <v>642</v>
      </c>
      <c r="B497" s="159" t="s">
        <v>975</v>
      </c>
      <c r="C497" s="159" t="s">
        <v>976</v>
      </c>
      <c r="D497" s="159"/>
      <c r="E497" s="159"/>
      <c r="F497" s="159"/>
      <c r="G497" s="179"/>
      <c r="H497" s="159"/>
    </row>
    <row r="498" spans="1:8" ht="30" customHeight="1">
      <c r="A498" s="157" t="s">
        <v>642</v>
      </c>
      <c r="B498" s="159" t="s">
        <v>977</v>
      </c>
      <c r="C498" s="159" t="s">
        <v>978</v>
      </c>
      <c r="D498" s="159"/>
      <c r="E498" s="159"/>
      <c r="F498" s="159"/>
      <c r="G498" s="179"/>
      <c r="H498" s="159"/>
    </row>
    <row r="499" spans="1:8" ht="45" customHeight="1">
      <c r="A499" s="157" t="s">
        <v>642</v>
      </c>
      <c r="B499" s="159" t="s">
        <v>979</v>
      </c>
      <c r="C499" s="159" t="s">
        <v>980</v>
      </c>
      <c r="D499" s="159"/>
      <c r="E499" s="159"/>
      <c r="F499" s="159"/>
      <c r="G499" s="179"/>
      <c r="H499" s="159"/>
    </row>
    <row r="500" spans="1:8" ht="30" customHeight="1">
      <c r="A500" s="157" t="s">
        <v>642</v>
      </c>
      <c r="B500" s="159" t="s">
        <v>981</v>
      </c>
      <c r="C500" s="159" t="s">
        <v>982</v>
      </c>
      <c r="D500" s="159"/>
      <c r="E500" s="159"/>
      <c r="F500" s="159"/>
      <c r="G500" s="179"/>
      <c r="H500" s="159"/>
    </row>
    <row r="501" spans="1:8" ht="30" customHeight="1">
      <c r="A501" s="157" t="s">
        <v>642</v>
      </c>
      <c r="B501" s="159" t="s">
        <v>983</v>
      </c>
      <c r="C501" s="159" t="s">
        <v>972</v>
      </c>
      <c r="D501" s="159"/>
      <c r="E501" s="159"/>
      <c r="F501" s="159"/>
      <c r="G501" s="179"/>
      <c r="H501" s="159"/>
    </row>
  </sheetData>
  <autoFilter ref="A2:G2" xr:uid="{8B251AB1-BA92-4CE7-8525-DB1F513BA7C1}"/>
  <mergeCells count="118">
    <mergeCell ref="C202:C218"/>
    <mergeCell ref="C219:C226"/>
    <mergeCell ref="C227:C243"/>
    <mergeCell ref="C244:C251"/>
    <mergeCell ref="C252:C268"/>
    <mergeCell ref="C269:C276"/>
    <mergeCell ref="C277:C293"/>
    <mergeCell ref="C294:C301"/>
    <mergeCell ref="D422:D424"/>
    <mergeCell ref="D429:D430"/>
    <mergeCell ref="C452:C455"/>
    <mergeCell ref="D446:D451"/>
    <mergeCell ref="C446:C451"/>
    <mergeCell ref="D452:D455"/>
    <mergeCell ref="D444:D445"/>
    <mergeCell ref="C444:C445"/>
    <mergeCell ref="C413:C415"/>
    <mergeCell ref="D413:D415"/>
    <mergeCell ref="D416:D417"/>
    <mergeCell ref="C439:C440"/>
    <mergeCell ref="C436:C438"/>
    <mergeCell ref="D436:D438"/>
    <mergeCell ref="D439:D440"/>
    <mergeCell ref="C426:C428"/>
    <mergeCell ref="D426:D428"/>
    <mergeCell ref="C429:C430"/>
    <mergeCell ref="B93:B101"/>
    <mergeCell ref="D476:D478"/>
    <mergeCell ref="C480:C481"/>
    <mergeCell ref="D480:D481"/>
    <mergeCell ref="D472:D474"/>
    <mergeCell ref="H472:H474"/>
    <mergeCell ref="D3:D5"/>
    <mergeCell ref="B8:B10"/>
    <mergeCell ref="D9:D10"/>
    <mergeCell ref="B11:B18"/>
    <mergeCell ref="D11:D14"/>
    <mergeCell ref="D15:D18"/>
    <mergeCell ref="B19:B21"/>
    <mergeCell ref="D460:D462"/>
    <mergeCell ref="E460:E462"/>
    <mergeCell ref="C464:C466"/>
    <mergeCell ref="D464:D466"/>
    <mergeCell ref="C467:C468"/>
    <mergeCell ref="D467:D468"/>
    <mergeCell ref="E472:E474"/>
    <mergeCell ref="E422:E424"/>
    <mergeCell ref="H398:H400"/>
    <mergeCell ref="H422:H424"/>
    <mergeCell ref="H460:H462"/>
    <mergeCell ref="C102:C110"/>
    <mergeCell ref="A1:G1"/>
    <mergeCell ref="E398:E400"/>
    <mergeCell ref="D398:D400"/>
    <mergeCell ref="D406:D407"/>
    <mergeCell ref="C406:C407"/>
    <mergeCell ref="D402:D404"/>
    <mergeCell ref="C402:C404"/>
    <mergeCell ref="B219:B226"/>
    <mergeCell ref="B227:B243"/>
    <mergeCell ref="B244:B251"/>
    <mergeCell ref="B252:B268"/>
    <mergeCell ref="B202:B218"/>
    <mergeCell ref="B341:B349"/>
    <mergeCell ref="B350:B358"/>
    <mergeCell ref="B32:B34"/>
    <mergeCell ref="B3:B6"/>
    <mergeCell ref="B35:B45"/>
    <mergeCell ref="C35:C36"/>
    <mergeCell ref="C37:C45"/>
    <mergeCell ref="B74:B82"/>
    <mergeCell ref="C74:C82"/>
    <mergeCell ref="B83:B92"/>
    <mergeCell ref="C83:C92"/>
    <mergeCell ref="B471:B484"/>
    <mergeCell ref="B487:B493"/>
    <mergeCell ref="B459:B470"/>
    <mergeCell ref="B433:B455"/>
    <mergeCell ref="B397:B410"/>
    <mergeCell ref="B421:B432"/>
    <mergeCell ref="B411:B420"/>
    <mergeCell ref="C385:C388"/>
    <mergeCell ref="B269:B276"/>
    <mergeCell ref="B277:B293"/>
    <mergeCell ref="B294:B301"/>
    <mergeCell ref="B385:B388"/>
    <mergeCell ref="B312:B321"/>
    <mergeCell ref="B322:B331"/>
    <mergeCell ref="B302:B311"/>
    <mergeCell ref="C416:C417"/>
    <mergeCell ref="C476:C478"/>
    <mergeCell ref="B332:B340"/>
    <mergeCell ref="B368:B376"/>
    <mergeCell ref="B359:B367"/>
    <mergeCell ref="B111:B119"/>
    <mergeCell ref="C111:C119"/>
    <mergeCell ref="B120:B130"/>
    <mergeCell ref="C120:C130"/>
    <mergeCell ref="C173:C201"/>
    <mergeCell ref="C46:C55"/>
    <mergeCell ref="B46:B55"/>
    <mergeCell ref="B56:B64"/>
    <mergeCell ref="C56:C64"/>
    <mergeCell ref="B65:B73"/>
    <mergeCell ref="C65:C73"/>
    <mergeCell ref="B153:B162"/>
    <mergeCell ref="C153:C162"/>
    <mergeCell ref="B163:B172"/>
    <mergeCell ref="C163:C172"/>
    <mergeCell ref="C131:C141"/>
    <mergeCell ref="B131:B141"/>
    <mergeCell ref="B142:B143"/>
    <mergeCell ref="C142:C143"/>
    <mergeCell ref="B144:B152"/>
    <mergeCell ref="C144:C152"/>
    <mergeCell ref="C93:C101"/>
    <mergeCell ref="B173:B201"/>
    <mergeCell ref="B102:B110"/>
  </mergeCells>
  <phoneticPr fontId="43" type="noConversion"/>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xml version="1.0" encoding="utf-8"?>
<p:properties xmlns:p="http://schemas.microsoft.com/office/2006/metadata/properties" xmlns:xsi="http://www.w3.org/2001/XMLSchema-instance" xmlns:pc="http://schemas.microsoft.com/office/infopath/2007/PartnerControls">
  <documentManagement>
    <_dlc_DocId xmlns="0828ef31-868c-484e-9a14-54df0c581d16">64QWJV3Y47UK-89907830-1053</_dlc_DocId>
    <_dlc_DocIdUrl xmlns="0828ef31-868c-484e-9a14-54df0c581d16">
      <Url>https://northlandpower.sharepoint.com/sites/const_hlowp/_layouts/15/DocIdRedir.aspx?ID=64QWJV3Y47UK-89907830-1053</Url>
      <Description>64QWJV3Y47UK-89907830-1053</Description>
    </_dlc_DocIdUrl>
    <lcf76f155ced4ddcb4097134ff3c332f xmlns="d72fb606-d4c6-4daf-8ca7-7e9232e85fc5">
      <Terms xmlns="http://schemas.microsoft.com/office/infopath/2007/PartnerControls"/>
    </lcf76f155ced4ddcb4097134ff3c332f>
    <TaxCatchAll xmlns="7c87de75-fe49-438b-bcc2-537e88f7aed7" xsi:nil="true"/>
    <_ip_UnifiedCompliancePolicyUIAction xmlns="http://schemas.microsoft.com/sharepoint/v3" xsi:nil="true"/>
    <_ip_UnifiedCompliancePolicyProperties xmlns="http://schemas.microsoft.com/sharepoint/v3" xsi:nil="true"/>
  </documentManagement>
</p:properties>
</file>

<file path=customXml/item10.xml>�� 
</file>

<file path=customXml/item11.xml>�� 
</file>

<file path=customXml/item12.xml><?xml version="1.0" encoding="utf-8"?>
<?mso-contentType ?>
<FormTemplates xmlns="http://schemas.microsoft.com/sharepoint/v3/contenttype/forms">
  <Display>DocumentLibraryForm</Display>
  <Edit>DocumentLibraryForm</Edit>
  <New>DocumentLibraryForm</New>
</FormTemplates>
</file>

<file path=customXml/item13.xml>�� 
</file>

<file path=customXml/item14.xml>�� 
</file>

<file path=customXml/item1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16.xml>�� 
</file>

<file path=customXml/item17.xml>�� 
</file>

<file path=customXml/item18.xml>�� 
</file>

<file path=customXml/item19.xml>�� 
</file>

<file path=customXml/item20.xml>�� 
</file>

<file path=customXml/item21.xml><?xml version="1.0" encoding="utf-8"?>
<ct:contentTypeSchema xmlns:ct="http://schemas.microsoft.com/office/2006/metadata/contentType" xmlns:ma="http://schemas.microsoft.com/office/2006/metadata/properties/metaAttributes" ct:_="" ma:_="" ma:contentTypeName="Document" ma:contentTypeID="0x010100EBC2248D16CC9744AB84F4E20D9C713C" ma:contentTypeVersion="20" ma:contentTypeDescription="Create a new document." ma:contentTypeScope="" ma:versionID="5e7f4cf0fe783c9eae67c660143870fd">
  <xsd:schema xmlns:xsd="http://www.w3.org/2001/XMLSchema" xmlns:xs="http://www.w3.org/2001/XMLSchema" xmlns:p="http://schemas.microsoft.com/office/2006/metadata/properties" xmlns:ns1="http://schemas.microsoft.com/sharepoint/v3" xmlns:ns2="0828ef31-868c-484e-9a14-54df0c581d16" xmlns:ns3="d72fb606-d4c6-4daf-8ca7-7e9232e85fc5" xmlns:ns4="f0358bef-51aa-47d0-b495-5fb4318550a5" xmlns:ns5="7c87de75-fe49-438b-bcc2-537e88f7aed7" targetNamespace="http://schemas.microsoft.com/office/2006/metadata/properties" ma:root="true" ma:fieldsID="8d5aead85a147687c9b76dcbb132addf" ns1:_="" ns2:_="" ns3:_="" ns4:_="" ns5:_="">
    <xsd:import namespace="http://schemas.microsoft.com/sharepoint/v3"/>
    <xsd:import namespace="0828ef31-868c-484e-9a14-54df0c581d16"/>
    <xsd:import namespace="d72fb606-d4c6-4daf-8ca7-7e9232e85fc5"/>
    <xsd:import namespace="f0358bef-51aa-47d0-b495-5fb4318550a5"/>
    <xsd:import namespace="7c87de75-fe49-438b-bcc2-537e88f7aed7"/>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lcf76f155ced4ddcb4097134ff3c332f" minOccurs="0"/>
                <xsd:element ref="ns5:TaxCatchAll" minOccurs="0"/>
                <xsd:element ref="ns3:MediaServiceObjectDetectorVersions" minOccurs="0"/>
                <xsd:element ref="ns3:MediaServiceLocation" minOccurs="0"/>
                <xsd:element ref="ns3:MediaLengthInSeconds" minOccurs="0"/>
                <xsd:element ref="ns1:_ip_UnifiedCompliancePolicyProperties" minOccurs="0"/>
                <xsd:element ref="ns1:_ip_UnifiedCompliancePolicyUIAction"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8" nillable="true" ma:displayName="Unified Compliance Policy Properties" ma:hidden="true" ma:internalName="_ip_UnifiedCompliancePolicyProperties">
      <xsd:simpleType>
        <xsd:restriction base="dms:Note"/>
      </xsd:simpleType>
    </xsd:element>
    <xsd:element name="_ip_UnifiedCompliancePolicyUIAction" ma:index="2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828ef31-868c-484e-9a14-54df0c581d16"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d72fb606-d4c6-4daf-8ca7-7e9232e85fc5"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e49e2e32-c7d1-4216-af1c-3349b877b05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Location" ma:index="26" nillable="true" ma:displayName="Location" ma:indexed="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MediaServiceSearchProperties" ma:index="3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358bef-51aa-47d0-b495-5fb4318550a5"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c87de75-fe49-438b-bcc2-537e88f7aed7" elementFormDefault="qualified">
    <xsd:import namespace="http://schemas.microsoft.com/office/2006/documentManagement/types"/>
    <xsd:import namespace="http://schemas.microsoft.com/office/infopath/2007/PartnerControls"/>
    <xsd:element name="TaxCatchAll" ma:index="24" nillable="true" ma:displayName="Taxonomy Catch All Column" ma:hidden="true" ma:list="{167EEE4C-1866-48BC-9E24-854A43F3978A}" ma:internalName="TaxCatchAll" ma:showField="CatchAllData" ma:web="{f0358bef-51aa-47d0-b495-5fb4318550a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194CC29-F8D6-40C7-8155-99A97D2C5668}">
  <ds:schemaRefs>
    <ds:schemaRef ds:uri="http://schemas.microsoft.com/DataMashup"/>
  </ds:schemaRefs>
</ds:datastoreItem>
</file>

<file path=customXml/itemProps2.xml><?xml version="1.0" encoding="utf-8"?>
<ds:datastoreItem xmlns:ds="http://schemas.openxmlformats.org/officeDocument/2006/customXml" ds:itemID="{BA691D93-F663-431F-8902-1F3A5A03D8D4}">
  <ds:schemaRefs/>
</ds:datastoreItem>
</file>

<file path=customXml/itemProps3.xml><?xml version="1.0" encoding="utf-8"?>
<ds:datastoreItem xmlns:ds="http://schemas.openxmlformats.org/officeDocument/2006/customXml" ds:itemID="{A8D1A677-69F1-40C1-B878-40A8766B2B46}">
  <ds:schemaRefs/>
</ds:datastoreItem>
</file>

<file path=customXml/itemProps4.xml><?xml version="1.0" encoding="utf-8"?>
<ds:datastoreItem xmlns:ds="http://schemas.openxmlformats.org/officeDocument/2006/customXml" ds:itemID="{C94C832F-AABC-4F5D-8A87-0E301B599275}">
  <ds:schemaRefs/>
</ds:datastoreItem>
</file>

<file path=customXml/itemProps5.xml><?xml version="1.0" encoding="utf-8"?>
<ds:datastoreItem xmlns:ds="http://schemas.openxmlformats.org/officeDocument/2006/customXml" ds:itemID="{D0ACA2DD-6F70-47DD-B5F5-531CE8D215C8}">
  <ds:schemaRefs/>
</ds:datastoreItem>
</file>

<file path=customXml/itemProps6.xml><?xml version="1.0" encoding="utf-8"?>
<ds:datastoreItem xmlns:ds="http://schemas.openxmlformats.org/officeDocument/2006/customXml" ds:itemID="{2B864AB7-2FC2-45EE-B6C7-74790AC2B49C}">
  <ds:schemaRefs/>
</ds:datastoreItem>
</file>

<file path=customXml/itemProps7.xml><?xml version="1.0" encoding="utf-8"?>
<ds:datastoreItem xmlns:ds="http://schemas.openxmlformats.org/officeDocument/2006/customXml" ds:itemID="{A6F9CB51-BDF5-4269-AF09-D8D4837986F2}">
  <ds:schemaRefs/>
</ds:datastoreItem>
</file>

<file path=customXml/itemProps8.xml><?xml version="1.0" encoding="utf-8"?>
<ds:datastoreItem xmlns:ds="http://schemas.openxmlformats.org/officeDocument/2006/customXml" ds:itemID="{A970B3B4-4779-4803-9813-63ECDB30A875}">
  <ds:schemaRefs/>
</ds:datastoreItem>
</file>

<file path=customXml/itemProps9.xml><?xml version="1.0" encoding="utf-8"?>
<ds:datastoreItem xmlns:ds="http://schemas.openxmlformats.org/officeDocument/2006/customXml" ds:itemID="{4C0C4462-0F06-4157-85DA-87D64351DA81}">
  <ds:schemaRefs>
    <ds:schemaRef ds:uri="http://schemas.microsoft.com/office/2006/metadata/properties"/>
    <ds:schemaRef ds:uri="http://schemas.microsoft.com/office/infopath/2007/PartnerControls"/>
    <ds:schemaRef ds:uri="0828ef31-868c-484e-9a14-54df0c581d16"/>
    <ds:schemaRef ds:uri="d72fb606-d4c6-4daf-8ca7-7e9232e85fc5"/>
    <ds:schemaRef ds:uri="7c87de75-fe49-438b-bcc2-537e88f7aed7"/>
    <ds:schemaRef ds:uri="http://schemas.microsoft.com/sharepoint/v3"/>
  </ds:schemaRefs>
</ds:datastoreItem>
</file>

<file path=customXml/itemProps10.xml><?xml version="1.0" encoding="utf-8"?>
<ds:datastoreItem xmlns:ds="http://schemas.openxmlformats.org/officeDocument/2006/customXml" ds:itemID="{ECE98AA2-2EC7-48B2-A6C4-8CF277FB8746}">
  <ds:schemaRefs/>
</ds:datastoreItem>
</file>

<file path=customXml/itemProps11.xml><?xml version="1.0" encoding="utf-8"?>
<ds:datastoreItem xmlns:ds="http://schemas.openxmlformats.org/officeDocument/2006/customXml" ds:itemID="{E486DD58-798F-4E54-B71F-E886E65C7D99}">
  <ds:schemaRefs/>
</ds:datastoreItem>
</file>

<file path=customXml/itemProps12.xml><?xml version="1.0" encoding="utf-8"?>
<ds:datastoreItem xmlns:ds="http://schemas.openxmlformats.org/officeDocument/2006/customXml" ds:itemID="{29B0D62D-3EF4-4FD5-B16B-7717CDFC8AC3}">
  <ds:schemaRefs>
    <ds:schemaRef ds:uri="http://schemas.microsoft.com/sharepoint/v3/contenttype/forms"/>
  </ds:schemaRefs>
</ds:datastoreItem>
</file>

<file path=customXml/itemProps13.xml><?xml version="1.0" encoding="utf-8"?>
<ds:datastoreItem xmlns:ds="http://schemas.openxmlformats.org/officeDocument/2006/customXml" ds:itemID="{AC9BB6E4-C30E-4475-994B-432D65E5119D}">
  <ds:schemaRefs/>
</ds:datastoreItem>
</file>

<file path=customXml/itemProps14.xml><?xml version="1.0" encoding="utf-8"?>
<ds:datastoreItem xmlns:ds="http://schemas.openxmlformats.org/officeDocument/2006/customXml" ds:itemID="{2BF49EB0-B294-4DFB-A873-5A52BBB90614}">
  <ds:schemaRefs/>
</ds:datastoreItem>
</file>

<file path=customXml/itemProps15.xml><?xml version="1.0" encoding="utf-8"?>
<ds:datastoreItem xmlns:ds="http://schemas.openxmlformats.org/officeDocument/2006/customXml" ds:itemID="{DED35A98-64DA-4B75-8CAF-7BDC8E856C22}">
  <ds:schemaRefs>
    <ds:schemaRef ds:uri="http://schemas.microsoft.com/sharepoint/events"/>
  </ds:schemaRefs>
</ds:datastoreItem>
</file>

<file path=customXml/itemProps16.xml><?xml version="1.0" encoding="utf-8"?>
<ds:datastoreItem xmlns:ds="http://schemas.openxmlformats.org/officeDocument/2006/customXml" ds:itemID="{5AA2F6B7-6FC0-4116-8BD4-BA61709ED202}">
  <ds:schemaRefs/>
</ds:datastoreItem>
</file>

<file path=customXml/itemProps17.xml><?xml version="1.0" encoding="utf-8"?>
<ds:datastoreItem xmlns:ds="http://schemas.openxmlformats.org/officeDocument/2006/customXml" ds:itemID="{71BC837C-4736-4854-AB91-5498DAE5D00C}">
  <ds:schemaRefs/>
</ds:datastoreItem>
</file>

<file path=customXml/itemProps18.xml><?xml version="1.0" encoding="utf-8"?>
<ds:datastoreItem xmlns:ds="http://schemas.openxmlformats.org/officeDocument/2006/customXml" ds:itemID="{392A9958-3F32-46EE-B84C-61085DD1FFD0}">
  <ds:schemaRefs/>
</ds:datastoreItem>
</file>

<file path=customXml/itemProps19.xml><?xml version="1.0" encoding="utf-8"?>
<ds:datastoreItem xmlns:ds="http://schemas.openxmlformats.org/officeDocument/2006/customXml" ds:itemID="{D399EA47-5515-40B2-970D-1B8B06530EBA}">
  <ds:schemaRefs/>
</ds:datastoreItem>
</file>

<file path=customXml/itemProps20.xml><?xml version="1.0" encoding="utf-8"?>
<ds:datastoreItem xmlns:ds="http://schemas.openxmlformats.org/officeDocument/2006/customXml" ds:itemID="{00ED7CB1-B251-46FB-A352-4ED6088C95BA}">
  <ds:schemaRefs/>
</ds:datastoreItem>
</file>

<file path=customXml/itemProps21.xml><?xml version="1.0" encoding="utf-8"?>
<ds:datastoreItem xmlns:ds="http://schemas.openxmlformats.org/officeDocument/2006/customXml" ds:itemID="{C8E476CA-DA3C-4E85-BD87-B4FC58FF31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828ef31-868c-484e-9a14-54df0c581d16"/>
    <ds:schemaRef ds:uri="d72fb606-d4c6-4daf-8ca7-7e9232e85fc5"/>
    <ds:schemaRef ds:uri="f0358bef-51aa-47d0-b495-5fb4318550a5"/>
    <ds:schemaRef ds:uri="7c87de75-fe49-438b-bcc2-537e88f7aed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76</vt:i4>
      </vt:variant>
      <vt:variant>
        <vt:lpstr>Charts</vt:lpstr>
      </vt:variant>
      <vt:variant>
        <vt:i4>3</vt:i4>
      </vt:variant>
      <vt:variant>
        <vt:lpstr>Named Ranges</vt:lpstr>
      </vt:variant>
      <vt:variant>
        <vt:i4>10</vt:i4>
      </vt:variant>
    </vt:vector>
  </HeadingPairs>
  <TitlesOfParts>
    <vt:vector size="89" baseType="lpstr">
      <vt:lpstr>Template</vt:lpstr>
      <vt:lpstr>Summary</vt:lpstr>
      <vt:lpstr>Config</vt:lpstr>
      <vt:lpstr>To-Do</vt:lpstr>
      <vt:lpstr>CN</vt:lpstr>
      <vt:lpstr>Dashboard</vt:lpstr>
      <vt:lpstr>Input-&gt;</vt:lpstr>
      <vt:lpstr>KCT_Pivot</vt:lpstr>
      <vt:lpstr>KCT</vt:lpstr>
      <vt:lpstr>OSD</vt:lpstr>
      <vt:lpstr>Obs</vt:lpstr>
      <vt:lpstr>NCR</vt:lpstr>
      <vt:lpstr>FAT</vt:lpstr>
      <vt:lpstr>Program</vt:lpstr>
      <vt:lpstr>Data_PQP</vt:lpstr>
      <vt:lpstr>Key_Quality_Docs</vt:lpstr>
      <vt:lpstr>Data_NCR</vt:lpstr>
      <vt:lpstr>Data_Obs</vt:lpstr>
      <vt:lpstr>Data_ITP</vt:lpstr>
      <vt:lpstr>Data_KPI</vt:lpstr>
      <vt:lpstr>Data(notuse)_NOI</vt:lpstr>
      <vt:lpstr>Abbr</vt:lpstr>
      <vt:lpstr>Data-&gt;</vt:lpstr>
      <vt:lpstr>NOI</vt:lpstr>
      <vt:lpstr>ITP-&gt;</vt:lpstr>
      <vt:lpstr>ITP_Hellenic Cable</vt:lpstr>
      <vt:lpstr>ITP_Seaway7</vt:lpstr>
      <vt:lpstr>ITP_BMS</vt:lpstr>
      <vt:lpstr>ITP_CDWE</vt:lpstr>
      <vt:lpstr>ITP_LS Cable</vt:lpstr>
      <vt:lpstr>Subcon report</vt:lpstr>
      <vt:lpstr>ITP_JDN</vt:lpstr>
      <vt:lpstr>PQuery-&gt;</vt:lpstr>
      <vt:lpstr>Query_Overall</vt:lpstr>
      <vt:lpstr>Query_PQP</vt:lpstr>
      <vt:lpstr>Query_ITP</vt:lpstr>
      <vt:lpstr>Query_Obs</vt:lpstr>
      <vt:lpstr>Query_NCR</vt:lpstr>
      <vt:lpstr>Query_KPI</vt:lpstr>
      <vt:lpstr>Audit-&gt;</vt:lpstr>
      <vt:lpstr>Audit Schedule</vt:lpstr>
      <vt:lpstr>Action_Tracker</vt:lpstr>
      <vt:lpstr>Vessel Maintenance</vt:lpstr>
      <vt:lpstr>As-Built-&gt;</vt:lpstr>
      <vt:lpstr>Tools-&gt;</vt:lpstr>
      <vt:lpstr>Query_Basedata</vt:lpstr>
      <vt:lpstr>Contractor_Master</vt:lpstr>
      <vt:lpstr>Info-&gt;</vt:lpstr>
      <vt:lpstr>Q_Contacts</vt:lpstr>
      <vt:lpstr>Rock Sampling</vt:lpstr>
      <vt:lpstr>Quality Risk</vt:lpstr>
      <vt:lpstr>Loose Rock</vt:lpstr>
      <vt:lpstr>Info_Term</vt:lpstr>
      <vt:lpstr>Filter</vt:lpstr>
      <vt:lpstr>Checklist-&gt;</vt:lpstr>
      <vt:lpstr>CHK_ITP</vt:lpstr>
      <vt:lpstr>CHK_Site_Plan</vt:lpstr>
      <vt:lpstr>ROKUSUMI</vt:lpstr>
      <vt:lpstr>ITP-Rebar</vt:lpstr>
      <vt:lpstr>ITP_Excavation</vt:lpstr>
      <vt:lpstr>ITP_Formwork</vt:lpstr>
      <vt:lpstr>ITP-Piling</vt:lpstr>
      <vt:lpstr>ITP_Survey</vt:lpstr>
      <vt:lpstr>Problem Definition</vt:lpstr>
      <vt:lpstr>SpareParts</vt:lpstr>
      <vt:lpstr>ITPTNI_JPG_SUP_IQIP</vt:lpstr>
      <vt:lpstr>ITPFOU_Pin_Pile_LOC_CSBC</vt:lpstr>
      <vt:lpstr>ITPOSS_SMPTSC</vt:lpstr>
      <vt:lpstr>ITPFOU_JKT_LOC_CWP</vt:lpstr>
      <vt:lpstr>ITPFOU_JKT_INT_SKOP</vt:lpstr>
      <vt:lpstr>ITPSGRE</vt:lpstr>
      <vt:lpstr>ITPFOU_Pin_Pile_INT_EEW</vt:lpstr>
      <vt:lpstr>audit item</vt:lpstr>
      <vt:lpstr>GIS Checklist</vt:lpstr>
      <vt:lpstr>GIS Questionaire</vt:lpstr>
      <vt:lpstr>Walkdown Inspection</vt:lpstr>
      <vt:lpstr>KCT S Curve</vt:lpstr>
      <vt:lpstr>Test Status Bar Chart</vt:lpstr>
      <vt:lpstr>Test Status Pie Chart</vt:lpstr>
      <vt:lpstr>OSD!_FilterDatabase</vt:lpstr>
      <vt:lpstr>'Audit Schedule'!Print_Area</vt:lpstr>
      <vt:lpstr>CN!Print_Area</vt:lpstr>
      <vt:lpstr>'Info-&gt;'!Print_Area</vt:lpstr>
      <vt:lpstr>ITP_Seaway7!Print_Area</vt:lpstr>
      <vt:lpstr>'PQuery-&gt;'!Print_Area</vt:lpstr>
      <vt:lpstr>'Tools-&gt;'!Print_Area</vt:lpstr>
      <vt:lpstr>'Audit Schedule'!Print_Titles</vt:lpstr>
      <vt:lpstr>CN!Print_Titles</vt:lpstr>
      <vt:lpstr>'ITP-Piling'!Print_Titles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Justin Green</dc:creator>
  <cp:keywords/>
  <dc:description/>
  <cp:lastModifiedBy>c23434</cp:lastModifiedBy>
  <cp:revision/>
  <cp:lastPrinted>2026-01-05T07:49:15Z</cp:lastPrinted>
  <dcterms:created xsi:type="dcterms:W3CDTF">2022-06-23T05:54:02Z</dcterms:created>
  <dcterms:modified xsi:type="dcterms:W3CDTF">2026-01-17T08:24:05Z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0x010100EBC2248D16CC9744AB84F4E20D9C713C</vt:lpwstr>
  </property>
  <property fmtid="{D5CDD505-2E9C-101B-9397-08002B2CF9AE}" pid="3" name="_dlc_DocIdItemGuid">
    <vt:lpwstr>886288c4-1fcd-4d73-bc2c-736a80bdf13f</vt:lpwstr>
  </property>
  <property fmtid="{D5CDD505-2E9C-101B-9397-08002B2CF9AE}" pid="4" name="MediaServiceImageTags">
    <vt:lpwstr/>
  </property>
</Properties>
</file>