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4470246/Projects/PMO/HighPloidy_DoubleEdgedSword/code/CaseWestern_GBM/IMOworkshop2022/S3MB/"/>
    </mc:Choice>
  </mc:AlternateContent>
  <xr:revisionPtr revIDLastSave="0" documentId="13_ncr:1_{1D489F3D-2FA1-1F4A-BB16-636E7C70F75A}" xr6:coauthVersionLast="47" xr6:coauthVersionMax="47" xr10:uidLastSave="{00000000-0000-0000-0000-000000000000}"/>
  <bookViews>
    <workbookView xWindow="6760" yWindow="760" windowWidth="27800" windowHeight="21580" xr2:uid="{00000000-000D-0000-FFFF-FFFF00000000}"/>
  </bookViews>
  <sheets>
    <sheet name="Sheet1" sheetId="1" r:id="rId1"/>
    <sheet name="SensitivityAnalysis" sheetId="2" r:id="rId2"/>
  </sheet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20" i="1" l="1"/>
  <c r="C20" i="1"/>
  <c r="D19" i="1"/>
  <c r="B19" i="1" s="1"/>
  <c r="C19" i="1"/>
  <c r="C10" i="1"/>
  <c r="C27" i="1"/>
  <c r="D27" i="1" s="1"/>
  <c r="B20" i="1"/>
  <c r="C28" i="1"/>
  <c r="B7" i="1"/>
  <c r="C8" i="1"/>
  <c r="B8" i="1" s="1"/>
  <c r="C25" i="1"/>
  <c r="H26" i="1"/>
  <c r="D26" i="1" s="1"/>
  <c r="D25" i="1" s="1"/>
  <c r="B6" i="1"/>
  <c r="B4" i="1"/>
  <c r="D9" i="1"/>
  <c r="C9" i="1"/>
  <c r="B9" i="1" s="1"/>
  <c r="D18" i="1"/>
  <c r="C18" i="1"/>
  <c r="B2" i="1"/>
  <c r="B12" i="1"/>
  <c r="D29" i="1"/>
  <c r="D32" i="1"/>
  <c r="B5" i="1"/>
  <c r="B35" i="1"/>
  <c r="C3" i="1"/>
  <c r="B3" i="1" s="1"/>
  <c r="D3" i="1"/>
  <c r="D5" i="1"/>
  <c r="C5" i="1"/>
  <c r="H24" i="1"/>
  <c r="C24" i="1"/>
  <c r="D24" i="1"/>
  <c r="D8" i="1"/>
  <c r="B33" i="1"/>
  <c r="B30" i="1"/>
  <c r="C23" i="1"/>
  <c r="D23" i="1" s="1"/>
  <c r="H25" i="1"/>
  <c r="B31" i="1"/>
  <c r="C16" i="1"/>
  <c r="D16" i="1"/>
  <c r="B16" i="1" s="1"/>
  <c r="C15" i="1"/>
  <c r="D15" i="1"/>
  <c r="B17" i="1"/>
  <c r="C11" i="1"/>
  <c r="D11" i="1" s="1"/>
  <c r="C31" i="1"/>
  <c r="D31" i="1" s="1"/>
  <c r="D22" i="1"/>
  <c r="D21" i="1"/>
  <c r="D14" i="1"/>
  <c r="D13" i="1"/>
  <c r="I24" i="1"/>
  <c r="M10" i="1"/>
  <c r="I7" i="1"/>
  <c r="H7" i="1"/>
  <c r="I6" i="1"/>
  <c r="H6" i="1"/>
  <c r="B24" i="1" l="1"/>
  <c r="B15" i="1"/>
  <c r="B23" i="1"/>
  <c r="B26" i="1"/>
  <c r="B25" i="1" s="1"/>
  <c r="D10" i="1"/>
  <c r="B11" i="1"/>
  <c r="D28" i="1"/>
  <c r="B28" i="1" s="1"/>
  <c r="B27" i="1"/>
</calcChain>
</file>

<file path=xl/sharedStrings.xml><?xml version="1.0" encoding="utf-8"?>
<sst xmlns="http://schemas.openxmlformats.org/spreadsheetml/2006/main" count="250" uniqueCount="145">
  <si>
    <t>Name</t>
  </si>
  <si>
    <t>gamma</t>
  </si>
  <si>
    <t>alpha_death</t>
  </si>
  <si>
    <t>beta_death</t>
  </si>
  <si>
    <t>alpha_gamma</t>
  </si>
  <si>
    <t>beta_gamma</t>
  </si>
  <si>
    <t>a_mig</t>
  </si>
  <si>
    <t>b_mig</t>
  </si>
  <si>
    <t>v_max</t>
  </si>
  <si>
    <t>Oth</t>
  </si>
  <si>
    <t>Pth</t>
  </si>
  <si>
    <t>omega_P</t>
  </si>
  <si>
    <t>iota_O</t>
  </si>
  <si>
    <t>iota_G</t>
  </si>
  <si>
    <t>iota_P</t>
  </si>
  <si>
    <t>sigma</t>
  </si>
  <si>
    <t>Stiff0</t>
  </si>
  <si>
    <t>c_d</t>
  </si>
  <si>
    <t>delta_R</t>
  </si>
  <si>
    <t>p0</t>
  </si>
  <si>
    <t>omega_O</t>
  </si>
  <si>
    <t>omega_G</t>
  </si>
  <si>
    <t>alpha_Tchemo</t>
  </si>
  <si>
    <t>delta_Tchemo</t>
  </si>
  <si>
    <t>Value</t>
  </si>
  <si>
    <t>Unit</t>
  </si>
  <si>
    <t>cells/day</t>
  </si>
  <si>
    <t>mMol</t>
  </si>
  <si>
    <t>mMol/day</t>
  </si>
  <si>
    <t>cells</t>
  </si>
  <si>
    <t>Pascals</t>
  </si>
  <si>
    <t>dimensionless</t>
  </si>
  <si>
    <t>cell/day</t>
  </si>
  <si>
    <t>mm^2</t>
  </si>
  <si>
    <t>Description</t>
  </si>
  <si>
    <t>oxygen dependent growth constant per cell type</t>
  </si>
  <si>
    <t>biphasic migration rate constant 1 per cell type</t>
  </si>
  <si>
    <t>biphasic migration rate constant 2 per cell type</t>
  </si>
  <si>
    <t>threshold of oxygen concentration below which to switch from ox. Phos to glycolysis (i.e. glucose is limiting factor of death and division)</t>
  </si>
  <si>
    <t>the minimum Phosphate required for the cells to multiply</t>
  </si>
  <si>
    <t>additional PO4 generation rate by recruited vasculature</t>
  </si>
  <si>
    <t>excess O2 consumption rate by a voxel of tumor cells at carrying capacity</t>
  </si>
  <si>
    <t>excess Glucose consumption rate by a voxel of tumor cells at carrying capacity</t>
  </si>
  <si>
    <t>excess PO4 consumption rate by a voxel of tumor cells at carrying capacity</t>
  </si>
  <si>
    <t>Carrying capacity</t>
  </si>
  <si>
    <t>Max tissue stiffness</t>
  </si>
  <si>
    <t>clearance rate of dead cells via autophagy or other related mechanisms</t>
  </si>
  <si>
    <t>Starvation shrinkage rate (how effective lack of resources is killing tumor cells)</t>
  </si>
  <si>
    <t>Max angiogenesis probability</t>
  </si>
  <si>
    <t>additional O2 generation rate by recruited vasculature</t>
  </si>
  <si>
    <t>additional Glucose generation rate by recruited vasculature; @TODO: needs to be age specific</t>
  </si>
  <si>
    <t>oxygen dependence chemo driven cell death per cell type</t>
  </si>
  <si>
    <t>Chemo shrinkage rate (how effective chemo is killing tumor cells)</t>
  </si>
  <si>
    <t>voxel Size</t>
  </si>
  <si>
    <t>Eikenberry et al., 2009</t>
  </si>
  <si>
    <t>Robert.Macaulay@moffitt.org</t>
  </si>
  <si>
    <t>alpha</t>
  </si>
  <si>
    <t>beta</t>
  </si>
  <si>
    <t>rstar</t>
  </si>
  <si>
    <t>dimensionless?</t>
  </si>
  <si>
    <t>Value (if different for 2nd clone)</t>
  </si>
  <si>
    <t>Source 1</t>
  </si>
  <si>
    <t>Source 1 value</t>
  </si>
  <si>
    <t>Source 1 unit</t>
  </si>
  <si>
    <t>Source 2</t>
  </si>
  <si>
    <t>Source 2 value</t>
  </si>
  <si>
    <t>Comment</t>
  </si>
  <si>
    <t>fraction cells/day</t>
  </si>
  <si>
    <t>proliferation rate</t>
  </si>
  <si>
    <t>10.1111/cpr.12114</t>
  </si>
  <si>
    <t>0.012 (1/day)</t>
  </si>
  <si>
    <t>10.1529/biophysj.106.093468 - between 0 and 0.3</t>
  </si>
  <si>
    <t>%</t>
  </si>
  <si>
    <t>oxygen dependent death constant per cell type (oxygen concentration at which cell death rate is half maximum)</t>
  </si>
  <si>
    <t>10.1158/0008-5472.CAN-04-3395</t>
  </si>
  <si>
    <t>below 0.5%</t>
  </si>
  <si>
    <t>10.1152/ajplung.00281.2001</t>
  </si>
  <si>
    <t>source 1: O2 concentration as low as 0.5% did not induce apoptotsis, &lt;0.01 does induce cell death; source 2: 1.5% O2 concentration does not induce cell death</t>
  </si>
  <si>
    <t>glucose dependent death constant per cell type (glucose concentration at which cell death rate is half maximum)</t>
  </si>
  <si>
    <t>10.1016/j.molmet.2020.101093</t>
  </si>
  <si>
    <t>high variability depending on cell line and pH; my educated guess based on Figure 1 and S9 from source 1 would be 1 mM</t>
  </si>
  <si>
    <t>O2 concentration below 0.5% does not slow cell proliferation</t>
  </si>
  <si>
    <t>glucose dependent growth constant per cell type (glucose concentration at which cell proliferation rate is half maximum)</t>
  </si>
  <si>
    <t>10.1007/s10616-015-9889-2</t>
  </si>
  <si>
    <t>PMID: 19112423</t>
  </si>
  <si>
    <t>Source 1: for a hamster cell culture at 37 celcius the Ks parameter of Monod equation for glucose is 1.023 mg/mL (5.7 mMol/L). Source 2: "Glucose concentration about 1.0 mg/ml (5.6 mmol/L) can be considered as the threshold value for single cell reduction of which stimulates the transition of cell from proliferating to resting state"</t>
  </si>
  <si>
    <t>oxygen dependence of radiation driven cell death per cell type (same as alpha_death)</t>
  </si>
  <si>
    <t>10.1097/01.coc.0000091359.11281.f4</t>
  </si>
  <si>
    <t>2.1-3.7</t>
  </si>
  <si>
    <t>10.1186/1748-717X-6-171</t>
  </si>
  <si>
    <t>1.25-2.3</t>
  </si>
  <si>
    <t>oxygen enhancement ratio (dose in hypoxia divided by the dose in air to achieve the same survival level) in anoxia (Source 1); Source 2 (Figure 2) relates pO2 to OER: ~2.3 for 0.01 mmHg, 2.1 for 0.2 mmHg, 1.9 for 0.5 mmHg, 1.4 for 2.5 mmHg, 1.25 for 5 mmHg (all relative to 30 mmHg)</t>
  </si>
  <si>
    <t>10.1007/s11060-019-03107-0</t>
  </si>
  <si>
    <t>temozolomide IC50 fold difference under hypoxia vs normoxia; considering the effect of low glucose may be more relevant for temozolimde efficacy https://www.ncbi.nlm.nih.gov/pmc/articles/PMC8891890/</t>
  </si>
  <si>
    <t xml:space="preserve"> μm/day</t>
  </si>
  <si>
    <t>10.1038/s41598-018-36347-7</t>
  </si>
  <si>
    <t xml:space="preserve"> μm/min</t>
  </si>
  <si>
    <t>10.1002/glia.20334</t>
  </si>
  <si>
    <t>https://doi.org/10.1259/bjr.20130676</t>
  </si>
  <si>
    <t>O2 conc. that induced maximal HIF1a/b expression; half maximal expression at 1.5-2% O2</t>
  </si>
  <si>
    <t>mM</t>
  </si>
  <si>
    <t>10.1096/fj.202000799RR</t>
  </si>
  <si>
    <t>educated guess - increase in extracellular phosphate up to 8-10 mM stimulates cell proliferation, however no clear minimum cutoff is identified; 1 mM is evaluated as normal culture condition relative to which 10 mM is pro-survival and pro-proliferation; consenctrations &gt;16 mM are detrimential</t>
  </si>
  <si>
    <t>Source 3 (10.1371/journal.pone.0079115): 240000 cells/mm^3</t>
  </si>
  <si>
    <t>10.1146/annurev.bioeng.8.061505.095807</t>
  </si>
  <si>
    <t>vessel branching probability according to tumor angiogenesis factor concentration and magnitude of local wall shear stress</t>
  </si>
  <si>
    <t>10.1016/j.actbio.2016.07.040</t>
  </si>
  <si>
    <t>10.1056/NEJMoa043330 following 10.1088/0031-9155/52/11/023</t>
  </si>
  <si>
    <t>alpha in the linear quadratic equation of radiation sensitivity. cancer cell survival fraction is given by e^(-alpha*D-beta*D^2), where D is the dose per fraction while alpha and beta are linear and quadratic coefficients, for brain tumors alpha is 0.102 and beta is 0.008 (Source 1) or alpha is estimated at 0.06 +/- 0.05 Gy and alpha/beta is 10.0 +/- 15.1 Gy (Source 2)</t>
  </si>
  <si>
    <t>.</t>
  </si>
  <si>
    <t>voxels/day</t>
  </si>
  <si>
    <t>oxygen dependent death constant per cell type. concentration at which survival is half maximal</t>
  </si>
  <si>
    <t>glucose dependent death constant per cell type. Glucose concentration at which cell survival is half maximal</t>
  </si>
  <si>
    <t>oxygen dependent growth constant per cell type. concentration at which proliferation is half maximal</t>
  </si>
  <si>
    <t>glucose dependent growth constant per cell type. Glucose concentration at which proliferation is half maximal</t>
  </si>
  <si>
    <t>Kimmel &amp; Beck, 2023</t>
  </si>
  <si>
    <t>radiation-induced change of stiffness</t>
  </si>
  <si>
    <r>
      <t>change in stiffness from remodelling by tumor cells</t>
    </r>
    <r>
      <rPr>
        <sz val="8"/>
        <rFont val="Times New Roman"/>
        <family val="1"/>
      </rPr>
      <t>  </t>
    </r>
  </si>
  <si>
    <t>quadratic parameter for optimal tissue stiffness for directed cell migration</t>
  </si>
  <si>
    <t>linear parameter for optimal tissue stiffness for directed cell migration</t>
  </si>
  <si>
    <t>Wang et al., 2021</t>
  </si>
  <si>
    <t>Isomursu et al., 2022</t>
  </si>
  <si>
    <t>c_0</t>
  </si>
  <si>
    <t>c_1</t>
  </si>
  <si>
    <t>c_2</t>
  </si>
  <si>
    <t>c_3</t>
  </si>
  <si>
    <t>Median</t>
  </si>
  <si>
    <t>Min</t>
  </si>
  <si>
    <t>Max</t>
  </si>
  <si>
    <t>NumberVoxelsBrain</t>
  </si>
  <si>
    <t>liter2voxel</t>
  </si>
  <si>
    <t>liter2liter</t>
  </si>
  <si>
    <t>mg/L</t>
  </si>
  <si>
    <t>mg/L/day</t>
  </si>
  <si>
    <t>https://www.nature.com/articles/s41420-019-0146-x</t>
  </si>
  <si>
    <t>clearance rate of dead cells via macrophages</t>
  </si>
  <si>
    <t>beta in the linear quadratic equation of radiation sensitivity. cancer cell survival fraction is given by e^(-alpha*D-beta*D^2), where D is the dose per fraction while alpha and beta are linear and quadratic coefficients, for brain tumors alpha is 0.102 and beta is 0.008 (Source 1) or alpha is estimated at 0.06 +/- 0.05 Gy and alpha/beta is 10.0 +/- 15.1 Gy (Source 2)</t>
  </si>
  <si>
    <t>Therapy related parameters</t>
  </si>
  <si>
    <t>Normal brian physiology</t>
  </si>
  <si>
    <t>Tumor cells</t>
  </si>
  <si>
    <t>interaction tumor cells TME</t>
  </si>
  <si>
    <t>delta_Tchemo_MGMTmethylated</t>
  </si>
  <si>
    <t>delta_Tchemo_MGMTunmethylated</t>
  </si>
  <si>
    <t>Row28</t>
  </si>
  <si>
    <t xml:space="preserve">biphasic migration rate constant 1: top migration speed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</si>
</sst>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name val="Calibri"/>
    </font>
    <font>
      <sz val="11"/>
      <name val="Calibri"/>
      <family val="2"/>
    </font>
    <font>
      <sz val="11"/>
      <color theme="1"/>
      <name val="Calibri"/>
      <family val="2"/>
    </font>
    <font>
      <b/>
      <sz val="11"/>
      <name val="Calibri"/>
      <family val="2"/>
    </font>
    <font>
      <sz val="11"/>
      <color theme="4"/>
      <name val="Calibri"/>
      <family val="2"/>
    </font>
    <font>
      <sz val="11"/>
      <color theme="0" tint="-0.14999847407452621"/>
      <name val="Calibri"/>
      <family val="2"/>
    </font>
    <font>
      <b/>
      <sz val="11"/>
      <color theme="1"/>
      <name val="Calibri"/>
      <family val="2"/>
    </font>
    <font>
      <b/>
      <sz val="11"/>
      <color theme="0"/>
      <name val="Calibri"/>
      <family val="2"/>
    </font>
    <font>
      <sz val="11"/>
      <color theme="1" tint="0.34998626667073579"/>
      <name val="Calibri"/>
      <family val="2"/>
    </font>
    <font>
      <b/>
      <sz val="11"/>
      <color theme="1" tint="0.34998626667073579"/>
      <name val="Calibri"/>
      <family val="2"/>
    </font>
    <font>
      <i/>
      <sz val="9"/>
      <color rgb="FF000000"/>
      <name val="Cambria Math"/>
      <family val="1"/>
    </font>
    <font>
      <sz val="9"/>
      <color rgb="FF000000"/>
      <name val="Times New Roman"/>
      <family val="1"/>
    </font>
    <font>
      <sz val="8"/>
      <name val="Times New Roman"/>
      <family val="1"/>
    </font>
    <font>
      <sz val="11"/>
      <color theme="0" tint="-0.249977111117893"/>
      <name val="Calibri"/>
      <family val="2"/>
    </font>
    <font>
      <sz val="9"/>
      <color theme="1"/>
      <name val="Times New Roman"/>
      <family val="1"/>
    </font>
    <font>
      <u/>
      <sz val="11"/>
      <color theme="10"/>
      <name val="Calibri"/>
      <family val="2"/>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9">
    <border>
      <left/>
      <right/>
      <top/>
      <bottom/>
      <diagonal/>
    </border>
    <border>
      <left style="thick">
        <color auto="1"/>
      </left>
      <right/>
      <top/>
      <bottom/>
      <diagonal/>
    </border>
    <border>
      <left/>
      <right style="medium">
        <color indexed="64"/>
      </right>
      <top/>
      <bottom style="medium">
        <color indexed="64"/>
      </bottom>
      <diagonal/>
    </border>
    <border>
      <left style="thick">
        <color rgb="FFC00000"/>
      </left>
      <right style="thick">
        <color rgb="FFC00000"/>
      </right>
      <top style="thick">
        <color rgb="FFC00000"/>
      </top>
      <bottom style="thick">
        <color rgb="FFC00000"/>
      </bottom>
      <diagonal/>
    </border>
    <border>
      <left style="thick">
        <color rgb="FFC00000"/>
      </left>
      <right style="thick">
        <color rgb="FFC00000"/>
      </right>
      <top style="thick">
        <color rgb="FFC00000"/>
      </top>
      <bottom/>
      <diagonal/>
    </border>
    <border>
      <left style="thick">
        <color rgb="FFC00000"/>
      </left>
      <right style="thick">
        <color rgb="FFC00000"/>
      </right>
      <top/>
      <bottom style="thick">
        <color rgb="FFC00000"/>
      </bottom>
      <diagonal/>
    </border>
    <border>
      <left style="thick">
        <color rgb="FF7030A0"/>
      </left>
      <right style="thick">
        <color rgb="FF7030A0"/>
      </right>
      <top style="thick">
        <color rgb="FF7030A0"/>
      </top>
      <bottom/>
      <diagonal/>
    </border>
    <border>
      <left style="thick">
        <color rgb="FF7030A0"/>
      </left>
      <right style="thick">
        <color rgb="FF7030A0"/>
      </right>
      <top/>
      <bottom/>
      <diagonal/>
    </border>
    <border>
      <left style="thick">
        <color rgb="FF7030A0"/>
      </left>
      <right style="thick">
        <color rgb="FF7030A0"/>
      </right>
      <top/>
      <bottom style="thick">
        <color rgb="FF7030A0"/>
      </bottom>
      <diagonal/>
    </border>
  </borders>
  <cellStyleXfs count="2">
    <xf numFmtId="0" fontId="0" fillId="0" borderId="0"/>
    <xf numFmtId="0" fontId="15" fillId="0" borderId="0" applyNumberFormat="0" applyFill="0" applyBorder="0" applyAlignment="0" applyProtection="0"/>
  </cellStyleXfs>
  <cellXfs count="54">
    <xf numFmtId="0" fontId="0" fillId="0" borderId="0" xfId="0"/>
    <xf numFmtId="0" fontId="1" fillId="0" borderId="0" xfId="0" applyFont="1"/>
    <xf numFmtId="0" fontId="3" fillId="0" borderId="0" xfId="0" applyFont="1" applyAlignment="1">
      <alignment horizontal="left" vertical="center"/>
    </xf>
    <xf numFmtId="0" fontId="3" fillId="0" borderId="0" xfId="0" applyFont="1" applyAlignment="1">
      <alignment horizontal="left" vertical="center" wrapText="1"/>
    </xf>
    <xf numFmtId="0" fontId="3" fillId="0" borderId="1" xfId="0" applyFont="1" applyBorder="1" applyAlignment="1">
      <alignment horizontal="left" vertical="center"/>
    </xf>
    <xf numFmtId="0" fontId="0" fillId="0" borderId="1" xfId="0" applyBorder="1"/>
    <xf numFmtId="0" fontId="1" fillId="0" borderId="1" xfId="0" applyFont="1" applyBorder="1"/>
    <xf numFmtId="0" fontId="4" fillId="0" borderId="0" xfId="0" applyFont="1"/>
    <xf numFmtId="0" fontId="5" fillId="0" borderId="0" xfId="0" applyFont="1"/>
    <xf numFmtId="0" fontId="3" fillId="0" borderId="0" xfId="0" applyFont="1"/>
    <xf numFmtId="0" fontId="2" fillId="0" borderId="0" xfId="0" applyFont="1"/>
    <xf numFmtId="0" fontId="2" fillId="0" borderId="1" xfId="0" applyFont="1" applyBorder="1"/>
    <xf numFmtId="0" fontId="3" fillId="0" borderId="0" xfId="0" applyFont="1" applyAlignment="1">
      <alignment horizontal="right" vertical="center"/>
    </xf>
    <xf numFmtId="0" fontId="3" fillId="0" borderId="0" xfId="0" applyFont="1" applyAlignment="1">
      <alignment horizontal="right"/>
    </xf>
    <xf numFmtId="0" fontId="7" fillId="0" borderId="0" xfId="0" applyFont="1" applyAlignment="1">
      <alignment horizontal="right"/>
    </xf>
    <xf numFmtId="0" fontId="6" fillId="0" borderId="0" xfId="0" applyFont="1" applyAlignment="1">
      <alignment horizontal="right"/>
    </xf>
    <xf numFmtId="0" fontId="8" fillId="0" borderId="0" xfId="0" applyFont="1"/>
    <xf numFmtId="0" fontId="9" fillId="0" borderId="0" xfId="0" applyFont="1" applyAlignment="1">
      <alignment horizontal="right"/>
    </xf>
    <xf numFmtId="0" fontId="8" fillId="0" borderId="1" xfId="0" applyFont="1" applyBorder="1"/>
    <xf numFmtId="164" fontId="1" fillId="0" borderId="0" xfId="0" applyNumberFormat="1" applyFont="1"/>
    <xf numFmtId="0" fontId="10" fillId="0" borderId="0" xfId="0" applyFont="1" applyAlignment="1">
      <alignment vertical="center"/>
    </xf>
    <xf numFmtId="0" fontId="11" fillId="0" borderId="0" xfId="0" applyFont="1" applyAlignment="1">
      <alignment vertical="center"/>
    </xf>
    <xf numFmtId="0" fontId="13" fillId="0" borderId="0" xfId="0" applyFont="1" applyAlignment="1">
      <alignment horizontal="right"/>
    </xf>
    <xf numFmtId="0" fontId="13" fillId="0" borderId="0" xfId="0" applyFont="1"/>
    <xf numFmtId="0" fontId="6" fillId="0" borderId="0" xfId="0" applyFont="1"/>
    <xf numFmtId="0" fontId="2" fillId="0" borderId="0" xfId="0" applyFont="1" applyAlignment="1">
      <alignment horizontal="right"/>
    </xf>
    <xf numFmtId="0" fontId="14" fillId="0" borderId="0" xfId="0" applyFont="1" applyAlignment="1">
      <alignment horizontal="center" vertical="center"/>
    </xf>
    <xf numFmtId="0" fontId="14" fillId="0" borderId="0" xfId="0" applyFont="1" applyAlignment="1">
      <alignment horizontal="right" vertical="center"/>
    </xf>
    <xf numFmtId="0" fontId="14" fillId="0" borderId="2" xfId="0" applyFont="1" applyBorder="1" applyAlignment="1">
      <alignment horizontal="center" vertical="center"/>
    </xf>
    <xf numFmtId="0" fontId="14" fillId="0" borderId="0" xfId="0" applyFont="1"/>
    <xf numFmtId="0" fontId="15" fillId="0" borderId="0" xfId="1"/>
    <xf numFmtId="0" fontId="0" fillId="3" borderId="0" xfId="0" applyFill="1"/>
    <xf numFmtId="0" fontId="1" fillId="3" borderId="0" xfId="0" applyFont="1" applyFill="1"/>
    <xf numFmtId="0" fontId="0" fillId="0" borderId="3" xfId="0" applyBorder="1"/>
    <xf numFmtId="0" fontId="0" fillId="2" borderId="3" xfId="0" applyFill="1" applyBorder="1"/>
    <xf numFmtId="0" fontId="0" fillId="2" borderId="4" xfId="0" applyFill="1" applyBorder="1"/>
    <xf numFmtId="0" fontId="0" fillId="2" borderId="5" xfId="0" applyFill="1" applyBorder="1"/>
    <xf numFmtId="0" fontId="0" fillId="0" borderId="6" xfId="0" applyBorder="1"/>
    <xf numFmtId="0" fontId="0" fillId="3" borderId="7" xfId="0" applyFill="1" applyBorder="1"/>
    <xf numFmtId="0" fontId="1" fillId="0" borderId="8" xfId="0" applyFont="1" applyBorder="1"/>
    <xf numFmtId="0" fontId="0" fillId="0" borderId="8" xfId="0" applyBorder="1"/>
    <xf numFmtId="0" fontId="3"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0" fillId="0" borderId="3" xfId="0" applyBorder="1" applyAlignment="1">
      <alignment horizontal="left"/>
    </xf>
    <xf numFmtId="0" fontId="10" fillId="0" borderId="0" xfId="0" applyFont="1" applyAlignment="1">
      <alignment horizontal="left" vertical="center"/>
    </xf>
    <xf numFmtId="0" fontId="0" fillId="2" borderId="3" xfId="0" applyFill="1" applyBorder="1" applyAlignment="1">
      <alignment horizontal="left"/>
    </xf>
    <xf numFmtId="0" fontId="0" fillId="0" borderId="6" xfId="0" applyBorder="1" applyAlignment="1">
      <alignment horizontal="left"/>
    </xf>
    <xf numFmtId="0" fontId="0" fillId="3" borderId="7" xfId="0" applyFill="1" applyBorder="1" applyAlignment="1">
      <alignment horizontal="left"/>
    </xf>
    <xf numFmtId="0" fontId="0" fillId="2" borderId="4" xfId="0" applyFill="1" applyBorder="1" applyAlignment="1">
      <alignment horizontal="left"/>
    </xf>
    <xf numFmtId="0" fontId="1" fillId="0" borderId="8" xfId="0" applyFont="1" applyBorder="1" applyAlignment="1">
      <alignment horizontal="left"/>
    </xf>
    <xf numFmtId="0" fontId="0" fillId="2" borderId="5" xfId="0" applyFill="1" applyBorder="1" applyAlignment="1">
      <alignment horizontal="left"/>
    </xf>
    <xf numFmtId="0" fontId="0" fillId="0" borderId="8" xfId="0" applyBorder="1" applyAlignment="1">
      <alignment horizontal="left"/>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nature.com/articles/s41420-019-0146-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4"/>
  <sheetViews>
    <sheetView tabSelected="1" zoomScale="147" zoomScaleNormal="147" workbookViewId="0">
      <pane xSplit="1" ySplit="1" topLeftCell="B3" activePane="bottomRight" state="frozen"/>
      <selection pane="topRight" activeCell="B1" sqref="B1"/>
      <selection pane="bottomLeft" activeCell="A2" sqref="A2"/>
      <selection pane="bottomRight" activeCell="E10" sqref="E10"/>
    </sheetView>
  </sheetViews>
  <sheetFormatPr baseColWidth="10" defaultColWidth="8.83203125" defaultRowHeight="15" x14ac:dyDescent="0.2"/>
  <cols>
    <col min="1" max="1" width="14" customWidth="1"/>
    <col min="2" max="2" width="14.6640625" style="25" customWidth="1"/>
    <col min="3" max="3" width="14.6640625" style="10" customWidth="1"/>
    <col min="4" max="4" width="11.83203125" style="10" customWidth="1"/>
    <col min="5" max="5" width="14" customWidth="1"/>
    <col min="6" max="6" width="12" customWidth="1"/>
    <col min="7" max="7" width="14" style="13" customWidth="1"/>
    <col min="8" max="8" width="14" customWidth="1"/>
    <col min="9" max="9" width="11.6640625" customWidth="1"/>
    <col min="10" max="10" width="19.1640625" customWidth="1"/>
    <col min="11" max="11" width="29.1640625" customWidth="1"/>
    <col min="12" max="12" width="27" style="5" customWidth="1"/>
    <col min="13" max="14" width="11.6640625" customWidth="1"/>
    <col min="15" max="15" width="9.33203125" customWidth="1"/>
    <col min="16" max="16" width="10.6640625" customWidth="1"/>
    <col min="17" max="17" width="32" customWidth="1"/>
  </cols>
  <sheetData>
    <row r="1" spans="1:17" s="9" customFormat="1" ht="48" x14ac:dyDescent="0.2">
      <c r="A1" s="9" t="s">
        <v>0</v>
      </c>
      <c r="B1" s="15" t="s">
        <v>126</v>
      </c>
      <c r="C1" s="24" t="s">
        <v>127</v>
      </c>
      <c r="D1" s="24" t="s">
        <v>128</v>
      </c>
      <c r="E1" s="9" t="s">
        <v>25</v>
      </c>
      <c r="F1" s="9" t="s">
        <v>34</v>
      </c>
      <c r="G1" s="12" t="s">
        <v>0</v>
      </c>
      <c r="H1" s="2" t="s">
        <v>24</v>
      </c>
      <c r="I1" s="3" t="s">
        <v>60</v>
      </c>
      <c r="J1" s="2" t="s">
        <v>25</v>
      </c>
      <c r="K1" s="2" t="s">
        <v>34</v>
      </c>
      <c r="L1" s="4" t="s">
        <v>61</v>
      </c>
      <c r="M1" s="2" t="s">
        <v>62</v>
      </c>
      <c r="N1" s="2" t="s">
        <v>63</v>
      </c>
      <c r="O1" s="2" t="s">
        <v>64</v>
      </c>
      <c r="P1" s="2" t="s">
        <v>65</v>
      </c>
      <c r="Q1" s="2" t="s">
        <v>66</v>
      </c>
    </row>
    <row r="2" spans="1:17" ht="16" thickBot="1" x14ac:dyDescent="0.25">
      <c r="A2" t="s">
        <v>1</v>
      </c>
      <c r="B2" s="25">
        <f>C2</f>
        <v>6.3E-2</v>
      </c>
      <c r="C2" s="10">
        <v>6.3E-2</v>
      </c>
      <c r="D2" s="10">
        <v>0.30299999999999999</v>
      </c>
      <c r="E2" t="s">
        <v>26</v>
      </c>
      <c r="F2" t="s">
        <v>68</v>
      </c>
      <c r="G2" s="13" t="s">
        <v>1</v>
      </c>
      <c r="H2">
        <v>1</v>
      </c>
      <c r="I2">
        <v>1</v>
      </c>
      <c r="J2" s="1" t="s">
        <v>67</v>
      </c>
      <c r="K2" t="s">
        <v>68</v>
      </c>
      <c r="L2" s="6" t="s">
        <v>115</v>
      </c>
      <c r="M2">
        <v>0.185</v>
      </c>
      <c r="N2" s="1" t="s">
        <v>67</v>
      </c>
      <c r="O2" s="1" t="s">
        <v>69</v>
      </c>
      <c r="P2" s="1" t="s">
        <v>70</v>
      </c>
      <c r="Q2" s="1" t="s">
        <v>71</v>
      </c>
    </row>
    <row r="3" spans="1:17" ht="17" thickTop="1" thickBot="1" x14ac:dyDescent="0.25">
      <c r="A3" s="33" t="s">
        <v>2</v>
      </c>
      <c r="B3" s="25">
        <f>MEDIAN(C3:D3)</f>
        <v>1.7289000000000002E-2</v>
      </c>
      <c r="C3" s="10">
        <f>H3*0.0678*B34</f>
        <v>6.78E-4</v>
      </c>
      <c r="D3" s="10">
        <f>I3*0.0678*B34</f>
        <v>3.39E-2</v>
      </c>
      <c r="E3" s="1" t="s">
        <v>132</v>
      </c>
      <c r="F3" s="1" t="s">
        <v>111</v>
      </c>
      <c r="G3" s="13" t="s">
        <v>2</v>
      </c>
      <c r="H3">
        <v>0.01</v>
      </c>
      <c r="I3">
        <v>0.5</v>
      </c>
      <c r="J3" t="s">
        <v>72</v>
      </c>
      <c r="K3" t="s">
        <v>73</v>
      </c>
      <c r="L3" s="1" t="s">
        <v>74</v>
      </c>
      <c r="M3" s="7" t="s">
        <v>75</v>
      </c>
      <c r="N3" t="s">
        <v>72</v>
      </c>
      <c r="O3" t="s">
        <v>76</v>
      </c>
      <c r="Q3" s="7" t="s">
        <v>77</v>
      </c>
    </row>
    <row r="4" spans="1:17" ht="17" thickTop="1" thickBot="1" x14ac:dyDescent="0.25">
      <c r="A4" s="34" t="s">
        <v>3</v>
      </c>
      <c r="B4" s="25">
        <f>MEDIAN(C4:D4)</f>
        <v>1.45</v>
      </c>
      <c r="C4" s="10">
        <v>0</v>
      </c>
      <c r="D4" s="10">
        <v>2.9</v>
      </c>
      <c r="E4" t="s">
        <v>27</v>
      </c>
      <c r="F4" s="32" t="s">
        <v>112</v>
      </c>
      <c r="G4" s="13" t="s">
        <v>3</v>
      </c>
      <c r="H4">
        <v>1</v>
      </c>
      <c r="I4">
        <v>1</v>
      </c>
      <c r="J4" t="s">
        <v>27</v>
      </c>
      <c r="K4" t="s">
        <v>78</v>
      </c>
      <c r="L4" s="6" t="s">
        <v>79</v>
      </c>
      <c r="M4" s="7">
        <v>1</v>
      </c>
      <c r="N4" t="s">
        <v>27</v>
      </c>
      <c r="Q4" s="7" t="s">
        <v>80</v>
      </c>
    </row>
    <row r="5" spans="1:17" ht="17" thickTop="1" thickBot="1" x14ac:dyDescent="0.25">
      <c r="A5" s="33" t="s">
        <v>4</v>
      </c>
      <c r="B5" s="25">
        <f>MEDIAN(C5:D5)</f>
        <v>1.7289000000000002E-2</v>
      </c>
      <c r="C5" s="10">
        <f>0.0678*H5*B34</f>
        <v>6.78E-4</v>
      </c>
      <c r="D5" s="10">
        <f>0.0678*I5*B34</f>
        <v>3.39E-2</v>
      </c>
      <c r="E5" s="1" t="s">
        <v>132</v>
      </c>
      <c r="F5" s="1" t="s">
        <v>113</v>
      </c>
      <c r="G5" s="13" t="s">
        <v>4</v>
      </c>
      <c r="H5">
        <v>0.01</v>
      </c>
      <c r="I5">
        <v>0.5</v>
      </c>
      <c r="J5" t="s">
        <v>72</v>
      </c>
      <c r="K5" t="s">
        <v>35</v>
      </c>
      <c r="L5" t="s">
        <v>74</v>
      </c>
      <c r="M5" s="7" t="s">
        <v>75</v>
      </c>
      <c r="N5" t="s">
        <v>72</v>
      </c>
      <c r="Q5" s="7" t="s">
        <v>81</v>
      </c>
    </row>
    <row r="6" spans="1:17" ht="16" thickTop="1" x14ac:dyDescent="0.2">
      <c r="A6" s="35" t="s">
        <v>5</v>
      </c>
      <c r="B6" s="25">
        <f>MEDIAN(C6:D6)</f>
        <v>2.9493999999999998</v>
      </c>
      <c r="C6" s="10">
        <v>0.1988</v>
      </c>
      <c r="D6" s="10">
        <v>5.7</v>
      </c>
      <c r="E6" t="s">
        <v>27</v>
      </c>
      <c r="F6" s="32" t="s">
        <v>114</v>
      </c>
      <c r="G6" s="13" t="s">
        <v>5</v>
      </c>
      <c r="H6">
        <f>M6</f>
        <v>5.7</v>
      </c>
      <c r="I6">
        <f>M6</f>
        <v>5.7</v>
      </c>
      <c r="J6" s="1" t="s">
        <v>27</v>
      </c>
      <c r="K6" t="s">
        <v>82</v>
      </c>
      <c r="L6" s="5" t="s">
        <v>83</v>
      </c>
      <c r="M6">
        <v>5.7</v>
      </c>
      <c r="N6" s="1" t="s">
        <v>27</v>
      </c>
      <c r="O6" s="1" t="s">
        <v>84</v>
      </c>
      <c r="Q6" s="1" t="s">
        <v>85</v>
      </c>
    </row>
    <row r="7" spans="1:17" ht="16" thickBot="1" x14ac:dyDescent="0.25">
      <c r="A7" s="36" t="s">
        <v>8</v>
      </c>
      <c r="B7" s="25">
        <f t="shared" ref="B7" si="0">(C7+D7)/2</f>
        <v>0.33500000000000002</v>
      </c>
      <c r="C7" s="10">
        <v>0.17</v>
      </c>
      <c r="D7" s="10">
        <v>0.5</v>
      </c>
      <c r="E7" s="1" t="s">
        <v>110</v>
      </c>
      <c r="F7" s="1" t="s">
        <v>144</v>
      </c>
      <c r="G7" s="13" t="s">
        <v>6</v>
      </c>
      <c r="H7">
        <f>N7*60*24</f>
        <v>720</v>
      </c>
      <c r="I7">
        <f>N7*60*24</f>
        <v>720</v>
      </c>
      <c r="J7" t="s">
        <v>94</v>
      </c>
      <c r="K7" s="1" t="s">
        <v>36</v>
      </c>
      <c r="L7" s="6" t="s">
        <v>95</v>
      </c>
      <c r="M7" s="1">
        <v>-0.56499999999999995</v>
      </c>
      <c r="N7">
        <v>0.5</v>
      </c>
      <c r="O7" t="s">
        <v>96</v>
      </c>
      <c r="P7" t="s">
        <v>97</v>
      </c>
      <c r="Q7" s="1">
        <v>1.67</v>
      </c>
    </row>
    <row r="8" spans="1:17" ht="17" thickTop="1" thickBot="1" x14ac:dyDescent="0.25">
      <c r="A8" s="40" t="s">
        <v>7</v>
      </c>
      <c r="B8" s="25">
        <f>C8</f>
        <v>0.86124069999999997</v>
      </c>
      <c r="C8" s="10">
        <f>H8</f>
        <v>0.86124069999999997</v>
      </c>
      <c r="D8" s="10">
        <f>I8</f>
        <v>0.91421419999999998</v>
      </c>
      <c r="F8" t="s">
        <v>37</v>
      </c>
      <c r="G8" s="13" t="s">
        <v>7</v>
      </c>
      <c r="H8" s="10">
        <v>0.86124069999999997</v>
      </c>
      <c r="I8" s="10">
        <v>0.91421419999999998</v>
      </c>
      <c r="K8" s="1" t="s">
        <v>37</v>
      </c>
      <c r="L8" s="6"/>
      <c r="M8" s="1"/>
      <c r="N8" s="1"/>
      <c r="O8" s="1"/>
      <c r="P8" s="1"/>
      <c r="Q8" s="1"/>
    </row>
    <row r="9" spans="1:17" ht="17" thickTop="1" thickBot="1" x14ac:dyDescent="0.25">
      <c r="A9" s="33" t="s">
        <v>9</v>
      </c>
      <c r="B9" s="25">
        <f>MEDIAN(C9:D9)</f>
        <v>5.1019499999999995E-2</v>
      </c>
      <c r="C9" s="10">
        <f>H9*0.0678*B34</f>
        <v>3.39E-4</v>
      </c>
      <c r="D9" s="10">
        <f>I9*0.0678*B34</f>
        <v>0.1017</v>
      </c>
      <c r="E9" s="1" t="s">
        <v>132</v>
      </c>
      <c r="F9" t="s">
        <v>38</v>
      </c>
      <c r="G9" s="13" t="s">
        <v>9</v>
      </c>
      <c r="H9">
        <v>5.0000000000000001E-3</v>
      </c>
      <c r="I9">
        <v>1.5</v>
      </c>
      <c r="J9" s="1" t="s">
        <v>72</v>
      </c>
      <c r="K9" t="s">
        <v>38</v>
      </c>
      <c r="L9" s="5" t="s">
        <v>98</v>
      </c>
      <c r="M9">
        <v>5.0000000000000001E-3</v>
      </c>
      <c r="N9" s="1" t="s">
        <v>72</v>
      </c>
      <c r="Q9" t="s">
        <v>99</v>
      </c>
    </row>
    <row r="10" spans="1:17" ht="16" thickTop="1" x14ac:dyDescent="0.2">
      <c r="A10" t="s">
        <v>15</v>
      </c>
      <c r="B10" s="25">
        <v>22610</v>
      </c>
      <c r="C10" s="10">
        <f>0.8*H10</f>
        <v>18088</v>
      </c>
      <c r="D10" s="10">
        <f>1.2*H10</f>
        <v>27132</v>
      </c>
      <c r="E10" t="s">
        <v>29</v>
      </c>
      <c r="F10" t="s">
        <v>44</v>
      </c>
      <c r="G10" s="13" t="s">
        <v>15</v>
      </c>
      <c r="H10" s="25">
        <v>22610</v>
      </c>
      <c r="I10" s="1"/>
      <c r="J10" s="1" t="s">
        <v>29</v>
      </c>
      <c r="K10" s="1" t="s">
        <v>44</v>
      </c>
      <c r="L10" s="6" t="s">
        <v>55</v>
      </c>
      <c r="M10" s="1">
        <f>C29*((10^8)^(1/3))^2</f>
        <v>861773.87601275463</v>
      </c>
      <c r="N10" s="1"/>
      <c r="O10" s="1" t="s">
        <v>54</v>
      </c>
      <c r="P10" s="1">
        <v>240000</v>
      </c>
      <c r="Q10" s="1" t="s">
        <v>103</v>
      </c>
    </row>
    <row r="11" spans="1:17" ht="16" thickBot="1" x14ac:dyDescent="0.25">
      <c r="A11" t="s">
        <v>16</v>
      </c>
      <c r="B11" s="25">
        <f t="shared" ref="B11" si="1">(C11+D11)/2</f>
        <v>2930</v>
      </c>
      <c r="C11" s="10">
        <f>H11</f>
        <v>2930</v>
      </c>
      <c r="D11" s="10">
        <f t="shared" ref="D11:D32" si="2">C11</f>
        <v>2930</v>
      </c>
      <c r="E11" t="s">
        <v>30</v>
      </c>
      <c r="F11" t="s">
        <v>45</v>
      </c>
      <c r="G11" s="13" t="s">
        <v>16</v>
      </c>
      <c r="H11" s="1">
        <v>2930</v>
      </c>
      <c r="I11" s="1"/>
      <c r="J11" s="1" t="s">
        <v>30</v>
      </c>
      <c r="K11" s="1" t="s">
        <v>45</v>
      </c>
      <c r="L11" s="6" t="s">
        <v>106</v>
      </c>
      <c r="M11" s="1">
        <v>2930</v>
      </c>
      <c r="N11" s="1" t="s">
        <v>30</v>
      </c>
    </row>
    <row r="12" spans="1:17" ht="17" thickTop="1" thickBot="1" x14ac:dyDescent="0.25">
      <c r="A12" s="33" t="s">
        <v>17</v>
      </c>
      <c r="B12" s="25">
        <f>(C12+D12)/2</f>
        <v>0.6</v>
      </c>
      <c r="C12" s="10">
        <v>0.45</v>
      </c>
      <c r="D12" s="10">
        <v>0.75</v>
      </c>
      <c r="E12" s="1" t="s">
        <v>67</v>
      </c>
      <c r="F12" t="s">
        <v>46</v>
      </c>
      <c r="G12" s="13" t="s">
        <v>17</v>
      </c>
      <c r="H12" s="10">
        <v>0.45</v>
      </c>
      <c r="I12" s="10">
        <v>0.75</v>
      </c>
      <c r="J12" s="1" t="s">
        <v>67</v>
      </c>
      <c r="K12" s="1" t="s">
        <v>135</v>
      </c>
      <c r="L12" s="30" t="s">
        <v>134</v>
      </c>
      <c r="M12" s="19"/>
      <c r="N12" s="1"/>
      <c r="O12" s="1"/>
    </row>
    <row r="13" spans="1:17" ht="16" thickTop="1" x14ac:dyDescent="0.2">
      <c r="A13" s="20" t="s">
        <v>122</v>
      </c>
      <c r="B13" s="27">
        <v>0.98699999999999999</v>
      </c>
      <c r="C13" s="26">
        <v>0.98699999999999999</v>
      </c>
      <c r="D13" s="10">
        <f t="shared" si="2"/>
        <v>0.98699999999999999</v>
      </c>
      <c r="E13" s="1"/>
      <c r="F13" s="21" t="s">
        <v>116</v>
      </c>
      <c r="H13" s="1"/>
      <c r="I13" s="1"/>
      <c r="J13" s="1"/>
      <c r="K13" s="1"/>
      <c r="L13" s="21" t="s">
        <v>120</v>
      </c>
      <c r="M13" s="19"/>
      <c r="N13" s="1"/>
      <c r="O13" s="1"/>
    </row>
    <row r="14" spans="1:17" x14ac:dyDescent="0.2">
      <c r="A14" s="20" t="s">
        <v>123</v>
      </c>
      <c r="B14" s="27">
        <v>6.6791999999999998</v>
      </c>
      <c r="C14" s="26">
        <v>6.6791999999999998</v>
      </c>
      <c r="D14" s="10">
        <f t="shared" si="2"/>
        <v>6.6791999999999998</v>
      </c>
      <c r="E14" s="1"/>
      <c r="F14" s="21" t="s">
        <v>117</v>
      </c>
      <c r="H14" s="1"/>
      <c r="I14" s="1"/>
      <c r="J14" s="1"/>
      <c r="K14" s="1"/>
      <c r="L14" s="21"/>
      <c r="M14" s="19"/>
      <c r="N14" s="1"/>
      <c r="O14" s="1"/>
    </row>
    <row r="15" spans="1:17" ht="16" thickBot="1" x14ac:dyDescent="0.25">
      <c r="A15" s="20" t="s">
        <v>124</v>
      </c>
      <c r="B15" s="25">
        <f>(C15+D15)/2</f>
        <v>-1.3799999999999999E-8</v>
      </c>
      <c r="C15" s="28">
        <f>-0.0138/10^6</f>
        <v>-1.3799999999999999E-8</v>
      </c>
      <c r="D15" s="28">
        <f>-0.0138/10^6</f>
        <v>-1.3799999999999999E-8</v>
      </c>
      <c r="E15" s="1"/>
      <c r="F15" s="21" t="s">
        <v>118</v>
      </c>
      <c r="H15" s="1"/>
      <c r="I15" s="1"/>
      <c r="J15" s="1"/>
      <c r="K15" s="1"/>
      <c r="L15" s="21" t="s">
        <v>121</v>
      </c>
      <c r="M15" s="19"/>
      <c r="N15" s="1"/>
      <c r="O15" s="1"/>
    </row>
    <row r="16" spans="1:17" ht="16" thickBot="1" x14ac:dyDescent="0.25">
      <c r="A16" s="20" t="s">
        <v>125</v>
      </c>
      <c r="B16" s="25">
        <f>(C16+D16)/2</f>
        <v>2.3460000000000001E-4</v>
      </c>
      <c r="C16" s="28">
        <f>0.2346/10^3</f>
        <v>2.3460000000000001E-4</v>
      </c>
      <c r="D16" s="28">
        <f>0.2346/10^3</f>
        <v>2.3460000000000001E-4</v>
      </c>
      <c r="E16" s="1"/>
      <c r="F16" s="21" t="s">
        <v>119</v>
      </c>
      <c r="H16" s="1"/>
      <c r="I16" s="1"/>
      <c r="J16" s="1"/>
      <c r="K16" s="1"/>
      <c r="L16" s="21" t="s">
        <v>121</v>
      </c>
      <c r="M16" s="19"/>
      <c r="N16" s="1"/>
      <c r="O16" s="1"/>
    </row>
    <row r="17" spans="1:17" ht="17" thickTop="1" thickBot="1" x14ac:dyDescent="0.25">
      <c r="A17" s="35" t="s">
        <v>18</v>
      </c>
      <c r="B17" s="25">
        <f>(C17+D17)/2</f>
        <v>0.13100000000000001</v>
      </c>
      <c r="C17" s="29">
        <v>5.2999999999999999E-2</v>
      </c>
      <c r="D17" s="29">
        <v>0.20899999999999999</v>
      </c>
      <c r="E17" s="1" t="s">
        <v>67</v>
      </c>
      <c r="F17" t="s">
        <v>47</v>
      </c>
      <c r="G17" s="13" t="s">
        <v>18</v>
      </c>
      <c r="H17" s="1">
        <v>0.1</v>
      </c>
      <c r="I17" s="1">
        <v>0.1</v>
      </c>
      <c r="J17" s="1" t="s">
        <v>67</v>
      </c>
      <c r="K17" s="1" t="s">
        <v>47</v>
      </c>
      <c r="L17" s="1"/>
      <c r="M17" s="1"/>
      <c r="N17" s="1" t="s">
        <v>67</v>
      </c>
    </row>
    <row r="18" spans="1:17" ht="16" thickTop="1" x14ac:dyDescent="0.2">
      <c r="A18" s="37" t="s">
        <v>19</v>
      </c>
      <c r="B18" s="25">
        <v>1</v>
      </c>
      <c r="C18" s="10">
        <f>0.5*1</f>
        <v>0.5</v>
      </c>
      <c r="D18" s="10">
        <f>1*1</f>
        <v>1</v>
      </c>
      <c r="E18" t="s">
        <v>31</v>
      </c>
      <c r="F18" t="s">
        <v>48</v>
      </c>
      <c r="G18" s="13" t="s">
        <v>19</v>
      </c>
      <c r="H18" s="1">
        <v>1</v>
      </c>
      <c r="I18" s="1"/>
      <c r="J18" s="1" t="s">
        <v>31</v>
      </c>
      <c r="K18" s="1" t="s">
        <v>48</v>
      </c>
      <c r="L18" s="6" t="s">
        <v>104</v>
      </c>
      <c r="M18" s="1">
        <v>1</v>
      </c>
      <c r="N18" s="1" t="s">
        <v>31</v>
      </c>
      <c r="O18" s="1"/>
      <c r="P18" s="1"/>
      <c r="Q18" s="1" t="s">
        <v>105</v>
      </c>
    </row>
    <row r="19" spans="1:17" x14ac:dyDescent="0.2">
      <c r="A19" s="38" t="s">
        <v>20</v>
      </c>
      <c r="B19" s="25">
        <f>(C19+D19)/2</f>
        <v>3.2000000000000002E-3</v>
      </c>
      <c r="C19" s="10">
        <f>0.5*0.0032</f>
        <v>1.6000000000000001E-3</v>
      </c>
      <c r="D19" s="10">
        <f>1.5*0.0032</f>
        <v>4.8000000000000004E-3</v>
      </c>
      <c r="E19" s="1" t="s">
        <v>133</v>
      </c>
      <c r="F19" s="31" t="s">
        <v>49</v>
      </c>
      <c r="G19" s="14" t="s">
        <v>109</v>
      </c>
      <c r="J19" s="1"/>
      <c r="N19" s="1"/>
    </row>
    <row r="20" spans="1:17" ht="16" thickBot="1" x14ac:dyDescent="0.25">
      <c r="A20" s="39" t="s">
        <v>21</v>
      </c>
      <c r="B20" s="25">
        <f>(C20+D20)/2</f>
        <v>2.9699999999999997E-2</v>
      </c>
      <c r="C20" s="10">
        <f>0.5*0.297/10</f>
        <v>1.4849999999999999E-2</v>
      </c>
      <c r="D20" s="10">
        <f>1.5*0.297/10</f>
        <v>4.4549999999999999E-2</v>
      </c>
      <c r="E20" s="1" t="s">
        <v>28</v>
      </c>
      <c r="F20" s="31" t="s">
        <v>50</v>
      </c>
      <c r="G20" s="14" t="s">
        <v>109</v>
      </c>
      <c r="J20" s="1"/>
      <c r="K20" s="1"/>
      <c r="N20" s="1"/>
    </row>
    <row r="21" spans="1:17" ht="16" thickTop="1" x14ac:dyDescent="0.2">
      <c r="A21" s="1" t="s">
        <v>56</v>
      </c>
      <c r="B21" s="25">
        <v>0.10199999999999999</v>
      </c>
      <c r="C21" s="10">
        <v>0.10199999999999999</v>
      </c>
      <c r="D21" s="10">
        <f t="shared" si="2"/>
        <v>0.10199999999999999</v>
      </c>
      <c r="E21" s="1" t="s">
        <v>59</v>
      </c>
      <c r="F21" s="1" t="s">
        <v>108</v>
      </c>
      <c r="G21" s="14" t="s">
        <v>109</v>
      </c>
    </row>
    <row r="22" spans="1:17" x14ac:dyDescent="0.2">
      <c r="A22" s="1" t="s">
        <v>57</v>
      </c>
      <c r="B22" s="25">
        <v>8.0000000000000002E-3</v>
      </c>
      <c r="C22" s="10">
        <v>8.0000000000000002E-3</v>
      </c>
      <c r="D22" s="10">
        <f t="shared" si="2"/>
        <v>8.0000000000000002E-3</v>
      </c>
      <c r="E22" s="1" t="s">
        <v>59</v>
      </c>
      <c r="F22" s="1" t="s">
        <v>136</v>
      </c>
      <c r="G22" s="14" t="s">
        <v>109</v>
      </c>
    </row>
    <row r="23" spans="1:17" x14ac:dyDescent="0.2">
      <c r="A23" s="1" t="s">
        <v>58</v>
      </c>
      <c r="B23" s="25">
        <f>(C23+D23)/2</f>
        <v>3</v>
      </c>
      <c r="C23" s="10">
        <f>H23</f>
        <v>3</v>
      </c>
      <c r="D23" s="10">
        <f t="shared" si="2"/>
        <v>3</v>
      </c>
      <c r="E23" s="1" t="s">
        <v>59</v>
      </c>
      <c r="F23" s="1" t="s">
        <v>91</v>
      </c>
      <c r="G23" s="1" t="s">
        <v>58</v>
      </c>
      <c r="H23">
        <v>3</v>
      </c>
      <c r="I23">
        <v>3</v>
      </c>
      <c r="J23" s="1" t="s">
        <v>59</v>
      </c>
      <c r="K23" s="10" t="s">
        <v>86</v>
      </c>
      <c r="L23" s="11" t="s">
        <v>87</v>
      </c>
      <c r="M23" s="10" t="s">
        <v>88</v>
      </c>
      <c r="N23" s="10" t="s">
        <v>31</v>
      </c>
      <c r="O23" s="10" t="s">
        <v>89</v>
      </c>
      <c r="P23" s="10" t="s">
        <v>90</v>
      </c>
      <c r="Q23" s="10" t="s">
        <v>91</v>
      </c>
    </row>
    <row r="24" spans="1:17" ht="16" thickBot="1" x14ac:dyDescent="0.25">
      <c r="A24" s="1" t="s">
        <v>22</v>
      </c>
      <c r="B24" s="25">
        <f>(C24+D24)/2</f>
        <v>1.149</v>
      </c>
      <c r="C24" s="10">
        <f>H24*B34</f>
        <v>1.149</v>
      </c>
      <c r="D24" s="10">
        <f>C24*B34</f>
        <v>1.149</v>
      </c>
      <c r="E24" s="1" t="s">
        <v>132</v>
      </c>
      <c r="F24" t="s">
        <v>51</v>
      </c>
      <c r="G24" s="13" t="s">
        <v>22</v>
      </c>
      <c r="H24">
        <f>M24</f>
        <v>1.149</v>
      </c>
      <c r="I24">
        <f>M24</f>
        <v>1.149</v>
      </c>
      <c r="J24" s="1" t="s">
        <v>31</v>
      </c>
      <c r="K24" t="s">
        <v>51</v>
      </c>
      <c r="L24" s="5" t="s">
        <v>92</v>
      </c>
      <c r="M24">
        <v>1.149</v>
      </c>
      <c r="N24" s="1" t="s">
        <v>31</v>
      </c>
      <c r="Q24" s="1" t="s">
        <v>93</v>
      </c>
    </row>
    <row r="25" spans="1:17" ht="17" thickTop="1" thickBot="1" x14ac:dyDescent="0.25">
      <c r="A25" s="53" t="s">
        <v>141</v>
      </c>
      <c r="B25" s="25">
        <f>B26*0.7</f>
        <v>8.26E-3</v>
      </c>
      <c r="C25" s="25">
        <f t="shared" ref="C25:D25" si="3">C26*0.7</f>
        <v>2.8E-3</v>
      </c>
      <c r="D25" s="25">
        <f t="shared" si="3"/>
        <v>1.3719999999999998E-2</v>
      </c>
      <c r="E25" t="s">
        <v>32</v>
      </c>
      <c r="F25" t="s">
        <v>52</v>
      </c>
      <c r="G25" s="13" t="s">
        <v>23</v>
      </c>
      <c r="H25" s="1">
        <f>M25</f>
        <v>1.9599999999999999E-2</v>
      </c>
      <c r="I25" s="1">
        <v>0.2</v>
      </c>
      <c r="J25" s="1" t="s">
        <v>67</v>
      </c>
      <c r="K25" s="1" t="s">
        <v>52</v>
      </c>
      <c r="L25" s="6" t="s">
        <v>107</v>
      </c>
      <c r="M25" s="1">
        <v>1.9599999999999999E-2</v>
      </c>
      <c r="N25" s="1" t="s">
        <v>67</v>
      </c>
      <c r="O25" s="1"/>
      <c r="P25" s="1"/>
      <c r="Q25" s="1"/>
    </row>
    <row r="26" spans="1:17" ht="17" thickTop="1" thickBot="1" x14ac:dyDescent="0.25">
      <c r="A26" s="53" t="s">
        <v>142</v>
      </c>
      <c r="B26" s="25">
        <f>(C26+D26)/2</f>
        <v>1.18E-2</v>
      </c>
      <c r="C26" s="10">
        <v>4.0000000000000001E-3</v>
      </c>
      <c r="D26" s="10">
        <f>H26</f>
        <v>1.9599999999999999E-2</v>
      </c>
      <c r="E26" t="s">
        <v>32</v>
      </c>
      <c r="F26" t="s">
        <v>52</v>
      </c>
      <c r="G26" s="13" t="s">
        <v>23</v>
      </c>
      <c r="H26" s="1">
        <f>M26</f>
        <v>1.9599999999999999E-2</v>
      </c>
      <c r="I26" s="1">
        <v>0.2</v>
      </c>
      <c r="J26" s="1" t="s">
        <v>67</v>
      </c>
      <c r="K26" s="1" t="s">
        <v>52</v>
      </c>
      <c r="L26" s="6" t="s">
        <v>107</v>
      </c>
      <c r="M26" s="1">
        <v>1.9599999999999999E-2</v>
      </c>
      <c r="N26" s="1" t="s">
        <v>67</v>
      </c>
      <c r="O26" s="1"/>
      <c r="P26" s="1"/>
      <c r="Q26" s="1"/>
    </row>
    <row r="27" spans="1:17" ht="21" customHeight="1" thickTop="1" x14ac:dyDescent="0.2">
      <c r="A27" s="1" t="s">
        <v>12</v>
      </c>
      <c r="B27" s="25">
        <f>B19</f>
        <v>3.2000000000000002E-3</v>
      </c>
      <c r="C27" s="10">
        <f>C19</f>
        <v>1.6000000000000001E-3</v>
      </c>
      <c r="D27" s="10">
        <f>C27</f>
        <v>1.6000000000000001E-3</v>
      </c>
      <c r="E27" s="1" t="s">
        <v>133</v>
      </c>
      <c r="F27" s="31" t="s">
        <v>41</v>
      </c>
    </row>
    <row r="28" spans="1:17" ht="20" customHeight="1" x14ac:dyDescent="0.2">
      <c r="A28" t="s">
        <v>13</v>
      </c>
      <c r="B28" s="25">
        <f>(C28+D28)/2</f>
        <v>1.4849999999999999E-2</v>
      </c>
      <c r="C28" s="10">
        <f>C20</f>
        <v>1.4849999999999999E-2</v>
      </c>
      <c r="D28" s="10">
        <f t="shared" si="2"/>
        <v>1.4849999999999999E-2</v>
      </c>
      <c r="E28" t="s">
        <v>28</v>
      </c>
      <c r="F28" s="31" t="s">
        <v>42</v>
      </c>
    </row>
    <row r="29" spans="1:17" x14ac:dyDescent="0.2">
      <c r="A29" s="1" t="s">
        <v>143</v>
      </c>
      <c r="B29" s="25">
        <v>4</v>
      </c>
      <c r="C29" s="10">
        <v>4</v>
      </c>
      <c r="D29" s="10">
        <f t="shared" si="2"/>
        <v>4</v>
      </c>
      <c r="E29" t="s">
        <v>33</v>
      </c>
      <c r="F29" t="s">
        <v>53</v>
      </c>
    </row>
    <row r="30" spans="1:17" s="16" customFormat="1" x14ac:dyDescent="0.2">
      <c r="A30" s="23" t="s">
        <v>10</v>
      </c>
      <c r="B30" s="22">
        <f>(C30+D30)/2</f>
        <v>0</v>
      </c>
      <c r="C30" s="23">
        <v>0</v>
      </c>
      <c r="D30" s="23">
        <v>0</v>
      </c>
      <c r="E30" s="16" t="s">
        <v>27</v>
      </c>
      <c r="F30" s="16" t="s">
        <v>39</v>
      </c>
      <c r="G30" s="17" t="s">
        <v>10</v>
      </c>
      <c r="H30" s="16">
        <v>1</v>
      </c>
      <c r="J30" s="16" t="s">
        <v>100</v>
      </c>
      <c r="K30" s="16" t="s">
        <v>39</v>
      </c>
      <c r="L30" s="18" t="s">
        <v>101</v>
      </c>
      <c r="M30" s="16">
        <v>1</v>
      </c>
      <c r="N30" s="16" t="s">
        <v>100</v>
      </c>
      <c r="Q30" s="16" t="s">
        <v>102</v>
      </c>
    </row>
    <row r="31" spans="1:17" s="16" customFormat="1" x14ac:dyDescent="0.2">
      <c r="A31" s="23" t="s">
        <v>11</v>
      </c>
      <c r="B31" s="22">
        <f>B32</f>
        <v>0</v>
      </c>
      <c r="C31" s="23">
        <f>C32</f>
        <v>0</v>
      </c>
      <c r="D31" s="23">
        <f t="shared" si="2"/>
        <v>0</v>
      </c>
      <c r="E31" s="16" t="s">
        <v>27</v>
      </c>
      <c r="F31" s="16" t="s">
        <v>40</v>
      </c>
      <c r="G31" s="17" t="s">
        <v>109</v>
      </c>
      <c r="L31" s="18"/>
    </row>
    <row r="32" spans="1:17" s="16" customFormat="1" x14ac:dyDescent="0.2">
      <c r="A32" s="23" t="s">
        <v>14</v>
      </c>
      <c r="B32" s="22">
        <v>0</v>
      </c>
      <c r="C32" s="23">
        <v>0</v>
      </c>
      <c r="D32" s="23">
        <f t="shared" si="2"/>
        <v>0</v>
      </c>
      <c r="E32" s="16" t="s">
        <v>28</v>
      </c>
      <c r="F32" s="16" t="s">
        <v>43</v>
      </c>
      <c r="G32" s="17"/>
      <c r="L32" s="18"/>
    </row>
    <row r="33" spans="1:17" x14ac:dyDescent="0.2">
      <c r="A33" s="23" t="s">
        <v>129</v>
      </c>
      <c r="B33" s="23">
        <f>100^2</f>
        <v>10000</v>
      </c>
      <c r="C33" s="23"/>
      <c r="D33" s="23"/>
    </row>
    <row r="34" spans="1:17" x14ac:dyDescent="0.2">
      <c r="A34" s="23" t="s">
        <v>131</v>
      </c>
      <c r="B34" s="22">
        <v>1</v>
      </c>
      <c r="C34" s="23"/>
      <c r="D34" s="23"/>
    </row>
    <row r="35" spans="1:17" x14ac:dyDescent="0.2">
      <c r="A35" s="23" t="s">
        <v>130</v>
      </c>
      <c r="B35" s="22">
        <f>0.000001 * 2^3</f>
        <v>7.9999999999999996E-6</v>
      </c>
      <c r="Q35" s="1"/>
    </row>
    <row r="36" spans="1:17" x14ac:dyDescent="0.2">
      <c r="K36" s="1"/>
      <c r="L36"/>
    </row>
    <row r="37" spans="1:17" x14ac:dyDescent="0.2">
      <c r="I37" s="1"/>
      <c r="J37" s="1"/>
      <c r="K37" s="1"/>
      <c r="L37"/>
    </row>
    <row r="38" spans="1:17" x14ac:dyDescent="0.2">
      <c r="I38" s="8"/>
      <c r="J38" s="8"/>
      <c r="K38" s="8"/>
      <c r="L38"/>
    </row>
    <row r="39" spans="1:17" x14ac:dyDescent="0.2">
      <c r="I39" s="8"/>
      <c r="J39" s="8"/>
      <c r="K39" s="8"/>
      <c r="L39"/>
    </row>
    <row r="40" spans="1:17" x14ac:dyDescent="0.2">
      <c r="I40" s="8"/>
      <c r="J40" s="8"/>
      <c r="K40" s="8"/>
      <c r="L40"/>
    </row>
    <row r="41" spans="1:17" x14ac:dyDescent="0.2">
      <c r="L41"/>
    </row>
    <row r="42" spans="1:17" x14ac:dyDescent="0.2">
      <c r="L42"/>
    </row>
    <row r="43" spans="1:17" x14ac:dyDescent="0.2">
      <c r="I43" s="1"/>
      <c r="J43" s="1"/>
      <c r="K43" s="1"/>
      <c r="L43"/>
    </row>
    <row r="44" spans="1:17" x14ac:dyDescent="0.2">
      <c r="J44" s="1"/>
      <c r="K44" s="1"/>
      <c r="L44"/>
    </row>
  </sheetData>
  <hyperlinks>
    <hyperlink ref="L12" r:id="rId1" xr:uid="{7F49EF81-CE2D-EF4D-8944-868D39DF1417}"/>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F84FC-1042-CA44-A8AC-F972493B39D0}">
  <dimension ref="A1:D11"/>
  <sheetViews>
    <sheetView zoomScale="294" zoomScaleNormal="294" workbookViewId="0">
      <selection activeCell="A17" sqref="A17"/>
    </sheetView>
  </sheetViews>
  <sheetFormatPr baseColWidth="10" defaultRowHeight="15" x14ac:dyDescent="0.2"/>
  <cols>
    <col min="1" max="4" width="24.5" style="43" customWidth="1"/>
  </cols>
  <sheetData>
    <row r="1" spans="1:4" s="9" customFormat="1" ht="16" thickBot="1" x14ac:dyDescent="0.25">
      <c r="A1" s="41" t="s">
        <v>137</v>
      </c>
      <c r="B1" s="41" t="s">
        <v>138</v>
      </c>
      <c r="C1" s="41" t="s">
        <v>140</v>
      </c>
      <c r="D1" s="41" t="s">
        <v>139</v>
      </c>
    </row>
    <row r="2" spans="1:4" ht="17" thickTop="1" thickBot="1" x14ac:dyDescent="0.25">
      <c r="A2" s="42" t="s">
        <v>56</v>
      </c>
      <c r="B2" s="43" t="s">
        <v>16</v>
      </c>
      <c r="C2" s="44" t="s">
        <v>9</v>
      </c>
      <c r="D2" s="44" t="s">
        <v>2</v>
      </c>
    </row>
    <row r="3" spans="1:4" ht="17" thickTop="1" thickBot="1" x14ac:dyDescent="0.25">
      <c r="A3" s="42" t="s">
        <v>57</v>
      </c>
      <c r="B3" s="45" t="s">
        <v>122</v>
      </c>
      <c r="C3" s="44" t="s">
        <v>17</v>
      </c>
      <c r="D3" s="46" t="s">
        <v>3</v>
      </c>
    </row>
    <row r="4" spans="1:4" ht="17" thickTop="1" thickBot="1" x14ac:dyDescent="0.25">
      <c r="A4" s="42" t="s">
        <v>58</v>
      </c>
      <c r="B4" s="45" t="s">
        <v>123</v>
      </c>
      <c r="C4" s="47" t="s">
        <v>19</v>
      </c>
      <c r="D4" s="44" t="s">
        <v>4</v>
      </c>
    </row>
    <row r="5" spans="1:4" ht="17" thickTop="1" thickBot="1" x14ac:dyDescent="0.25">
      <c r="A5" s="42" t="s">
        <v>22</v>
      </c>
      <c r="B5" s="45" t="s">
        <v>124</v>
      </c>
      <c r="C5" s="48" t="s">
        <v>20</v>
      </c>
      <c r="D5" s="49" t="s">
        <v>5</v>
      </c>
    </row>
    <row r="6" spans="1:4" ht="17" thickTop="1" thickBot="1" x14ac:dyDescent="0.25">
      <c r="A6" s="44" t="s">
        <v>23</v>
      </c>
      <c r="B6" s="45" t="s">
        <v>125</v>
      </c>
      <c r="C6" s="50" t="s">
        <v>21</v>
      </c>
      <c r="D6" s="51" t="s">
        <v>8</v>
      </c>
    </row>
    <row r="7" spans="1:4" ht="16" thickTop="1" x14ac:dyDescent="0.2">
      <c r="D7" s="49" t="s">
        <v>18</v>
      </c>
    </row>
    <row r="8" spans="1:4" ht="16" thickBot="1" x14ac:dyDescent="0.25">
      <c r="D8" s="43" t="s">
        <v>15</v>
      </c>
    </row>
    <row r="9" spans="1:4" ht="16" thickTop="1" x14ac:dyDescent="0.2">
      <c r="D9" s="47" t="s">
        <v>6</v>
      </c>
    </row>
    <row r="10" spans="1:4" ht="16" thickBot="1" x14ac:dyDescent="0.25">
      <c r="C10" s="41"/>
      <c r="D10" s="52" t="s">
        <v>7</v>
      </c>
    </row>
    <row r="11" spans="1:4" ht="16" thickTop="1" x14ac:dyDescent="0.2">
      <c r="C11" s="4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SensitivityAnalysis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Andor, Noemi</cp:lastModifiedBy>
  <dcterms:created xsi:type="dcterms:W3CDTF">2023-04-01T17:35:12Z</dcterms:created>
  <dcterms:modified xsi:type="dcterms:W3CDTF">2024-09-13T16:41:33Z</dcterms:modified>
</cp:coreProperties>
</file>