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eterdburkholder/Downloads/"/>
    </mc:Choice>
  </mc:AlternateContent>
  <xr:revisionPtr revIDLastSave="0" documentId="13_ncr:1_{BC43D78C-D526-5B4E-8427-F40D56079E80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Worksheet" sheetId="1" r:id="rId1"/>
    <sheet name="Cloud.gov Tiers" sheetId="2" r:id="rId2"/>
    <sheet name="AWS Service Prices" sheetId="3" r:id="rId3"/>
  </sheets>
  <definedNames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Prices'!$K:$O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E5" i="1" l="1"/>
  <c r="K10" i="1"/>
  <c r="S42" i="1"/>
  <c r="S41" i="1"/>
  <c r="S15" i="1"/>
  <c r="S10" i="1"/>
  <c r="B19" i="1" s="1" a="1"/>
  <c r="B19" i="1" s="1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P36" i="1"/>
  <c r="O36" i="1"/>
  <c r="S36" i="1" s="1"/>
  <c r="N36" i="1"/>
  <c r="M35" i="1"/>
  <c r="M33" i="1" a="1"/>
  <c r="O34" i="1" s="1"/>
  <c r="S34" i="1" s="1"/>
  <c r="B35" i="1"/>
  <c r="A35" i="1"/>
  <c r="B34" i="1"/>
  <c r="A34" i="1"/>
  <c r="B33" i="1"/>
  <c r="A32" i="1"/>
  <c r="B31" i="1"/>
  <c r="A31" i="1"/>
  <c r="B30" i="1"/>
  <c r="A30" i="1"/>
  <c r="B29" i="1"/>
  <c r="A29" i="1"/>
  <c r="B28" i="1"/>
  <c r="A28" i="1" a="1"/>
  <c r="A33" i="1" s="1"/>
  <c r="M19" i="1" a="1"/>
  <c r="C15" i="1"/>
  <c r="F42" i="1"/>
  <c r="E42" i="1"/>
  <c r="G38" i="1"/>
  <c r="K38" i="1" s="1"/>
  <c r="E35" i="1"/>
  <c r="I34" i="1"/>
  <c r="F32" i="1"/>
  <c r="E32" i="1"/>
  <c r="H28" i="1"/>
  <c r="G28" i="1"/>
  <c r="K28" i="1" s="1"/>
  <c r="E25" i="1"/>
  <c r="I24" i="1"/>
  <c r="F22" i="1"/>
  <c r="E22" i="1"/>
  <c r="H18" i="1"/>
  <c r="G18" i="1"/>
  <c r="K18" i="1" s="1"/>
  <c r="E15" i="1"/>
  <c r="I14" i="1"/>
  <c r="E14" i="1" a="1"/>
  <c r="G30" i="1" s="1"/>
  <c r="K30" i="1" s="1"/>
  <c r="C10" i="1"/>
  <c r="B23" i="1" l="1"/>
  <c r="P28" i="1"/>
  <c r="P26" i="1"/>
  <c r="P24" i="1"/>
  <c r="P22" i="1"/>
  <c r="P20" i="1"/>
  <c r="N28" i="1"/>
  <c r="N26" i="1"/>
  <c r="N24" i="1"/>
  <c r="N22" i="1"/>
  <c r="N20" i="1"/>
  <c r="M26" i="1"/>
  <c r="M20" i="1"/>
  <c r="O28" i="1"/>
  <c r="S28" i="1" s="1"/>
  <c r="O26" i="1"/>
  <c r="S26" i="1" s="1"/>
  <c r="O24" i="1"/>
  <c r="S24" i="1" s="1"/>
  <c r="O22" i="1"/>
  <c r="S22" i="1" s="1"/>
  <c r="O20" i="1"/>
  <c r="S20" i="1" s="1"/>
  <c r="M28" i="1"/>
  <c r="M24" i="1"/>
  <c r="M22" i="1"/>
  <c r="Q27" i="1"/>
  <c r="O25" i="1"/>
  <c r="S25" i="1" s="1"/>
  <c r="G16" i="1"/>
  <c r="K16" i="1" s="1"/>
  <c r="G26" i="1"/>
  <c r="K26" i="1" s="1"/>
  <c r="I32" i="1"/>
  <c r="I42" i="1"/>
  <c r="N19" i="1"/>
  <c r="Q22" i="1"/>
  <c r="O29" i="1"/>
  <c r="S29" i="1" s="1"/>
  <c r="M33" i="1"/>
  <c r="Q36" i="1"/>
  <c r="M25" i="1"/>
  <c r="N25" i="1"/>
  <c r="F36" i="1"/>
  <c r="Q28" i="1"/>
  <c r="G22" i="1"/>
  <c r="K22" i="1" s="1"/>
  <c r="F16" i="1"/>
  <c r="E19" i="1"/>
  <c r="H22" i="1"/>
  <c r="F26" i="1"/>
  <c r="E29" i="1"/>
  <c r="H32" i="1"/>
  <c r="E39" i="1"/>
  <c r="Q21" i="1"/>
  <c r="N29" i="1"/>
  <c r="E30" i="1"/>
  <c r="G36" i="1"/>
  <c r="K36" i="1" s="1"/>
  <c r="P25" i="1"/>
  <c r="H16" i="1"/>
  <c r="E23" i="1"/>
  <c r="F30" i="1"/>
  <c r="F40" i="1"/>
  <c r="O19" i="1"/>
  <c r="S19" i="1" s="1"/>
  <c r="P29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E14" i="1"/>
  <c r="G43" i="1"/>
  <c r="K43" i="1" s="1"/>
  <c r="G41" i="1"/>
  <c r="K41" i="1" s="1"/>
  <c r="G39" i="1"/>
  <c r="K39" i="1" s="1"/>
  <c r="G37" i="1"/>
  <c r="K37" i="1" s="1"/>
  <c r="G35" i="1"/>
  <c r="K35" i="1" s="1"/>
  <c r="G33" i="1"/>
  <c r="K33" i="1" s="1"/>
  <c r="G31" i="1"/>
  <c r="K31" i="1" s="1"/>
  <c r="G29" i="1"/>
  <c r="K29" i="1" s="1"/>
  <c r="G27" i="1"/>
  <c r="K27" i="1" s="1"/>
  <c r="G25" i="1"/>
  <c r="K25" i="1" s="1"/>
  <c r="G23" i="1"/>
  <c r="K23" i="1" s="1"/>
  <c r="G21" i="1"/>
  <c r="K21" i="1" s="1"/>
  <c r="G19" i="1"/>
  <c r="K19" i="1" s="1"/>
  <c r="G17" i="1"/>
  <c r="K17" i="1" s="1"/>
  <c r="G15" i="1"/>
  <c r="K15" i="1" s="1"/>
  <c r="F43" i="1"/>
  <c r="F39" i="1"/>
  <c r="F35" i="1"/>
  <c r="F33" i="1"/>
  <c r="F29" i="1"/>
  <c r="F25" i="1"/>
  <c r="F21" i="1"/>
  <c r="F17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F41" i="1"/>
  <c r="F37" i="1"/>
  <c r="F31" i="1"/>
  <c r="F27" i="1"/>
  <c r="F23" i="1"/>
  <c r="F19" i="1"/>
  <c r="F15" i="1"/>
  <c r="G20" i="1"/>
  <c r="K20" i="1" s="1"/>
  <c r="E24" i="1"/>
  <c r="E34" i="1"/>
  <c r="G40" i="1"/>
  <c r="K40" i="1" s="1"/>
  <c r="F34" i="1"/>
  <c r="H40" i="1"/>
  <c r="Q19" i="1"/>
  <c r="O23" i="1"/>
  <c r="S23" i="1" s="1"/>
  <c r="M27" i="1"/>
  <c r="H38" i="1"/>
  <c r="O21" i="1"/>
  <c r="S21" i="1" s="1"/>
  <c r="E16" i="1"/>
  <c r="I18" i="1"/>
  <c r="E26" i="1"/>
  <c r="I28" i="1"/>
  <c r="G32" i="1"/>
  <c r="K32" i="1" s="1"/>
  <c r="E36" i="1"/>
  <c r="I38" i="1"/>
  <c r="G42" i="1"/>
  <c r="K42" i="1" s="1"/>
  <c r="M19" i="1"/>
  <c r="P21" i="1"/>
  <c r="M29" i="1"/>
  <c r="I22" i="1"/>
  <c r="E40" i="1"/>
  <c r="M36" i="1"/>
  <c r="M34" i="1"/>
  <c r="P37" i="1"/>
  <c r="P35" i="1"/>
  <c r="P33" i="1"/>
  <c r="O35" i="1"/>
  <c r="S35" i="1" s="1"/>
  <c r="O33" i="1"/>
  <c r="S33" i="1" s="1"/>
  <c r="B22" i="1" s="1"/>
  <c r="Q37" i="1"/>
  <c r="Q35" i="1"/>
  <c r="Q33" i="1"/>
  <c r="O37" i="1"/>
  <c r="S37" i="1" s="1"/>
  <c r="N37" i="1"/>
  <c r="N35" i="1"/>
  <c r="N33" i="1"/>
  <c r="M37" i="1"/>
  <c r="I16" i="1"/>
  <c r="I26" i="1"/>
  <c r="I36" i="1"/>
  <c r="P19" i="1"/>
  <c r="N23" i="1"/>
  <c r="Q26" i="1"/>
  <c r="Q29" i="1"/>
  <c r="N34" i="1"/>
  <c r="F14" i="1"/>
  <c r="E17" i="1"/>
  <c r="H20" i="1"/>
  <c r="F24" i="1"/>
  <c r="E27" i="1"/>
  <c r="H30" i="1"/>
  <c r="E37" i="1"/>
  <c r="G14" i="1"/>
  <c r="K14" i="1" s="1"/>
  <c r="E18" i="1"/>
  <c r="I20" i="1"/>
  <c r="G24" i="1"/>
  <c r="K24" i="1" s="1"/>
  <c r="E28" i="1"/>
  <c r="I30" i="1"/>
  <c r="G34" i="1"/>
  <c r="K34" i="1" s="1"/>
  <c r="E38" i="1"/>
  <c r="I40" i="1"/>
  <c r="Q20" i="1"/>
  <c r="P23" i="1"/>
  <c r="N27" i="1"/>
  <c r="P34" i="1"/>
  <c r="N21" i="1"/>
  <c r="Q24" i="1"/>
  <c r="P27" i="1"/>
  <c r="H42" i="1"/>
  <c r="E20" i="1"/>
  <c r="F20" i="1"/>
  <c r="H26" i="1"/>
  <c r="E33" i="1"/>
  <c r="H36" i="1"/>
  <c r="E43" i="1"/>
  <c r="M23" i="1"/>
  <c r="Q25" i="1"/>
  <c r="H14" i="1"/>
  <c r="F18" i="1"/>
  <c r="E21" i="1"/>
  <c r="H24" i="1"/>
  <c r="F28" i="1"/>
  <c r="E31" i="1"/>
  <c r="H34" i="1"/>
  <c r="F38" i="1"/>
  <c r="E41" i="1"/>
  <c r="M21" i="1"/>
  <c r="Q23" i="1"/>
  <c r="O27" i="1"/>
  <c r="S27" i="1" s="1"/>
  <c r="Q34" i="1"/>
  <c r="A28" i="1"/>
  <c r="B32" i="1"/>
  <c r="B21" i="1" l="1"/>
  <c r="B20" i="1" a="1"/>
  <c r="B20" i="1" s="1"/>
  <c r="A5" i="1" l="1"/>
  <c r="B5" i="1" s="1" a="1"/>
  <c r="B5" i="1" s="1"/>
  <c r="C5" i="1" l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<sst xmlns="http://schemas.openxmlformats.org/spreadsheetml/2006/main" count="401" uniqueCount="235">
  <si>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</si>
  <si>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</si>
  <si>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</si>
  <si>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</si>
  <si>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</si>
  <si>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</si>
  <si>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</si>
  <si>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</si>
  <si>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</si>
  <si>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</si>
  <si>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</si>
  <si>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</si>
  <si>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Column 1</t>
  </si>
  <si>
    <t>Units</t>
  </si>
  <si>
    <t>Dimension</t>
  </si>
  <si>
    <t>Quantity (GB)</t>
  </si>
  <si>
    <t>Application Memory</t>
  </si>
  <si>
    <t>AWS RDS</t>
  </si>
  <si>
    <t>Expected AWS RDS Storage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</si>
  <si>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</si>
  <si>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</si>
  <si>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</si>
  <si>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</si>
  <si>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</si>
  <si>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</si>
  <si>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</si>
  <si>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</si>
  <si>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</si>
  <si>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</si>
  <si>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</si>
  <si>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</si>
  <si>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</si>
  <si>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</si>
  <si>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AWS RDSmicro-psql</t>
  </si>
  <si>
    <t>db.t3.micro</t>
  </si>
  <si>
    <t>micro-psql-redundant</t>
  </si>
  <si>
    <t>AWS RDSmicro-psql-redundant</t>
  </si>
  <si>
    <t>AWS OpenSearch</t>
  </si>
  <si>
    <t>Expected OpenSearch/ElasicSearch storage</t>
  </si>
  <si>
    <t>es-storage</t>
  </si>
  <si>
    <t>small-psql</t>
  </si>
  <si>
    <t>AWS RDSsmall-psql</t>
  </si>
  <si>
    <t>db.t3.small</t>
  </si>
  <si>
    <t>Service Summary</t>
  </si>
  <si>
    <t>small-psql-redundant</t>
  </si>
  <si>
    <t>AWS RDSsmall-psql-redundant</t>
  </si>
  <si>
    <t>OpenSearch Instances</t>
  </si>
  <si>
    <t>Service</t>
  </si>
  <si>
    <t>medium-psql</t>
  </si>
  <si>
    <t>AWS RDSmedium-psql</t>
  </si>
  <si>
    <t>db.t3.medium</t>
  </si>
  <si>
    <t>InstanceType</t>
  </si>
  <si>
    <t>S3</t>
  </si>
  <si>
    <t>medium-psql-redundant</t>
  </si>
  <si>
    <t>AWS RDSmedium-psql-redundant</t>
  </si>
  <si>
    <t>es-dev</t>
  </si>
  <si>
    <t>AWS OpenSearches-dev</t>
  </si>
  <si>
    <t>t3.small.search</t>
  </si>
  <si>
    <t>RDS</t>
  </si>
  <si>
    <t>medium-gp-psql</t>
  </si>
  <si>
    <t>AWS RDSmedium-gp-psql</t>
  </si>
  <si>
    <t>db.m5.large</t>
  </si>
  <si>
    <t>es-medium</t>
  </si>
  <si>
    <t>AWS OpenSearches-medium</t>
  </si>
  <si>
    <t>c5.large.search</t>
  </si>
  <si>
    <t>OpenSearch</t>
  </si>
  <si>
    <t>medium-gp-psql-redundant</t>
  </si>
  <si>
    <t>AWS RDSmedium-gp-psql-redundant</t>
  </si>
  <si>
    <t>es-medium-ha</t>
  </si>
  <si>
    <t>AWS OpenSearches-medium-ha</t>
  </si>
  <si>
    <t>ElasticCache</t>
  </si>
  <si>
    <t>large-gp-psql</t>
  </si>
  <si>
    <t>AWS RDSlarge-gp-psql</t>
  </si>
  <si>
    <t>es-large</t>
  </si>
  <si>
    <t>AWS OpenSearches-large</t>
  </si>
  <si>
    <t>c5.xlarge.search</t>
  </si>
  <si>
    <t>SES (email service)</t>
  </si>
  <si>
    <t>large-gp-psql-redundant</t>
  </si>
  <si>
    <t>AWS RDSlarge-gp-psql-redundant</t>
  </si>
  <si>
    <t>es-large-ha</t>
  </si>
  <si>
    <t>AWS OpenSearches-large-ha</t>
  </si>
  <si>
    <t>xlarge-gp-psql</t>
  </si>
  <si>
    <t>AWS RDSxlarge-gp-psql</t>
  </si>
  <si>
    <t>db.m5.xlarge</t>
  </si>
  <si>
    <t>es-xlarge</t>
  </si>
  <si>
    <t>AWS OpenSearches-xlarge</t>
  </si>
  <si>
    <t>c5.2xlarge.search</t>
  </si>
  <si>
    <t>xlarge-gp-psql-redundant</t>
  </si>
  <si>
    <t>AWS RDSxlarge-gp-psql-redundant</t>
  </si>
  <si>
    <t>es-xlarge-ha</t>
  </si>
  <si>
    <t>AWS OpenSearches-xlarge-ha</t>
  </si>
  <si>
    <t>2xlarge-gp-psql</t>
  </si>
  <si>
    <t>AWS RDS2xlarge-gp-psql</t>
  </si>
  <si>
    <t>db.m5.2xlarge</t>
  </si>
  <si>
    <t>es-2xlarge-gp</t>
  </si>
  <si>
    <t>AWS OpenSearches-2xlarge-gp</t>
  </si>
  <si>
    <t>m5.2xlarge.search</t>
  </si>
  <si>
    <t>Included Services</t>
  </si>
  <si>
    <t>2xlarge-gp-psql-redundant</t>
  </si>
  <si>
    <t>AWS RDS2xlarge-gp-psql-redundant</t>
  </si>
  <si>
    <t>es-2xlarge-gp-ha</t>
  </si>
  <si>
    <t>AWS OpenSearches-2xlarge-gp-ha</t>
  </si>
  <si>
    <t>cdn-route</t>
  </si>
  <si>
    <t>xlarge-gp-psql-m6</t>
  </si>
  <si>
    <t>AWS RDSxlarge-gp-psql-m6</t>
  </si>
  <si>
    <t>db.m6g.xlarge</t>
  </si>
  <si>
    <t>es-4xlarge-gp</t>
  </si>
  <si>
    <t>AWS OpenSearches-4xlarge-gp</t>
  </si>
  <si>
    <t>m5.4xlarge.search</t>
  </si>
  <si>
    <t>External Domain</t>
  </si>
  <si>
    <t>custom-domain</t>
  </si>
  <si>
    <t>xlarge-gp-psql-m6-redundant</t>
  </si>
  <si>
    <t>AWS RDSxlarge-gp-psql-m6-redundant</t>
  </si>
  <si>
    <t>es-4xlarge-gp-ha</t>
  </si>
  <si>
    <t>AWS OpenSearches-4xlarge-gp-ha</t>
  </si>
  <si>
    <t>domain</t>
  </si>
  <si>
    <t>micro-mysql</t>
  </si>
  <si>
    <t>AWS RDSmicro-mysql</t>
  </si>
  <si>
    <t>domain-with-cdn</t>
  </si>
  <si>
    <t>micro-mysql-redundant</t>
  </si>
  <si>
    <t>AWS RDSmicro-mysql-redundant</t>
  </si>
  <si>
    <t>ElastiCache Instances</t>
  </si>
  <si>
    <t>UAA Service Account</t>
  </si>
  <si>
    <t>oauth-client</t>
  </si>
  <si>
    <t>small-mysql</t>
  </si>
  <si>
    <t>AWS RDSsmall-mysql</t>
  </si>
  <si>
    <t>space-auditor</t>
  </si>
  <si>
    <t>small-mysql-redundant</t>
  </si>
  <si>
    <t>AWS RDSsmall-mysql-redundant</t>
  </si>
  <si>
    <t>redis-dev</t>
  </si>
  <si>
    <t>AWS ElastiCacheredis-dev</t>
  </si>
  <si>
    <t>cache.t3.micro</t>
  </si>
  <si>
    <t>space-deployer</t>
  </si>
  <si>
    <t>medium-mysql</t>
  </si>
  <si>
    <t>AWS RDSmedium-mysql</t>
  </si>
  <si>
    <t>AWS ElastiCache</t>
  </si>
  <si>
    <t>redis-3node</t>
  </si>
  <si>
    <t>AWS ElastiCacheredis-3node</t>
  </si>
  <si>
    <t>Autoscaler</t>
  </si>
  <si>
    <t>autoscaler-free-plan</t>
  </si>
  <si>
    <t>medium-mysql-redundant</t>
  </si>
  <si>
    <t>AWS RDSmedium-mysql-redundant</t>
  </si>
  <si>
    <t>redis-5node</t>
  </si>
  <si>
    <t>AWS ElastiCacheredis-5node</t>
  </si>
  <si>
    <t>These do not incur any additional costs</t>
  </si>
  <si>
    <t>medium-gp-mysql</t>
  </si>
  <si>
    <t>AWS RDSmedium-gp-mysql</t>
  </si>
  <si>
    <t>redis-3node-large</t>
  </si>
  <si>
    <t>AWS ElastiCacheredis-3node-large</t>
  </si>
  <si>
    <t>cache.t3.small</t>
  </si>
  <si>
    <t>medium-gp-mysql-redundant</t>
  </si>
  <si>
    <t>AWS RDSmedium-gp-mysql-redundant</t>
  </si>
  <si>
    <t>redis-5node-large</t>
  </si>
  <si>
    <t>AWS ElastiCacheredis-5node-large</t>
  </si>
  <si>
    <t>large-gp-mysql</t>
  </si>
  <si>
    <t>AWS RDSlarge-gp-mysql</t>
  </si>
  <si>
    <t>large-gp-mysql-redundant</t>
  </si>
  <si>
    <t>AWS RDSlarge-gp-mysql-redundant</t>
  </si>
  <si>
    <t>Simple Email Service</t>
  </si>
  <si>
    <t>xlarge-gp-mysql</t>
  </si>
  <si>
    <t>AWS RDSxlarge-gp-mysql</t>
  </si>
  <si>
    <t>xlarge-gp-mysql-redundant</t>
  </si>
  <si>
    <t>AWS RDSxlarge-gp-mysql-redundant</t>
  </si>
  <si>
    <t>AWS SES</t>
  </si>
  <si>
    <t>Expected number of monthly emails</t>
  </si>
  <si>
    <t>Number of emails sent</t>
  </si>
  <si>
    <t>emails-sent</t>
  </si>
  <si>
    <t>medium-oracle-se2</t>
  </si>
  <si>
    <t>AWS RDSmedium-oracle-se2</t>
  </si>
  <si>
    <t xml:space="preserve">Expected GB of monthly email attachment data </t>
  </si>
  <si>
    <t>GB of attachment data</t>
  </si>
  <si>
    <t>attachment-data</t>
  </si>
  <si>
    <t>large-gp-sqlserver-se</t>
  </si>
  <si>
    <t>AWS RDSlarge-gp-sqlserver-se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</si>
  <si>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</si>
  <si>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</si>
  <si>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</si>
  <si>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</si>
  <si>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</si>
  <si>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</si>
  <si>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</si>
  <si>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</si>
  <si>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</si>
  <si>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</si>
  <si>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</si>
  <si>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</si>
  <si>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</si>
  <si>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</si>
  <si>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</si>
  <si>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</si>
  <si>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</si>
  <si>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</si>
  <si>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</si>
  <si>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</si>
  <si>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</si>
  <si>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</si>
  <si>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</si>
  <si>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</si>
  <si>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</si>
  <si>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</si>
  <si>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</si>
  <si>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</si>
  <si>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</si>
  <si>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</si>
  <si>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</si>
  <si>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</si>
  <si>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</si>
  <si>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</si>
  <si>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</si>
  <si>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</si>
  <si>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</si>
  <si>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</si>
  <si>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</si>
  <si>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</si>
  <si>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</si>
  <si>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</si>
  <si>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</si>
  <si>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</si>
  <si>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</si>
  <si>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</si>
  <si>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</si>
  <si>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External Domaincdn-route</t>
  </si>
  <si>
    <t>External Domaincustom-domain</t>
  </si>
  <si>
    <t>External Domaindomain</t>
  </si>
  <si>
    <t>External Domaindomain-with-cdn</t>
  </si>
  <si>
    <t>UAA Service Accountoauth-client</t>
  </si>
  <si>
    <t>UAA Service Accountspace-auditor</t>
  </si>
  <si>
    <t>UAA Service Accountspace-deployer</t>
  </si>
  <si>
    <t>Autoscalerautoscaler-free-plan</t>
  </si>
  <si>
    <t>Column1</t>
  </si>
  <si>
    <t>Credits Remaining
in Tier</t>
  </si>
  <si>
    <t>No Cost</t>
  </si>
  <si>
    <t>Platform Total</t>
  </si>
  <si>
    <t xml:space="preserve"> YearlyTotal Cost</t>
  </si>
  <si>
    <t>Instructions:
- The initial numbers are for a simple production system with 2 dev databases, 1 production database, email services, and S3 storage
- Update numbers in yellow, with red borders, to generate your own estimate.
- For services that AWS bills hourly, we bill based on the total instances operating at the end of the month. 
- To create an estimate, average your usage over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</si>
</sst>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9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84E3F"/>
      </right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0" xfId="0" applyFont="1"/>
    <xf numFmtId="0" fontId="4" fillId="0" borderId="13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5" fillId="2" borderId="1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6" fillId="0" borderId="0" xfId="0" applyFont="1"/>
    <xf numFmtId="0" fontId="6" fillId="6" borderId="33" xfId="0" applyFont="1" applyFill="1" applyBorder="1"/>
    <xf numFmtId="0" fontId="4" fillId="7" borderId="33" xfId="0" applyFont="1" applyFill="1" applyBorder="1"/>
    <xf numFmtId="0" fontId="4" fillId="3" borderId="33" xfId="0" applyFont="1" applyFill="1" applyBorder="1" applyAlignment="1">
      <alignment horizontal="right"/>
    </xf>
    <xf numFmtId="0" fontId="4" fillId="8" borderId="33" xfId="0" applyFont="1" applyFill="1" applyBorder="1"/>
    <xf numFmtId="165" fontId="4" fillId="3" borderId="33" xfId="0" applyNumberFormat="1" applyFont="1" applyFill="1" applyBorder="1" applyAlignment="1">
      <alignment horizontal="right"/>
    </xf>
    <xf numFmtId="164" fontId="4" fillId="3" borderId="33" xfId="0" applyNumberFormat="1" applyFont="1" applyFill="1" applyBorder="1" applyAlignment="1">
      <alignment horizontal="right"/>
    </xf>
    <xf numFmtId="0" fontId="9" fillId="9" borderId="33" xfId="0" applyFont="1" applyFill="1" applyBorder="1"/>
    <xf numFmtId="0" fontId="4" fillId="9" borderId="33" xfId="0" applyFont="1" applyFill="1" applyBorder="1"/>
    <xf numFmtId="0" fontId="6" fillId="6" borderId="33" xfId="0" applyFont="1" applyFill="1" applyBorder="1" applyAlignment="1">
      <alignment wrapText="1"/>
    </xf>
    <xf numFmtId="10" fontId="4" fillId="3" borderId="33" xfId="0" applyNumberFormat="1" applyFont="1" applyFill="1" applyBorder="1" applyAlignment="1">
      <alignment horizontal="right"/>
    </xf>
    <xf numFmtId="164" fontId="4" fillId="7" borderId="33" xfId="0" applyNumberFormat="1" applyFont="1" applyFill="1" applyBorder="1" applyAlignment="1">
      <alignment horizontal="right"/>
    </xf>
    <xf numFmtId="0" fontId="4" fillId="7" borderId="33" xfId="0" applyFont="1" applyFill="1" applyBorder="1" applyAlignment="1">
      <alignment horizontal="right"/>
    </xf>
    <xf numFmtId="164" fontId="4" fillId="8" borderId="33" xfId="0" applyNumberFormat="1" applyFont="1" applyFill="1" applyBorder="1" applyAlignment="1">
      <alignment horizontal="right"/>
    </xf>
    <xf numFmtId="0" fontId="4" fillId="8" borderId="33" xfId="0" applyFont="1" applyFill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164" fontId="6" fillId="3" borderId="35" xfId="0" applyNumberFormat="1" applyFont="1" applyFill="1" applyBorder="1" applyAlignment="1">
      <alignment vertical="center"/>
    </xf>
    <xf numFmtId="3" fontId="4" fillId="0" borderId="34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7" xfId="0" applyFont="1" applyBorder="1" applyAlignment="1">
      <alignment horizontal="center" wrapText="1"/>
    </xf>
    <xf numFmtId="3" fontId="6" fillId="0" borderId="34" xfId="0" applyNumberFormat="1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164" fontId="6" fillId="3" borderId="34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47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numFmt numFmtId="167" formatCode="0\ &quot;Gb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D9EAD3"/>
        </left>
        <right style="thin">
          <color rgb="FF284E3F"/>
        </right>
        <top style="thin">
          <color rgb="FFD9EAD3"/>
        </top>
        <bottom style="thin">
          <color rgb="FF284E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46"/>
      <tableStyleElement type="firstRowStripe" dxfId="45"/>
      <tableStyleElement type="secondRowStripe" dxfId="44"/>
    </tableStyle>
    <tableStyle name="Worksheet-style 2" pivot="0" count="3" xr9:uid="{00000000-0011-0000-FFFF-FFFF01000000}">
      <tableStyleElement type="headerRow" dxfId="43"/>
      <tableStyleElement type="firstRowStripe" dxfId="42"/>
      <tableStyleElement type="secondRowStripe" dxfId="41"/>
    </tableStyle>
    <tableStyle name="Worksheet-style 3" pivot="0" count="3" xr9:uid="{00000000-0011-0000-FFFF-FFFF02000000}">
      <tableStyleElement type="headerRow" dxfId="40"/>
      <tableStyleElement type="firstRowStripe" dxfId="39"/>
      <tableStyleElement type="secondRowStripe" dxfId="38"/>
    </tableStyle>
    <tableStyle name="Worksheet-style 4" pivot="0" count="3" xr9:uid="{00000000-0011-0000-FFFF-FFFF03000000}">
      <tableStyleElement type="headerRow" dxfId="37"/>
      <tableStyleElement type="firstRowStripe" dxfId="36"/>
      <tableStyleElement type="secondRowStripe" dxfId="35"/>
    </tableStyle>
    <tableStyle name="Worksheet-style 5" pivot="0" count="3" xr9:uid="{00000000-0011-0000-FFFF-FFFF04000000}">
      <tableStyleElement type="headerRow" dxfId="34"/>
      <tableStyleElement type="firstRowStripe" dxfId="33"/>
      <tableStyleElement type="secondRowStripe" dxfId="32"/>
    </tableStyle>
    <tableStyle name="Worksheet-style 6" pivot="0" count="3" xr9:uid="{00000000-0011-0000-FFFF-FFFF05000000}">
      <tableStyleElement type="headerRow" dxfId="31"/>
      <tableStyleElement type="firstRowStripe" dxfId="30"/>
      <tableStyleElement type="secondRowStripe" dxfId="29"/>
    </tableStyle>
    <tableStyle name="Worksheet-style 7" pivot="0" count="3" xr9:uid="{00000000-0011-0000-FFFF-FFFF06000000}">
      <tableStyleElement type="headerRow" dxfId="28"/>
      <tableStyleElement type="firstRowStripe" dxfId="27"/>
      <tableStyleElement type="secondRowStripe" dxfId="26"/>
    </tableStyle>
    <tableStyle name="Worksheet-style 8" pivot="0" count="3" xr9:uid="{00000000-0011-0000-FFFF-FFFF07000000}">
      <tableStyleElement type="headerRow" dxfId="25"/>
      <tableStyleElement type="firstRowStripe" dxfId="24"/>
      <tableStyleElement type="secondRowStripe" dxfId="23"/>
    </tableStyle>
    <tableStyle name="Cloud.gov Tiers-style" pivot="0" count="3" xr9:uid="{00000000-0011-0000-FFFF-FFFF08000000}">
      <tableStyleElement type="headerRow" dxfId="22"/>
      <tableStyleElement type="firstRowStripe" dxfId="21"/>
      <tableStyleElement type="secondRowStripe" dxfId="20"/>
    </tableStyle>
    <tableStyle name="Cloud.gov Tiers-style 2" pivot="0" count="3" xr9:uid="{00000000-0011-0000-FFFF-FFFF09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G5">
  <tableColumns count="7">
    <tableColumn id="1" xr3:uid="{00000000-0010-0000-0000-000001000000}" name="Credits" dataDxfId="16"/>
    <tableColumn id="2" xr3:uid="{00000000-0010-0000-0000-000002000000}" name="Tier Name" dataDxfId="15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14">
      <calculatedColumnFormula>VLOOKUP(Table_1[[#This Row],[Tier Name]], 'Cloud.gov Tiers'!A11:B27, 2,FALSE)-Table_1[[#This Row],[Credits]]</calculatedColumnFormula>
    </tableColumn>
    <tableColumn id="4" xr3:uid="{00000000-0010-0000-0000-000004000000}" name="Platform Total" dataDxfId="13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12">
      <calculatedColumnFormula>C15</calculatedColumnFormula>
    </tableColumn>
    <tableColumn id="6" xr3:uid="{00000000-0010-0000-0000-000006000000}" name=" YearlyTotal Cost" dataDxfId="11">
      <calculatedColumnFormula>D5+E5</calculatedColumnFormula>
    </tableColumn>
    <tableColumn id="7" xr3:uid="{741BE965-E97C-8C42-92BA-B25D4E1284B5}" name="Column1" dataDxfId="10"/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9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/>
    <tableColumn id="2" xr3:uid="{00000000-0010-0000-0200-000002000000}" name="Description"/>
    <tableColumn id="3" xr3:uid="{00000000-0010-0000-0200-000003000000}" name="Column 1"/>
    <tableColumn id="4" xr3:uid="{00000000-0010-0000-0200-000004000000}" name="Units"/>
    <tableColumn id="5" xr3:uid="{00000000-0010-0000-0200-000005000000}" name="Dimension"/>
    <tableColumn id="6" xr3:uid="{00000000-0010-0000-0200-000006000000}" name="Quantity (GB)" dataDxfId="8"/>
    <tableColumn id="7" xr3:uid="{00000000-0010-0000-0200-000007000000}" name="Credits">
      <calculatedColumnFormula>ROUNDUP(J10/'AWS Service Prices'!N3,0)*VLOOKUP(_xlfn.CONCAT(E10,I10), MeteredServices, 5, FALSE)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3" xr3:uid="{00000000-0010-0000-0300-000003000000}" name="Column 1"/>
    <tableColumn id="4" xr3:uid="{00000000-0010-0000-0300-000004000000}" name="Units"/>
    <tableColumn id="5" xr3:uid="{00000000-0010-0000-0300-000005000000}" name="Dimension"/>
    <tableColumn id="6" xr3:uid="{00000000-0010-0000-0300-000006000000}" name="Quantity (GB)" dataDxfId="7"/>
    <tableColumn id="7" xr3:uid="{00000000-0010-0000-0300-000007000000}" name="Credits">
      <calculatedColumnFormula>ROUNDUP(R10/'AWS Service Prices'!N$5,0)*VLOOKUP(_xlfn.CONCAT(M10,Q10),MeteredServices, 5, FALSE)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6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>
  <tableColumns count="7">
    <tableColumn id="1" xr3:uid="{00000000-0010-0000-0500-000001000000}" name="Offering"/>
    <tableColumn id="2" xr3:uid="{00000000-0010-0000-0500-000002000000}" name="Description"/>
    <tableColumn id="3" xr3:uid="{00000000-0010-0000-0500-000003000000}" name="Column 1"/>
    <tableColumn id="4" xr3:uid="{00000000-0010-0000-0500-000004000000}" name="Units"/>
    <tableColumn id="5" xr3:uid="{00000000-0010-0000-0500-000005000000}" name="Dimension"/>
    <tableColumn id="6" xr3:uid="{00000000-0010-0000-0500-000006000000}" name="Quantity (GB)" dataDxfId="5"/>
    <tableColumn id="7" xr3:uid="{00000000-0010-0000-0500-000007000000}" name="Credits">
      <calculatedColumnFormula>ROUNDUP(R15/'AWS Service Prices'!N$5,0)*VLOOKUP(_xlfn.CONCAT(M15,Q15),MeteredServices, 5, FALSE)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3" xr3:uid="{00000000-0010-0000-0700-000003000000}" name="Column 1"/>
    <tableColumn id="4" xr3:uid="{00000000-0010-0000-0700-000004000000}" name="Units"/>
    <tableColumn id="5" xr3:uid="{00000000-0010-0000-0700-000005000000}" name="Dimension"/>
    <tableColumn id="6" xr3:uid="{00000000-0010-0000-0700-000006000000}" name="Quantity"/>
    <tableColumn id="7" xr3:uid="{00000000-0010-0000-0700-000007000000}" name="Credits"/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J31" sqref="J31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4.33203125" customWidth="1"/>
    <col min="4" max="4" width="15" customWidth="1"/>
    <col min="5" max="5" width="14.5" customWidth="1"/>
    <col min="6" max="6" width="32" customWidth="1"/>
    <col min="7" max="7" width="12.6640625" hidden="1" customWidth="1"/>
    <col min="10" max="10" width="14.6640625" customWidth="1"/>
    <col min="13" max="13" width="18.83203125" customWidth="1"/>
    <col min="14" max="14" width="36.6640625" customWidth="1"/>
    <col min="15" max="15" width="12" hidden="1" customWidth="1"/>
    <col min="16" max="16" width="16.33203125" customWidth="1"/>
    <col min="17" max="17" width="13.33203125" customWidth="1"/>
    <col min="18" max="18" width="15.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96" t="s">
        <v>234</v>
      </c>
      <c r="B1" s="97"/>
      <c r="C1" s="97"/>
      <c r="D1" s="97"/>
      <c r="E1" s="97"/>
      <c r="F1" s="97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87" t="s">
        <v>1</v>
      </c>
      <c r="B4" s="88" t="s">
        <v>2</v>
      </c>
      <c r="C4" s="89" t="s">
        <v>230</v>
      </c>
      <c r="D4" s="88" t="s">
        <v>232</v>
      </c>
      <c r="E4" s="88" t="s">
        <v>3</v>
      </c>
      <c r="F4" s="92" t="s">
        <v>233</v>
      </c>
      <c r="G4" t="s">
        <v>229</v>
      </c>
    </row>
    <row r="5" spans="1:19" ht="15.75" customHeight="1" x14ac:dyDescent="0.15">
      <c r="A5" s="90">
        <f>C10+SUM(B19:B23)</f>
        <v>45</v>
      </c>
      <c r="B5" s="91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85">
        <f>VLOOKUP(Table_1[[#This Row],[Tier Name]], 'Cloud.gov Tiers'!A11:B27, 2,FALSE)-Table_1[[#This Row],[Credits]]</f>
        <v>5</v>
      </c>
      <c r="D5" s="86">
        <f>IF(B5="Custom", ROUNDUP(A5/1000,0)*'Cloud.gov Tiers'!$H$28, VLOOKUP(B5, 'Cloud.gov Tiers'!$F$11:$H$27, 3, FALSE))</f>
        <v>30000</v>
      </c>
      <c r="E5" s="86">
        <f>C15</f>
        <v>2500</v>
      </c>
      <c r="F5" s="93">
        <f>D5+E5</f>
        <v>32500</v>
      </c>
      <c r="G5" s="84"/>
    </row>
    <row r="6" spans="1:19" ht="15.75" customHeight="1" x14ac:dyDescent="0.15"/>
    <row r="7" spans="1:19" ht="15.75" customHeight="1" x14ac:dyDescent="0.15"/>
    <row r="8" spans="1:19" ht="15.75" customHeight="1" x14ac:dyDescent="0.15">
      <c r="A8" s="9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x14ac:dyDescent="0.15">
      <c r="A9" s="10" t="s">
        <v>8</v>
      </c>
      <c r="B9" s="11" t="s">
        <v>9</v>
      </c>
      <c r="C9" s="12" t="s">
        <v>1</v>
      </c>
      <c r="E9" s="5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7" t="s">
        <v>1</v>
      </c>
      <c r="M9" s="7" t="s">
        <v>10</v>
      </c>
      <c r="N9" s="7" t="s">
        <v>11</v>
      </c>
      <c r="O9" s="7" t="s">
        <v>12</v>
      </c>
      <c r="P9" s="7" t="s">
        <v>13</v>
      </c>
      <c r="Q9" s="7" t="s">
        <v>14</v>
      </c>
      <c r="R9" s="7" t="s">
        <v>15</v>
      </c>
      <c r="S9" s="7" t="s">
        <v>1</v>
      </c>
    </row>
    <row r="10" spans="1:19" ht="15.75" customHeight="1" x14ac:dyDescent="0.15">
      <c r="A10" s="13" t="s">
        <v>16</v>
      </c>
      <c r="B10" s="94">
        <v>12</v>
      </c>
      <c r="C10" s="14">
        <f>B10*'Cloud.gov Tiers'!B3</f>
        <v>36</v>
      </c>
      <c r="E10" s="15" t="s">
        <v>17</v>
      </c>
      <c r="F10" s="8" t="s">
        <v>18</v>
      </c>
      <c r="G10" s="16"/>
      <c r="H10" s="8" t="s">
        <v>19</v>
      </c>
      <c r="I10" s="8" t="s">
        <v>20</v>
      </c>
      <c r="J10" s="94">
        <v>30</v>
      </c>
      <c r="K10" s="17">
        <f>ROUNDUP(J10/'AWS Service Prices'!N3,0)*VLOOKUP(_xlfn.CONCAT(E10,I10), MeteredServices, 5, FALSE)</f>
        <v>1</v>
      </c>
      <c r="M10" s="15" t="s">
        <v>7</v>
      </c>
      <c r="N10" s="8" t="s">
        <v>21</v>
      </c>
      <c r="O10" s="16"/>
      <c r="P10" s="8" t="s">
        <v>19</v>
      </c>
      <c r="Q10" s="8" t="s">
        <v>22</v>
      </c>
      <c r="R10" s="94">
        <v>80</v>
      </c>
      <c r="S10" s="17">
        <f>ROUNDUP(R10/'AWS Service Prices'!N$5,0)*VLOOKUP(_xlfn.CONCAT(M10,Q10),MeteredServices, 5, FALSE)</f>
        <v>1</v>
      </c>
    </row>
    <row r="11" spans="1:19" ht="15.75" customHeight="1" x14ac:dyDescent="0.15">
      <c r="A11" s="4"/>
      <c r="C11" s="18"/>
    </row>
    <row r="12" spans="1:19" ht="15.75" customHeight="1" x14ac:dyDescent="0.15">
      <c r="E12" s="2" t="s">
        <v>23</v>
      </c>
      <c r="F12" s="2"/>
    </row>
    <row r="13" spans="1:19" ht="15.75" customHeight="1" x14ac:dyDescent="0.15">
      <c r="A13" s="9" t="s">
        <v>24</v>
      </c>
      <c r="B13" s="4"/>
      <c r="C13" s="4"/>
      <c r="E13" s="19" t="s">
        <v>10</v>
      </c>
      <c r="F13" s="20" t="s">
        <v>25</v>
      </c>
      <c r="G13" s="20" t="s">
        <v>26</v>
      </c>
      <c r="H13" s="19" t="s">
        <v>27</v>
      </c>
      <c r="I13" s="20" t="s">
        <v>28</v>
      </c>
      <c r="J13" s="20" t="s">
        <v>9</v>
      </c>
      <c r="K13" s="19" t="s">
        <v>1</v>
      </c>
      <c r="M13" s="2" t="s">
        <v>29</v>
      </c>
    </row>
    <row r="14" spans="1:19" ht="15.75" customHeight="1" x14ac:dyDescent="0.15">
      <c r="A14" s="10" t="s">
        <v>30</v>
      </c>
      <c r="B14" s="11" t="s">
        <v>31</v>
      </c>
      <c r="C14" s="21" t="s">
        <v>4</v>
      </c>
      <c r="E14" s="22" t="str">
        <f t="array" ref="E14:I43">AwsRdsServicePrices</f>
        <v>AWS RDS</v>
      </c>
      <c r="F14" s="23" t="str">
        <v>micro-psql</v>
      </c>
      <c r="G14" s="23" t="str">
        <v>AWS RDSmicro-psql</v>
      </c>
      <c r="H14" s="23" t="str">
        <v>db.t3.micro</v>
      </c>
      <c r="I14" s="23">
        <v>1</v>
      </c>
      <c r="J14" s="24">
        <v>2</v>
      </c>
      <c r="K14" s="25">
        <f>J14*VLOOKUP(G14, 'AWS Service Prices'!$C:$F, 4, FALSE)</f>
        <v>2</v>
      </c>
      <c r="M14" s="7" t="s">
        <v>10</v>
      </c>
      <c r="N14" s="7" t="s">
        <v>11</v>
      </c>
      <c r="O14" s="7" t="s">
        <v>12</v>
      </c>
      <c r="P14" s="7" t="s">
        <v>13</v>
      </c>
      <c r="Q14" s="7" t="s">
        <v>14</v>
      </c>
      <c r="R14" s="7" t="s">
        <v>15</v>
      </c>
      <c r="S14" s="7" t="s">
        <v>1</v>
      </c>
    </row>
    <row r="15" spans="1:19" ht="15.75" customHeight="1" x14ac:dyDescent="0.15">
      <c r="A15" s="26">
        <v>250</v>
      </c>
      <c r="B15" s="95">
        <v>10</v>
      </c>
      <c r="C15" s="27">
        <f>A15*B15</f>
        <v>2500</v>
      </c>
      <c r="E15" s="28" t="str">
        <v>AWS RDS</v>
      </c>
      <c r="F15" s="29" t="str">
        <v>micro-psql-redundant</v>
      </c>
      <c r="G15" s="29" t="str">
        <v>AWS RDSmicro-psql-redundant</v>
      </c>
      <c r="H15" s="29" t="str">
        <v>db.t3.micro</v>
      </c>
      <c r="I15" s="29">
        <v>1</v>
      </c>
      <c r="J15" s="30">
        <v>0</v>
      </c>
      <c r="K15" s="31">
        <f>J15*VLOOKUP(G15, 'AWS Service Prices'!$C:$F, 4, FALSE)</f>
        <v>0</v>
      </c>
      <c r="M15" s="15" t="s">
        <v>37</v>
      </c>
      <c r="N15" s="8" t="s">
        <v>38</v>
      </c>
      <c r="O15" s="16"/>
      <c r="P15" s="8" t="s">
        <v>19</v>
      </c>
      <c r="Q15" s="8" t="s">
        <v>39</v>
      </c>
      <c r="R15" s="94">
        <v>0</v>
      </c>
      <c r="S15" s="17">
        <f>ROUNDUP(R15/'AWS Service Prices'!N$5,0)*VLOOKUP(_xlfn.CONCAT(M15,Q15),MeteredServices, 5, FALSE)</f>
        <v>0</v>
      </c>
    </row>
    <row r="16" spans="1:19" ht="15.75" customHeight="1" x14ac:dyDescent="0.15">
      <c r="E16" s="22" t="str">
        <v>AWS RDS</v>
      </c>
      <c r="F16" s="23" t="str">
        <v>small-psql</v>
      </c>
      <c r="G16" s="23" t="str">
        <v>AWS RDSsmall-psql</v>
      </c>
      <c r="H16" s="23" t="str">
        <v>db.t3.small</v>
      </c>
      <c r="I16" s="23">
        <v>1</v>
      </c>
      <c r="J16" s="30">
        <v>0</v>
      </c>
      <c r="K16" s="25">
        <f>J16*VLOOKUP(G16, 'AWS Service Prices'!$C:$F, 4, FALSE)</f>
        <v>0</v>
      </c>
    </row>
    <row r="17" spans="1:25" ht="15.75" customHeight="1" x14ac:dyDescent="0.15">
      <c r="A17" s="32" t="s">
        <v>43</v>
      </c>
      <c r="E17" s="28" t="str">
        <v>AWS RDS</v>
      </c>
      <c r="F17" s="29" t="str">
        <v>small-psql-redundant</v>
      </c>
      <c r="G17" s="29" t="str">
        <v>AWS RDSsmall-psql-redundant</v>
      </c>
      <c r="H17" s="29" t="str">
        <v>db.t3.small</v>
      </c>
      <c r="I17" s="29">
        <v>1</v>
      </c>
      <c r="J17" s="30">
        <v>1</v>
      </c>
      <c r="K17" s="31">
        <f>J17*VLOOKUP(G17, 'AWS Service Prices'!$C:$F, 4, FALSE)</f>
        <v>4</v>
      </c>
      <c r="M17" s="2" t="s">
        <v>46</v>
      </c>
      <c r="Y17" s="33"/>
    </row>
    <row r="18" spans="1:25" ht="15.75" customHeight="1" x14ac:dyDescent="0.15">
      <c r="A18" s="10" t="s">
        <v>47</v>
      </c>
      <c r="B18" s="10" t="s">
        <v>1</v>
      </c>
      <c r="E18" s="22" t="str">
        <v>AWS RDS</v>
      </c>
      <c r="F18" s="23" t="str">
        <v>medium-psql</v>
      </c>
      <c r="G18" s="23" t="str">
        <v>AWS RDSmedium-psql</v>
      </c>
      <c r="H18" s="23" t="str">
        <v>db.t3.medium</v>
      </c>
      <c r="I18" s="23">
        <v>1</v>
      </c>
      <c r="J18" s="30">
        <v>0</v>
      </c>
      <c r="K18" s="25">
        <f>J18*VLOOKUP(G18, 'AWS Service Prices'!$C:$F, 4, FALSE)</f>
        <v>0</v>
      </c>
      <c r="M18" s="34" t="s">
        <v>10</v>
      </c>
      <c r="N18" s="34" t="s">
        <v>25</v>
      </c>
      <c r="O18" s="34" t="s">
        <v>12</v>
      </c>
      <c r="P18" s="34" t="s">
        <v>51</v>
      </c>
      <c r="Q18" s="34" t="s">
        <v>28</v>
      </c>
      <c r="R18" s="34" t="s">
        <v>9</v>
      </c>
      <c r="S18" s="34" t="s">
        <v>1</v>
      </c>
      <c r="Y18" s="33"/>
    </row>
    <row r="19" spans="1:25" ht="15.75" customHeight="1" x14ac:dyDescent="0.15">
      <c r="A19" s="35" t="s">
        <v>52</v>
      </c>
      <c r="B19" s="36">
        <f t="array" ref="B19">Worksheet!$S$10</f>
        <v>1</v>
      </c>
      <c r="E19" s="28" t="str">
        <v>AWS RDS</v>
      </c>
      <c r="F19" s="29" t="str">
        <v>medium-psql-redundant</v>
      </c>
      <c r="G19" s="29" t="str">
        <v>AWS RDSmedium-psql-redundant</v>
      </c>
      <c r="H19" s="29" t="str">
        <v>db.t3.medium</v>
      </c>
      <c r="I19" s="29">
        <v>1</v>
      </c>
      <c r="J19" s="30">
        <v>0</v>
      </c>
      <c r="K19" s="31">
        <f>J19*VLOOKUP(G19, 'AWS Service Prices'!$C:$F, 4, FALSE)</f>
        <v>0</v>
      </c>
      <c r="M19" s="22" t="str">
        <f t="array" ref="M19:Q29">AwsOpensearchPrices</f>
        <v>AWS OpenSearch</v>
      </c>
      <c r="N19" s="23" t="str">
        <v>es-dev</v>
      </c>
      <c r="O19" s="23" t="str">
        <v>AWS OpenSearches-dev</v>
      </c>
      <c r="P19" s="23" t="str">
        <v>t3.small.search</v>
      </c>
      <c r="Q19" s="23">
        <v>1</v>
      </c>
      <c r="R19" s="37">
        <v>0</v>
      </c>
      <c r="S19" s="25">
        <f>R19*VLOOKUP(O19, 'AWS Service Prices'!$C:$F, 4, FALSE)</f>
        <v>0</v>
      </c>
      <c r="Y19" s="33"/>
    </row>
    <row r="20" spans="1:25" ht="15.75" customHeight="1" x14ac:dyDescent="0.15">
      <c r="A20" s="38" t="s">
        <v>58</v>
      </c>
      <c r="B20" s="39">
        <f t="array" ref="B20">SUM(K14:K43) + Worksheet!$K$10</f>
        <v>7</v>
      </c>
      <c r="E20" s="22" t="str">
        <v>AWS RDS</v>
      </c>
      <c r="F20" s="23" t="str">
        <v>medium-gp-psql</v>
      </c>
      <c r="G20" s="23" t="str">
        <v>AWS RDSmedium-gp-psql</v>
      </c>
      <c r="H20" s="23" t="str">
        <v>db.m5.large</v>
      </c>
      <c r="I20" s="23">
        <v>1</v>
      </c>
      <c r="J20" s="30">
        <v>0</v>
      </c>
      <c r="K20" s="25">
        <f>J20*VLOOKUP(G20, 'AWS Service Prices'!$C:$F, 4, FALSE)</f>
        <v>0</v>
      </c>
      <c r="M20" s="28" t="str">
        <v>AWS OpenSearch</v>
      </c>
      <c r="N20" s="29" t="str">
        <v>es-medium</v>
      </c>
      <c r="O20" s="29" t="str">
        <v>AWS OpenSearches-medium</v>
      </c>
      <c r="P20" s="29" t="str">
        <v>c5.large.search</v>
      </c>
      <c r="Q20" s="29">
        <v>5</v>
      </c>
      <c r="R20" s="40">
        <v>0</v>
      </c>
      <c r="S20" s="31">
        <f>R20*VLOOKUP(O20, 'AWS Service Prices'!$C:$F, 4, FALSE)</f>
        <v>0</v>
      </c>
      <c r="Y20" s="33"/>
    </row>
    <row r="21" spans="1:25" ht="15.75" customHeight="1" x14ac:dyDescent="0.15">
      <c r="A21" s="35" t="s">
        <v>65</v>
      </c>
      <c r="B21" s="36">
        <f>Worksheet!$S$15+SUM(S19:S29)</f>
        <v>0</v>
      </c>
      <c r="E21" s="28" t="str">
        <v>AWS RDS</v>
      </c>
      <c r="F21" s="29" t="str">
        <v>medium-gp-psql-redundant</v>
      </c>
      <c r="G21" s="29" t="str">
        <v>AWS RDSmedium-gp-psql-redundant</v>
      </c>
      <c r="H21" s="29" t="str">
        <v>db.m5.large</v>
      </c>
      <c r="I21" s="29">
        <v>1</v>
      </c>
      <c r="J21" s="30">
        <v>0</v>
      </c>
      <c r="K21" s="31">
        <f>J21*VLOOKUP(G21, 'AWS Service Prices'!$C:$F, 4, FALSE)</f>
        <v>0</v>
      </c>
      <c r="M21" s="22" t="str">
        <v>AWS OpenSearch</v>
      </c>
      <c r="N21" s="23" t="str">
        <v>es-medium-ha</v>
      </c>
      <c r="O21" s="23" t="str">
        <v>AWS OpenSearches-medium-ha</v>
      </c>
      <c r="P21" s="23" t="str">
        <v>c5.large.search</v>
      </c>
      <c r="Q21" s="23">
        <v>7</v>
      </c>
      <c r="R21" s="40">
        <v>0</v>
      </c>
      <c r="S21" s="25">
        <f>R21*VLOOKUP(O21, 'AWS Service Prices'!$C:$F, 4, FALSE)</f>
        <v>0</v>
      </c>
      <c r="Y21" s="33"/>
    </row>
    <row r="22" spans="1:25" ht="15.75" customHeight="1" x14ac:dyDescent="0.15">
      <c r="A22" s="38" t="s">
        <v>70</v>
      </c>
      <c r="B22" s="39">
        <f>SUM(S33:S37)</f>
        <v>0</v>
      </c>
      <c r="E22" s="22" t="str">
        <v>AWS RDS</v>
      </c>
      <c r="F22" s="23" t="str">
        <v>large-gp-psql</v>
      </c>
      <c r="G22" s="23" t="str">
        <v>AWS RDSlarge-gp-psql</v>
      </c>
      <c r="H22" s="23" t="str">
        <v>db.m5.large</v>
      </c>
      <c r="I22" s="23">
        <v>1</v>
      </c>
      <c r="J22" s="41">
        <v>0</v>
      </c>
      <c r="K22" s="25">
        <f>J22*VLOOKUP(G22, 'AWS Service Prices'!$C:$F, 4, FALSE)</f>
        <v>0</v>
      </c>
      <c r="M22" s="28" t="str">
        <v>AWS OpenSearch</v>
      </c>
      <c r="N22" s="29" t="str">
        <v>es-large</v>
      </c>
      <c r="O22" s="29" t="str">
        <v>AWS OpenSearches-large</v>
      </c>
      <c r="P22" s="29" t="str">
        <v>c5.xlarge.search</v>
      </c>
      <c r="Q22" s="29">
        <v>5</v>
      </c>
      <c r="R22" s="40">
        <v>0</v>
      </c>
      <c r="S22" s="31">
        <f>R22*VLOOKUP(O22, 'AWS Service Prices'!$C:$F, 4, FALSE)</f>
        <v>0</v>
      </c>
      <c r="Y22" s="33"/>
    </row>
    <row r="23" spans="1:25" ht="15.75" customHeight="1" x14ac:dyDescent="0.15">
      <c r="A23" s="42" t="s">
        <v>76</v>
      </c>
      <c r="B23" s="43">
        <f>SUM(Worksheet!$S$41:$S$42)</f>
        <v>1</v>
      </c>
      <c r="E23" s="28" t="str">
        <v>AWS RDS</v>
      </c>
      <c r="F23" s="29" t="str">
        <v>large-gp-psql-redundant</v>
      </c>
      <c r="G23" s="29" t="str">
        <v>AWS RDSlarge-gp-psql-redundant</v>
      </c>
      <c r="H23" s="29" t="str">
        <v>db.m5.large</v>
      </c>
      <c r="I23" s="29">
        <v>1</v>
      </c>
      <c r="J23" s="30">
        <v>0</v>
      </c>
      <c r="K23" s="31">
        <f>J23*VLOOKUP(G23, 'AWS Service Prices'!$C:$F, 4, FALSE)</f>
        <v>0</v>
      </c>
      <c r="M23" s="22" t="str">
        <v>AWS OpenSearch</v>
      </c>
      <c r="N23" s="23" t="str">
        <v>es-large-ha</v>
      </c>
      <c r="O23" s="23" t="str">
        <v>AWS OpenSearches-large-ha</v>
      </c>
      <c r="P23" s="23" t="str">
        <v>c5.xlarge.search</v>
      </c>
      <c r="Q23" s="23">
        <v>7</v>
      </c>
      <c r="R23" s="40">
        <v>0</v>
      </c>
      <c r="S23" s="25">
        <f>R23*VLOOKUP(O23, 'AWS Service Prices'!$C:$F, 4, FALSE)</f>
        <v>0</v>
      </c>
      <c r="Y23" s="33"/>
    </row>
    <row r="24" spans="1:25" ht="15.75" customHeight="1" x14ac:dyDescent="0.15">
      <c r="E24" s="22" t="str">
        <v>AWS RDS</v>
      </c>
      <c r="F24" s="23" t="str">
        <v>xlarge-gp-psql</v>
      </c>
      <c r="G24" s="23" t="str">
        <v>AWS RDSxlarge-gp-psql</v>
      </c>
      <c r="H24" s="23" t="str">
        <v>db.m5.xlarge</v>
      </c>
      <c r="I24" s="23">
        <v>1</v>
      </c>
      <c r="J24" s="30">
        <v>0</v>
      </c>
      <c r="K24" s="25">
        <f>J24*VLOOKUP(G24, 'AWS Service Prices'!$C:$F, 4, FALSE)</f>
        <v>0</v>
      </c>
      <c r="M24" s="28" t="str">
        <v>AWS OpenSearch</v>
      </c>
      <c r="N24" s="29" t="str">
        <v>es-xlarge</v>
      </c>
      <c r="O24" s="29" t="str">
        <v>AWS OpenSearches-xlarge</v>
      </c>
      <c r="P24" s="29" t="str">
        <v>c5.2xlarge.search</v>
      </c>
      <c r="Q24" s="29">
        <v>5</v>
      </c>
      <c r="R24" s="40">
        <v>0</v>
      </c>
      <c r="S24" s="31">
        <f>R24*VLOOKUP(O24, 'AWS Service Prices'!$C:$F, 4, FALSE)</f>
        <v>0</v>
      </c>
      <c r="Y24" s="33"/>
    </row>
    <row r="25" spans="1:25" ht="15.75" customHeight="1" x14ac:dyDescent="0.15">
      <c r="E25" s="28" t="str">
        <v>AWS RDS</v>
      </c>
      <c r="F25" s="29" t="str">
        <v>xlarge-gp-psql-redundant</v>
      </c>
      <c r="G25" s="29" t="str">
        <v>AWS RDSxlarge-gp-psql-redundant</v>
      </c>
      <c r="H25" s="29" t="str">
        <v>db.m5.xlarge</v>
      </c>
      <c r="I25" s="29">
        <v>1</v>
      </c>
      <c r="J25" s="30">
        <v>0</v>
      </c>
      <c r="K25" s="31">
        <f>J25*VLOOKUP(G25, 'AWS Service Prices'!$C:$F, 4, FALSE)</f>
        <v>0</v>
      </c>
      <c r="M25" s="22" t="str">
        <v>AWS OpenSearch</v>
      </c>
      <c r="N25" s="23" t="str">
        <v>es-xlarge-ha</v>
      </c>
      <c r="O25" s="23" t="str">
        <v>AWS OpenSearches-xlarge-ha</v>
      </c>
      <c r="P25" s="23" t="str">
        <v>c5.2xlarge.search</v>
      </c>
      <c r="Q25" s="23">
        <v>7</v>
      </c>
      <c r="R25" s="40">
        <v>0</v>
      </c>
      <c r="S25" s="25">
        <f>R25*VLOOKUP(O25, 'AWS Service Prices'!$C:$F, 4, FALSE)</f>
        <v>0</v>
      </c>
      <c r="Y25" s="33"/>
    </row>
    <row r="26" spans="1:25" ht="15.75" customHeight="1" x14ac:dyDescent="0.15">
      <c r="A26" s="32" t="s">
        <v>231</v>
      </c>
      <c r="E26" s="22" t="str">
        <v>AWS RDS</v>
      </c>
      <c r="F26" s="23" t="str">
        <v>2xlarge-gp-psql</v>
      </c>
      <c r="G26" s="23" t="str">
        <v>AWS RDS2xlarge-gp-psql</v>
      </c>
      <c r="H26" s="23" t="str">
        <v>db.m5.2xlarge</v>
      </c>
      <c r="I26" s="23">
        <v>1</v>
      </c>
      <c r="J26" s="30">
        <v>0</v>
      </c>
      <c r="K26" s="25">
        <f>J26*VLOOKUP(G26, 'AWS Service Prices'!$C:$F, 4, FALSE)</f>
        <v>0</v>
      </c>
      <c r="M26" s="28" t="str">
        <v>AWS OpenSearch</v>
      </c>
      <c r="N26" s="29" t="str">
        <v>es-2xlarge-gp</v>
      </c>
      <c r="O26" s="29" t="str">
        <v>AWS OpenSearches-2xlarge-gp</v>
      </c>
      <c r="P26" s="29" t="str">
        <v>m5.2xlarge.search</v>
      </c>
      <c r="Q26" s="29">
        <v>5</v>
      </c>
      <c r="R26" s="44">
        <v>0</v>
      </c>
      <c r="S26" s="31">
        <f>R26*VLOOKUP(O26, 'AWS Service Prices'!$C:$F, 4, FALSE)</f>
        <v>0</v>
      </c>
      <c r="Y26" s="33"/>
    </row>
    <row r="27" spans="1:25" ht="15.75" customHeight="1" x14ac:dyDescent="0.15">
      <c r="A27" s="32" t="s">
        <v>97</v>
      </c>
      <c r="B27" s="32" t="s">
        <v>25</v>
      </c>
      <c r="E27" s="28" t="str">
        <v>AWS RDS</v>
      </c>
      <c r="F27" s="29" t="str">
        <v>2xlarge-gp-psql-redundant</v>
      </c>
      <c r="G27" s="29" t="str">
        <v>AWS RDS2xlarge-gp-psql-redundant</v>
      </c>
      <c r="H27" s="29" t="str">
        <v>db.m5.2xlarge</v>
      </c>
      <c r="I27" s="29">
        <v>1</v>
      </c>
      <c r="J27" s="30">
        <v>0</v>
      </c>
      <c r="K27" s="31">
        <f>J27*VLOOKUP(G27, 'AWS Service Prices'!$C:$F, 4, FALSE)</f>
        <v>0</v>
      </c>
      <c r="M27" s="22" t="str">
        <v>AWS OpenSearch</v>
      </c>
      <c r="N27" s="23" t="str">
        <v>es-2xlarge-gp-ha</v>
      </c>
      <c r="O27" s="23" t="str">
        <v>AWS OpenSearches-2xlarge-gp-ha</v>
      </c>
      <c r="P27" s="23" t="str">
        <v>m5.2xlarge.search</v>
      </c>
      <c r="Q27" s="23">
        <v>7</v>
      </c>
      <c r="R27" s="40">
        <v>0</v>
      </c>
      <c r="S27" s="25">
        <f>R27*VLOOKUP(O27, 'AWS Service Prices'!$C:$F, 4, FALSE)</f>
        <v>0</v>
      </c>
      <c r="Y27" s="33"/>
    </row>
    <row r="28" spans="1:25" ht="15.75" customHeight="1" x14ac:dyDescent="0.15">
      <c r="A28" s="22" t="str">
        <f t="array" ref="A28:B35">CloudGovNoCostServices</f>
        <v>External Domain</v>
      </c>
      <c r="B28" s="25" t="str">
        <v>cdn-route</v>
      </c>
      <c r="E28" s="22" t="str">
        <v>AWS RDS</v>
      </c>
      <c r="F28" s="23" t="str">
        <v>xlarge-gp-psql-m6</v>
      </c>
      <c r="G28" s="23" t="str">
        <v>AWS RDSxlarge-gp-psql-m6</v>
      </c>
      <c r="H28" s="23" t="str">
        <v>db.m6g.xlarge</v>
      </c>
      <c r="I28" s="23">
        <v>1</v>
      </c>
      <c r="J28" s="30">
        <v>0</v>
      </c>
      <c r="K28" s="25">
        <f>J28*VLOOKUP(G28, 'AWS Service Prices'!$C:$F, 4, FALSE)</f>
        <v>0</v>
      </c>
      <c r="M28" s="28" t="str">
        <v>AWS OpenSearch</v>
      </c>
      <c r="N28" s="29" t="str">
        <v>es-4xlarge-gp</v>
      </c>
      <c r="O28" s="29" t="str">
        <v>AWS OpenSearches-4xlarge-gp</v>
      </c>
      <c r="P28" s="29" t="str">
        <v>m5.4xlarge.search</v>
      </c>
      <c r="Q28" s="29">
        <v>5</v>
      </c>
      <c r="R28" s="40">
        <v>0</v>
      </c>
      <c r="S28" s="31">
        <f>R28*VLOOKUP(O28, 'AWS Service Prices'!$C:$F, 4, FALSE)</f>
        <v>0</v>
      </c>
      <c r="Y28" s="33"/>
    </row>
    <row r="29" spans="1:25" ht="15.75" customHeight="1" x14ac:dyDescent="0.15">
      <c r="A29" s="28" t="str">
        <v>External Domain</v>
      </c>
      <c r="B29" s="31" t="str">
        <v>custom-domain</v>
      </c>
      <c r="E29" s="28" t="str">
        <v>AWS RDS</v>
      </c>
      <c r="F29" s="29" t="str">
        <v>xlarge-gp-psql-m6-redundant</v>
      </c>
      <c r="G29" s="29" t="str">
        <v>AWS RDSxlarge-gp-psql-m6-redundant</v>
      </c>
      <c r="H29" s="29" t="str">
        <v>db.m6g.xlarge</v>
      </c>
      <c r="I29" s="29">
        <v>1</v>
      </c>
      <c r="J29" s="30">
        <v>0</v>
      </c>
      <c r="K29" s="31">
        <f>J29*VLOOKUP(G29, 'AWS Service Prices'!$C:$F, 4, FALSE)</f>
        <v>0</v>
      </c>
      <c r="M29" s="45" t="str">
        <v>AWS OpenSearch</v>
      </c>
      <c r="N29" s="46" t="str">
        <v>es-4xlarge-gp-ha</v>
      </c>
      <c r="O29" s="46" t="str">
        <v>AWS OpenSearches-4xlarge-gp-ha</v>
      </c>
      <c r="P29" s="46" t="str">
        <v>m5.4xlarge.search</v>
      </c>
      <c r="Q29" s="46">
        <v>7</v>
      </c>
      <c r="R29" s="47">
        <v>0</v>
      </c>
      <c r="S29" s="48">
        <f>R29*VLOOKUP(O29, 'AWS Service Prices'!$C:$F, 4, FALSE)</f>
        <v>0</v>
      </c>
      <c r="Y29" s="33"/>
    </row>
    <row r="30" spans="1:25" ht="15.75" customHeight="1" x14ac:dyDescent="0.15">
      <c r="A30" s="22" t="str">
        <v>External Domain</v>
      </c>
      <c r="B30" s="25" t="str">
        <v>domain</v>
      </c>
      <c r="E30" s="22" t="str">
        <v>AWS RDS</v>
      </c>
      <c r="F30" s="23" t="str">
        <v>micro-mysql</v>
      </c>
      <c r="G30" s="23" t="str">
        <v>AWS RDSmicro-mysql</v>
      </c>
      <c r="H30" s="23" t="str">
        <v>db.t3.micro</v>
      </c>
      <c r="I30" s="23">
        <v>1</v>
      </c>
      <c r="J30" s="49">
        <v>0</v>
      </c>
      <c r="K30" s="25">
        <f>J30*VLOOKUP(G30, 'AWS Service Prices'!$C:$F, 4, FALSE)</f>
        <v>0</v>
      </c>
      <c r="Y30" s="33"/>
    </row>
    <row r="31" spans="1:25" ht="15.75" customHeight="1" x14ac:dyDescent="0.15">
      <c r="A31" s="28" t="str">
        <v>External Domain</v>
      </c>
      <c r="B31" s="31" t="str">
        <v>domain-with-cdn</v>
      </c>
      <c r="E31" s="28" t="str">
        <v>AWS RDS</v>
      </c>
      <c r="F31" s="29" t="str">
        <v>micro-mysql-redundant</v>
      </c>
      <c r="G31" s="29" t="str">
        <v>AWS RDSmicro-mysql-redundant</v>
      </c>
      <c r="H31" s="29" t="str">
        <v>db.t3.micro</v>
      </c>
      <c r="I31" s="29">
        <v>1</v>
      </c>
      <c r="J31" s="30">
        <v>0</v>
      </c>
      <c r="K31" s="31">
        <f>J31*VLOOKUP(G31, 'AWS Service Prices'!$C:$F, 4, FALSE)</f>
        <v>0</v>
      </c>
      <c r="M31" s="2" t="s">
        <v>121</v>
      </c>
      <c r="Y31" s="33"/>
    </row>
    <row r="32" spans="1:25" ht="15.75" customHeight="1" x14ac:dyDescent="0.15">
      <c r="A32" s="22" t="str">
        <v>UAA Service Account</v>
      </c>
      <c r="B32" s="25" t="str">
        <v>oauth-client</v>
      </c>
      <c r="E32" s="22" t="str">
        <v>AWS RDS</v>
      </c>
      <c r="F32" s="23" t="str">
        <v>small-mysql</v>
      </c>
      <c r="G32" s="23" t="str">
        <v>AWS RDSsmall-mysql</v>
      </c>
      <c r="H32" s="23" t="str">
        <v>db.t3.small</v>
      </c>
      <c r="I32" s="23">
        <v>1</v>
      </c>
      <c r="J32" s="30">
        <v>0</v>
      </c>
      <c r="K32" s="25">
        <f>J32*VLOOKUP(G32, 'AWS Service Prices'!$C:$F, 4, FALSE)</f>
        <v>0</v>
      </c>
      <c r="M32" s="34" t="s">
        <v>10</v>
      </c>
      <c r="N32" s="34" t="s">
        <v>25</v>
      </c>
      <c r="O32" s="34" t="s">
        <v>12</v>
      </c>
      <c r="P32" s="34" t="s">
        <v>51</v>
      </c>
      <c r="Q32" s="34" t="s">
        <v>28</v>
      </c>
      <c r="R32" s="34" t="s">
        <v>9</v>
      </c>
      <c r="S32" s="34" t="s">
        <v>1</v>
      </c>
    </row>
    <row r="33" spans="1:19" ht="15.75" customHeight="1" x14ac:dyDescent="0.15">
      <c r="A33" s="28" t="str">
        <v>UAA Service Account</v>
      </c>
      <c r="B33" s="31" t="str">
        <v>space-auditor</v>
      </c>
      <c r="E33" s="28" t="str">
        <v>AWS RDS</v>
      </c>
      <c r="F33" s="29" t="str">
        <v>small-mysql-redundant</v>
      </c>
      <c r="G33" s="29" t="str">
        <v>AWS RDSsmall-mysql-redundant</v>
      </c>
      <c r="H33" s="29" t="str">
        <v>db.t3.small</v>
      </c>
      <c r="I33" s="29">
        <v>1</v>
      </c>
      <c r="J33" s="30">
        <v>0</v>
      </c>
      <c r="K33" s="31">
        <f>J33*VLOOKUP(G33, 'AWS Service Prices'!$C:$F, 4, FALSE)</f>
        <v>0</v>
      </c>
      <c r="M33" s="22" t="str">
        <f t="array" ref="M33:Q37">AwsElasticCachePrices</f>
        <v>AWS ElastiCache</v>
      </c>
      <c r="N33" s="23" t="str">
        <v>redis-dev</v>
      </c>
      <c r="O33" s="23" t="str">
        <v>AWS ElastiCacheredis-dev</v>
      </c>
      <c r="P33" s="23" t="str">
        <v>cache.t3.micro</v>
      </c>
      <c r="Q33" s="23">
        <v>1</v>
      </c>
      <c r="R33" s="50">
        <v>0</v>
      </c>
      <c r="S33" s="25">
        <f>R33*VLOOKUP(O33, 'AWS Service Prices'!$C:$F, 4, FALSE)</f>
        <v>0</v>
      </c>
    </row>
    <row r="34" spans="1:19" ht="15.75" customHeight="1" x14ac:dyDescent="0.15">
      <c r="A34" s="22" t="str">
        <v>UAA Service Account</v>
      </c>
      <c r="B34" s="25" t="str">
        <v>space-deployer</v>
      </c>
      <c r="E34" s="22" t="str">
        <v>AWS RDS</v>
      </c>
      <c r="F34" s="23" t="str">
        <v>medium-mysql</v>
      </c>
      <c r="G34" s="23" t="str">
        <v>AWS RDSmedium-mysql</v>
      </c>
      <c r="H34" s="23" t="str">
        <v>db.t3.medium</v>
      </c>
      <c r="I34" s="23">
        <v>1</v>
      </c>
      <c r="J34" s="30">
        <v>0</v>
      </c>
      <c r="K34" s="25">
        <f>J34*VLOOKUP(G34, 'AWS Service Prices'!$C:$F, 4, FALSE)</f>
        <v>0</v>
      </c>
      <c r="M34" s="28" t="str">
        <v>AWS ElastiCache</v>
      </c>
      <c r="N34" s="29" t="str">
        <v>redis-3node</v>
      </c>
      <c r="O34" s="29" t="str">
        <v>AWS ElastiCacheredis-3node</v>
      </c>
      <c r="P34" s="29" t="str">
        <v>cache.t3.micro</v>
      </c>
      <c r="Q34" s="29">
        <v>3</v>
      </c>
      <c r="R34" s="40">
        <v>0</v>
      </c>
      <c r="S34" s="31">
        <f>R34*VLOOKUP(O34, 'AWS Service Prices'!$C:$F, 4, FALSE)</f>
        <v>0</v>
      </c>
    </row>
    <row r="35" spans="1:19" ht="15.75" customHeight="1" x14ac:dyDescent="0.15">
      <c r="A35" s="28" t="str">
        <v>Autoscaler</v>
      </c>
      <c r="B35" s="31" t="str">
        <v>autoscaler-free-plan</v>
      </c>
      <c r="E35" s="28" t="str">
        <v>AWS RDS</v>
      </c>
      <c r="F35" s="29" t="str">
        <v>medium-mysql-redundant</v>
      </c>
      <c r="G35" s="29" t="str">
        <v>AWS RDSmedium-mysql-redundant</v>
      </c>
      <c r="H35" s="29" t="str">
        <v>db.t3.medium</v>
      </c>
      <c r="I35" s="29">
        <v>1</v>
      </c>
      <c r="J35" s="41">
        <v>0</v>
      </c>
      <c r="K35" s="31">
        <f>J35*VLOOKUP(G35, 'AWS Service Prices'!$C:$F, 4, FALSE)</f>
        <v>0</v>
      </c>
      <c r="M35" s="22" t="str">
        <v>AWS ElastiCache</v>
      </c>
      <c r="N35" s="23" t="str">
        <v>redis-5node</v>
      </c>
      <c r="O35" s="23" t="str">
        <v>AWS ElastiCacheredis-5node</v>
      </c>
      <c r="P35" s="23" t="str">
        <v>cache.t3.micro</v>
      </c>
      <c r="Q35" s="23">
        <v>5</v>
      </c>
      <c r="R35" s="40">
        <v>0</v>
      </c>
      <c r="S35" s="25">
        <f>R35*VLOOKUP(O35, 'AWS Service Prices'!$C:$F, 4, FALSE)</f>
        <v>0</v>
      </c>
    </row>
    <row r="36" spans="1:19" ht="15.75" customHeight="1" x14ac:dyDescent="0.15">
      <c r="A36" s="51" t="s">
        <v>144</v>
      </c>
      <c r="B36" s="51"/>
      <c r="E36" s="22" t="str">
        <v>AWS RDS</v>
      </c>
      <c r="F36" s="23" t="str">
        <v>medium-gp-mysql</v>
      </c>
      <c r="G36" s="23" t="str">
        <v>AWS RDSmedium-gp-mysql</v>
      </c>
      <c r="H36" s="23" t="str">
        <v>db.m5.large</v>
      </c>
      <c r="I36" s="23">
        <v>1</v>
      </c>
      <c r="J36" s="30">
        <v>0</v>
      </c>
      <c r="K36" s="25">
        <f>J36*VLOOKUP(G36, 'AWS Service Prices'!$C:$F, 4, FALSE)</f>
        <v>0</v>
      </c>
      <c r="M36" s="28" t="str">
        <v>AWS ElastiCache</v>
      </c>
      <c r="N36" s="29" t="str">
        <v>redis-3node-large</v>
      </c>
      <c r="O36" s="29" t="str">
        <v>AWS ElastiCacheredis-3node-large</v>
      </c>
      <c r="P36" s="29" t="str">
        <v>cache.t3.small</v>
      </c>
      <c r="Q36" s="29">
        <v>3</v>
      </c>
      <c r="R36" s="40">
        <v>0</v>
      </c>
      <c r="S36" s="31">
        <f>R36*VLOOKUP(O36, 'AWS Service Prices'!$C:$F, 4, FALSE)</f>
        <v>0</v>
      </c>
    </row>
    <row r="37" spans="1:19" ht="15.75" customHeight="1" x14ac:dyDescent="0.15">
      <c r="E37" s="28" t="str">
        <v>AWS RDS</v>
      </c>
      <c r="F37" s="29" t="str">
        <v>medium-gp-mysql-redundant</v>
      </c>
      <c r="G37" s="29" t="str">
        <v>AWS RDSmedium-gp-mysql-redundant</v>
      </c>
      <c r="H37" s="29" t="str">
        <v>db.m5.large</v>
      </c>
      <c r="I37" s="29">
        <v>1</v>
      </c>
      <c r="J37" s="30">
        <v>0</v>
      </c>
      <c r="K37" s="31">
        <f>J37*VLOOKUP(G37, 'AWS Service Prices'!$C:$F, 4, FALSE)</f>
        <v>0</v>
      </c>
      <c r="M37" s="45" t="str">
        <v>AWS ElastiCache</v>
      </c>
      <c r="N37" s="46" t="str">
        <v>redis-5node-large</v>
      </c>
      <c r="O37" s="46" t="str">
        <v>AWS ElastiCacheredis-5node-large</v>
      </c>
      <c r="P37" s="46" t="str">
        <v>cache.t3.small</v>
      </c>
      <c r="Q37" s="46">
        <v>5</v>
      </c>
      <c r="R37" s="52">
        <v>0</v>
      </c>
      <c r="S37" s="48">
        <f>R37*VLOOKUP(O37, 'AWS Service Prices'!$C:$F, 4, FALSE)</f>
        <v>0</v>
      </c>
    </row>
    <row r="38" spans="1:19" ht="15.75" customHeight="1" x14ac:dyDescent="0.15">
      <c r="E38" s="22" t="str">
        <v>AWS RDS</v>
      </c>
      <c r="F38" s="23" t="str">
        <v>large-gp-mysql</v>
      </c>
      <c r="G38" s="23" t="str">
        <v>AWS RDSlarge-gp-mysql</v>
      </c>
      <c r="H38" s="23" t="str">
        <v>db.m5.large</v>
      </c>
      <c r="I38" s="23">
        <v>1</v>
      </c>
      <c r="J38" s="30">
        <v>0</v>
      </c>
      <c r="K38" s="25">
        <f>J38*VLOOKUP(G38, 'AWS Service Prices'!$C:$F, 4, FALSE)</f>
        <v>0</v>
      </c>
    </row>
    <row r="39" spans="1:19" ht="15.75" customHeight="1" x14ac:dyDescent="0.15">
      <c r="E39" s="28" t="str">
        <v>AWS RDS</v>
      </c>
      <c r="F39" s="29" t="str">
        <v>large-gp-mysql-redundant</v>
      </c>
      <c r="G39" s="29" t="str">
        <v>AWS RDSlarge-gp-mysql-redundant</v>
      </c>
      <c r="H39" s="29" t="str">
        <v>db.m5.large</v>
      </c>
      <c r="I39" s="29">
        <v>1</v>
      </c>
      <c r="J39" s="30">
        <v>0</v>
      </c>
      <c r="K39" s="31">
        <f>J39*VLOOKUP(G39, 'AWS Service Prices'!$C:$F, 4, FALSE)</f>
        <v>0</v>
      </c>
      <c r="M39" s="2" t="s">
        <v>158</v>
      </c>
    </row>
    <row r="40" spans="1:19" ht="15.75" customHeight="1" x14ac:dyDescent="0.15">
      <c r="E40" s="22" t="str">
        <v>AWS RDS</v>
      </c>
      <c r="F40" s="23" t="str">
        <v>xlarge-gp-mysql</v>
      </c>
      <c r="G40" s="23" t="str">
        <v>AWS RDSxlarge-gp-mysql</v>
      </c>
      <c r="H40" s="23" t="str">
        <v>db.m5.xlarge</v>
      </c>
      <c r="I40" s="23">
        <v>1</v>
      </c>
      <c r="J40" s="30">
        <v>0</v>
      </c>
      <c r="K40" s="25">
        <f>J40*VLOOKUP(G40, 'AWS Service Prices'!$C:$F, 4, FALSE)</f>
        <v>0</v>
      </c>
      <c r="M40" s="53" t="s">
        <v>10</v>
      </c>
      <c r="N40" s="53" t="s">
        <v>11</v>
      </c>
      <c r="O40" s="53" t="s">
        <v>12</v>
      </c>
      <c r="P40" s="53" t="s">
        <v>13</v>
      </c>
      <c r="Q40" s="53" t="s">
        <v>14</v>
      </c>
      <c r="R40" s="53" t="s">
        <v>9</v>
      </c>
      <c r="S40" s="53" t="s">
        <v>1</v>
      </c>
    </row>
    <row r="41" spans="1:19" ht="15.75" customHeight="1" thickBot="1" x14ac:dyDescent="0.2">
      <c r="E41" s="28" t="str">
        <v>AWS RDS</v>
      </c>
      <c r="F41" s="29" t="str">
        <v>xlarge-gp-mysql-redundant</v>
      </c>
      <c r="G41" s="29" t="str">
        <v>AWS RDSxlarge-gp-mysql-redundant</v>
      </c>
      <c r="H41" s="29" t="str">
        <v>db.m5.xlarge</v>
      </c>
      <c r="I41" s="29">
        <v>1</v>
      </c>
      <c r="J41" s="30">
        <v>0</v>
      </c>
      <c r="K41" s="31">
        <f>J41*VLOOKUP(G41, 'AWS Service Prices'!$C:$F, 4, FALSE)</f>
        <v>0</v>
      </c>
      <c r="M41" s="54" t="s">
        <v>163</v>
      </c>
      <c r="N41" s="55" t="s">
        <v>164</v>
      </c>
      <c r="O41" s="16"/>
      <c r="P41" s="56" t="s">
        <v>165</v>
      </c>
      <c r="Q41" s="55" t="s">
        <v>166</v>
      </c>
      <c r="R41" s="57">
        <v>300</v>
      </c>
      <c r="S41" s="17">
        <f>ROUNDUP(R41/'AWS Service Prices'!N$5,0)*VLOOKUP(_xlfn.CONCAT(M41,Q41), MeteredServices, 5, FALSE)</f>
        <v>1</v>
      </c>
    </row>
    <row r="42" spans="1:19" ht="15.75" customHeight="1" thickBot="1" x14ac:dyDescent="0.2">
      <c r="E42" s="22" t="str">
        <v>AWS RDS</v>
      </c>
      <c r="F42" s="23" t="str">
        <v>medium-oracle-se2</v>
      </c>
      <c r="G42" s="23" t="str">
        <v>AWS RDSmedium-oracle-se2</v>
      </c>
      <c r="H42" s="23" t="str">
        <v>db.t3.medium</v>
      </c>
      <c r="I42" s="23">
        <v>1</v>
      </c>
      <c r="J42" s="30">
        <v>0</v>
      </c>
      <c r="K42" s="25">
        <f>J42*VLOOKUP(G42, 'AWS Service Prices'!$C:$F, 4, FALSE)</f>
        <v>0</v>
      </c>
      <c r="M42" s="58" t="s">
        <v>163</v>
      </c>
      <c r="N42" s="59" t="s">
        <v>169</v>
      </c>
      <c r="O42" s="16"/>
      <c r="P42" s="60" t="s">
        <v>170</v>
      </c>
      <c r="Q42" s="59" t="s">
        <v>171</v>
      </c>
      <c r="R42" s="94">
        <v>0</v>
      </c>
      <c r="S42" s="17">
        <f>ROUNDUP(R42/'AWS Service Prices'!N$5,0)*VLOOKUP(_xlfn.CONCAT(M42,Q42), MeteredServices, 5, FALSE)</f>
        <v>0</v>
      </c>
    </row>
    <row r="43" spans="1:19" ht="15.75" customHeight="1" thickBot="1" x14ac:dyDescent="0.2">
      <c r="E43" s="61" t="str">
        <v>AWS RDS</v>
      </c>
      <c r="F43" s="62" t="str">
        <v>large-gp-sqlserver-se</v>
      </c>
      <c r="G43" s="62" t="str">
        <v>AWS RDSlarge-gp-sqlserver-se</v>
      </c>
      <c r="H43" s="62" t="str">
        <v>db.m5.large</v>
      </c>
      <c r="I43" s="62">
        <v>1</v>
      </c>
      <c r="J43" s="63">
        <v>0</v>
      </c>
      <c r="K43" s="64">
        <f>J43*VLOOKUP(G43, 'AWS Service Prices'!$C:$F, 4, FALSE)</f>
        <v>0</v>
      </c>
    </row>
    <row r="44" spans="1:19" ht="15.75" customHeight="1" x14ac:dyDescent="0.15">
      <c r="J44" s="4"/>
    </row>
    <row r="45" spans="1:19" ht="15.75" customHeight="1" x14ac:dyDescent="0.15">
      <c r="J45" s="4"/>
    </row>
    <row r="46" spans="1:19" ht="15.75" customHeight="1" x14ac:dyDescent="0.15">
      <c r="J46" s="4"/>
    </row>
    <row r="47" spans="1:19" ht="15.75" customHeight="1" x14ac:dyDescent="0.15">
      <c r="J47" s="4"/>
    </row>
    <row r="48" spans="1:19" ht="15.75" customHeight="1" x14ac:dyDescent="0.15">
      <c r="J48" s="4"/>
    </row>
    <row r="49" spans="10:10" ht="15.75" customHeight="1" x14ac:dyDescent="0.15">
      <c r="J49" s="4"/>
    </row>
    <row r="50" spans="10:10" ht="15.75" customHeight="1" x14ac:dyDescent="0.15">
      <c r="J50" s="4"/>
    </row>
    <row r="51" spans="10:10" ht="15.75" customHeight="1" x14ac:dyDescent="0.15">
      <c r="J51" s="4"/>
    </row>
    <row r="52" spans="10:10" ht="15.75" customHeight="1" x14ac:dyDescent="0.15">
      <c r="J52" s="4"/>
    </row>
    <row r="53" spans="10:10" ht="15.75" customHeight="1" x14ac:dyDescent="0.15">
      <c r="J53" s="4"/>
    </row>
    <row r="54" spans="10:10" ht="15.75" customHeight="1" x14ac:dyDescent="0.15">
      <c r="J54" s="4"/>
    </row>
    <row r="55" spans="10:10" ht="15.75" customHeight="1" x14ac:dyDescent="0.15">
      <c r="J55" s="4"/>
    </row>
    <row r="56" spans="10:10" ht="15.75" customHeight="1" x14ac:dyDescent="0.15">
      <c r="J56" s="4"/>
    </row>
    <row r="57" spans="10:10" ht="15.75" customHeight="1" x14ac:dyDescent="0.15">
      <c r="J57" s="4"/>
    </row>
    <row r="58" spans="10:10" ht="15.75" customHeight="1" x14ac:dyDescent="0.15">
      <c r="J58" s="4"/>
    </row>
    <row r="59" spans="10:10" ht="15.75" customHeight="1" x14ac:dyDescent="0.15">
      <c r="J59" s="4"/>
    </row>
    <row r="60" spans="10:10" ht="15.75" customHeight="1" x14ac:dyDescent="0.15">
      <c r="J60" s="4"/>
    </row>
    <row r="61" spans="10:10" ht="15.75" customHeight="1" x14ac:dyDescent="0.15">
      <c r="J61" s="4"/>
    </row>
    <row r="62" spans="10:10" ht="15.75" customHeight="1" x14ac:dyDescent="0.15">
      <c r="J62" s="4"/>
    </row>
    <row r="63" spans="10:10" ht="15.75" customHeight="1" x14ac:dyDescent="0.15">
      <c r="J63" s="4"/>
    </row>
    <row r="64" spans="10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0 J14:J43 B15">
    <cfRule type="cellIs" dxfId="4" priority="4" operator="notEqual">
      <formula>0</formula>
    </cfRule>
  </conditionalFormatting>
  <conditionalFormatting sqref="R10">
    <cfRule type="cellIs" dxfId="3" priority="3" operator="notEqual">
      <formula>0</formula>
    </cfRule>
  </conditionalFormatting>
  <conditionalFormatting sqref="R15">
    <cfRule type="cellIs" dxfId="2" priority="2" operator="notEqual">
      <formula>0</formula>
    </cfRule>
  </conditionalFormatting>
  <conditionalFormatting sqref="R19:R29 R33:R37">
    <cfRule type="cellIs" dxfId="1" priority="6" operator="notEqual">
      <formula>0</formula>
    </cfRule>
  </conditionalFormatting>
  <conditionalFormatting sqref="R41:R42">
    <cfRule type="cellIs" dxfId="0" priority="1" operator="notEqual">
      <formula>0</formula>
    </cfRule>
  </conditionalFormatting>
  <pageMargins left="0.7" right="0.7" top="0.75" bottom="0.75" header="0" footer="0"/>
  <pageSetup orientation="landscape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L24" sqref="L24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65" t="s">
        <v>174</v>
      </c>
      <c r="B1" s="4"/>
      <c r="D1" s="4"/>
      <c r="E1" s="4"/>
      <c r="F1" s="4"/>
      <c r="G1" s="4"/>
      <c r="H1" s="4"/>
    </row>
    <row r="2" spans="1:8" ht="15.75" customHeight="1" x14ac:dyDescent="0.15">
      <c r="A2" s="66" t="s">
        <v>175</v>
      </c>
      <c r="B2" s="66" t="s">
        <v>176</v>
      </c>
      <c r="D2" s="4"/>
      <c r="E2" s="4"/>
      <c r="F2" s="4"/>
      <c r="G2" s="4"/>
      <c r="H2" s="4"/>
    </row>
    <row r="3" spans="1:8" ht="15.75" customHeight="1" x14ac:dyDescent="0.15">
      <c r="A3" s="67" t="s">
        <v>177</v>
      </c>
      <c r="B3" s="68">
        <v>3</v>
      </c>
      <c r="D3" s="4"/>
      <c r="E3" s="4"/>
      <c r="F3" s="4"/>
      <c r="G3" s="4"/>
      <c r="H3" s="4"/>
    </row>
    <row r="4" spans="1:8" ht="15.75" customHeight="1" x14ac:dyDescent="0.15">
      <c r="A4" s="69" t="s">
        <v>178</v>
      </c>
      <c r="B4" s="70">
        <v>50</v>
      </c>
      <c r="D4" s="4"/>
      <c r="E4" s="4"/>
      <c r="F4" s="4"/>
      <c r="G4" s="4"/>
      <c r="H4" s="4"/>
    </row>
    <row r="5" spans="1:8" ht="15.75" customHeight="1" x14ac:dyDescent="0.15">
      <c r="A5" s="67" t="s">
        <v>179</v>
      </c>
      <c r="B5" s="68">
        <v>1</v>
      </c>
      <c r="D5" s="4"/>
      <c r="E5" s="4"/>
      <c r="F5" s="4"/>
      <c r="G5" s="4"/>
      <c r="H5" s="4"/>
    </row>
    <row r="6" spans="1:8" ht="15.75" customHeight="1" x14ac:dyDescent="0.15">
      <c r="A6" s="69" t="s">
        <v>180</v>
      </c>
      <c r="B6" s="71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72" t="s">
        <v>181</v>
      </c>
      <c r="B9" s="73"/>
      <c r="C9" s="73"/>
      <c r="D9" s="73"/>
      <c r="E9" s="73"/>
      <c r="F9" s="73"/>
      <c r="G9" s="73"/>
      <c r="H9" s="73"/>
    </row>
    <row r="10" spans="1:8" ht="15.75" customHeight="1" x14ac:dyDescent="0.15">
      <c r="A10" s="74" t="s">
        <v>182</v>
      </c>
      <c r="B10" s="74" t="s">
        <v>1</v>
      </c>
      <c r="C10" s="74" t="s">
        <v>183</v>
      </c>
      <c r="D10" s="74" t="s">
        <v>184</v>
      </c>
      <c r="E10" s="74" t="s">
        <v>185</v>
      </c>
      <c r="F10" s="74" t="s">
        <v>186</v>
      </c>
      <c r="G10" s="74" t="s">
        <v>187</v>
      </c>
      <c r="H10" s="74" t="s">
        <v>188</v>
      </c>
    </row>
    <row r="11" spans="1:8" ht="15.75" customHeight="1" x14ac:dyDescent="0.15">
      <c r="A11" s="67" t="s">
        <v>189</v>
      </c>
      <c r="B11" s="68">
        <v>50</v>
      </c>
      <c r="C11" s="75">
        <v>0</v>
      </c>
      <c r="D11" s="76">
        <f t="shared" ref="D11:D27" si="0">B11*$B$4</f>
        <v>2500</v>
      </c>
      <c r="E11" s="77">
        <v>1</v>
      </c>
      <c r="F11" s="67" t="s">
        <v>189</v>
      </c>
      <c r="G11" s="76">
        <f>D11*12</f>
        <v>30000</v>
      </c>
      <c r="H11" s="76">
        <f t="shared" ref="H11:H28" si="1">G11*(1-C11)</f>
        <v>30000</v>
      </c>
    </row>
    <row r="12" spans="1:8" ht="15.75" customHeight="1" x14ac:dyDescent="0.15">
      <c r="A12" s="69" t="s">
        <v>190</v>
      </c>
      <c r="B12" s="68">
        <v>100</v>
      </c>
      <c r="C12" s="75">
        <v>0</v>
      </c>
      <c r="D12" s="78">
        <f t="shared" si="0"/>
        <v>5000</v>
      </c>
      <c r="E12" s="79">
        <v>2</v>
      </c>
      <c r="F12" s="69" t="s">
        <v>190</v>
      </c>
      <c r="G12" s="78">
        <f t="shared" ref="G12:G27" si="2">B12*$B$4*12</f>
        <v>60000</v>
      </c>
      <c r="H12" s="78">
        <f t="shared" si="1"/>
        <v>60000</v>
      </c>
    </row>
    <row r="13" spans="1:8" ht="15.75" customHeight="1" x14ac:dyDescent="0.15">
      <c r="A13" s="67" t="s">
        <v>191</v>
      </c>
      <c r="B13" s="68">
        <v>150</v>
      </c>
      <c r="C13" s="75">
        <v>0</v>
      </c>
      <c r="D13" s="76">
        <f t="shared" si="0"/>
        <v>7500</v>
      </c>
      <c r="E13" s="77">
        <v>3</v>
      </c>
      <c r="F13" s="67" t="s">
        <v>191</v>
      </c>
      <c r="G13" s="76">
        <f t="shared" si="2"/>
        <v>90000</v>
      </c>
      <c r="H13" s="76">
        <f t="shared" si="1"/>
        <v>90000</v>
      </c>
    </row>
    <row r="14" spans="1:8" ht="15.75" customHeight="1" x14ac:dyDescent="0.15">
      <c r="A14" s="69" t="s">
        <v>192</v>
      </c>
      <c r="B14" s="68">
        <v>250</v>
      </c>
      <c r="C14" s="75">
        <v>0</v>
      </c>
      <c r="D14" s="78">
        <f t="shared" si="0"/>
        <v>12500</v>
      </c>
      <c r="E14" s="79">
        <v>4</v>
      </c>
      <c r="F14" s="69" t="s">
        <v>192</v>
      </c>
      <c r="G14" s="78">
        <f t="shared" si="2"/>
        <v>150000</v>
      </c>
      <c r="H14" s="78">
        <f t="shared" si="1"/>
        <v>150000</v>
      </c>
    </row>
    <row r="15" spans="1:8" ht="15.75" customHeight="1" x14ac:dyDescent="0.15">
      <c r="A15" s="67" t="s">
        <v>193</v>
      </c>
      <c r="B15" s="68">
        <v>350</v>
      </c>
      <c r="C15" s="75">
        <v>0</v>
      </c>
      <c r="D15" s="76">
        <f t="shared" si="0"/>
        <v>17500</v>
      </c>
      <c r="E15" s="77">
        <v>5</v>
      </c>
      <c r="F15" s="67" t="s">
        <v>193</v>
      </c>
      <c r="G15" s="76">
        <f t="shared" si="2"/>
        <v>210000</v>
      </c>
      <c r="H15" s="76">
        <f t="shared" si="1"/>
        <v>210000</v>
      </c>
    </row>
    <row r="16" spans="1:8" ht="15.75" customHeight="1" x14ac:dyDescent="0.15">
      <c r="A16" s="69" t="s">
        <v>194</v>
      </c>
      <c r="B16" s="68">
        <v>500</v>
      </c>
      <c r="C16" s="75">
        <v>0</v>
      </c>
      <c r="D16" s="78">
        <f t="shared" si="0"/>
        <v>25000</v>
      </c>
      <c r="E16" s="79">
        <v>6</v>
      </c>
      <c r="F16" s="69" t="s">
        <v>194</v>
      </c>
      <c r="G16" s="78">
        <f t="shared" si="2"/>
        <v>300000</v>
      </c>
      <c r="H16" s="78">
        <f t="shared" si="1"/>
        <v>300000</v>
      </c>
    </row>
    <row r="17" spans="1:8" ht="15.75" customHeight="1" x14ac:dyDescent="0.15">
      <c r="A17" s="67" t="s">
        <v>195</v>
      </c>
      <c r="B17" s="68">
        <v>650</v>
      </c>
      <c r="C17" s="75">
        <v>0</v>
      </c>
      <c r="D17" s="76">
        <f t="shared" si="0"/>
        <v>32500</v>
      </c>
      <c r="E17" s="77">
        <v>7</v>
      </c>
      <c r="F17" s="67" t="s">
        <v>195</v>
      </c>
      <c r="G17" s="76">
        <f t="shared" si="2"/>
        <v>390000</v>
      </c>
      <c r="H17" s="76">
        <f t="shared" si="1"/>
        <v>390000</v>
      </c>
    </row>
    <row r="18" spans="1:8" ht="15.75" customHeight="1" x14ac:dyDescent="0.15">
      <c r="A18" s="69" t="s">
        <v>196</v>
      </c>
      <c r="B18" s="68">
        <v>800</v>
      </c>
      <c r="C18" s="75">
        <v>0.05</v>
      </c>
      <c r="D18" s="78">
        <f t="shared" si="0"/>
        <v>40000</v>
      </c>
      <c r="E18" s="79">
        <v>8</v>
      </c>
      <c r="F18" s="69" t="s">
        <v>196</v>
      </c>
      <c r="G18" s="78">
        <f t="shared" si="2"/>
        <v>480000</v>
      </c>
      <c r="H18" s="78">
        <f t="shared" si="1"/>
        <v>456000</v>
      </c>
    </row>
    <row r="19" spans="1:8" ht="15.75" customHeight="1" x14ac:dyDescent="0.15">
      <c r="A19" s="67" t="s">
        <v>197</v>
      </c>
      <c r="B19" s="68">
        <v>1000</v>
      </c>
      <c r="C19" s="75">
        <v>0.1</v>
      </c>
      <c r="D19" s="76">
        <f t="shared" si="0"/>
        <v>50000</v>
      </c>
      <c r="E19" s="77">
        <v>9</v>
      </c>
      <c r="F19" s="67" t="s">
        <v>197</v>
      </c>
      <c r="G19" s="76">
        <f t="shared" si="2"/>
        <v>600000</v>
      </c>
      <c r="H19" s="76">
        <f t="shared" si="1"/>
        <v>540000</v>
      </c>
    </row>
    <row r="20" spans="1:8" ht="15.75" customHeight="1" x14ac:dyDescent="0.15">
      <c r="A20" s="69" t="s">
        <v>198</v>
      </c>
      <c r="B20" s="68">
        <v>1250</v>
      </c>
      <c r="C20" s="75">
        <v>0.15</v>
      </c>
      <c r="D20" s="78">
        <f t="shared" si="0"/>
        <v>62500</v>
      </c>
      <c r="E20" s="79">
        <v>10</v>
      </c>
      <c r="F20" s="69" t="s">
        <v>198</v>
      </c>
      <c r="G20" s="78">
        <f t="shared" si="2"/>
        <v>750000</v>
      </c>
      <c r="H20" s="78">
        <f t="shared" si="1"/>
        <v>637500</v>
      </c>
    </row>
    <row r="21" spans="1:8" ht="15.75" customHeight="1" x14ac:dyDescent="0.15">
      <c r="A21" s="67" t="s">
        <v>199</v>
      </c>
      <c r="B21" s="68">
        <v>1500</v>
      </c>
      <c r="C21" s="75">
        <v>0.2</v>
      </c>
      <c r="D21" s="76">
        <f t="shared" si="0"/>
        <v>75000</v>
      </c>
      <c r="E21" s="77">
        <v>11</v>
      </c>
      <c r="F21" s="67" t="s">
        <v>199</v>
      </c>
      <c r="G21" s="76">
        <f t="shared" si="2"/>
        <v>900000</v>
      </c>
      <c r="H21" s="76">
        <f t="shared" si="1"/>
        <v>720000</v>
      </c>
    </row>
    <row r="22" spans="1:8" ht="15.75" customHeight="1" x14ac:dyDescent="0.15">
      <c r="A22" s="69" t="s">
        <v>200</v>
      </c>
      <c r="B22" s="68">
        <v>2000</v>
      </c>
      <c r="C22" s="75">
        <v>0.22</v>
      </c>
      <c r="D22" s="78">
        <f t="shared" si="0"/>
        <v>100000</v>
      </c>
      <c r="E22" s="79">
        <v>11</v>
      </c>
      <c r="F22" s="69" t="s">
        <v>200</v>
      </c>
      <c r="G22" s="78">
        <f t="shared" si="2"/>
        <v>1200000</v>
      </c>
      <c r="H22" s="78">
        <f t="shared" si="1"/>
        <v>936000</v>
      </c>
    </row>
    <row r="23" spans="1:8" ht="15.75" customHeight="1" x14ac:dyDescent="0.15">
      <c r="A23" s="67" t="s">
        <v>201</v>
      </c>
      <c r="B23" s="68">
        <v>3000</v>
      </c>
      <c r="C23" s="75">
        <v>0.24</v>
      </c>
      <c r="D23" s="76">
        <f t="shared" si="0"/>
        <v>150000</v>
      </c>
      <c r="E23" s="77">
        <v>12</v>
      </c>
      <c r="F23" s="67" t="s">
        <v>201</v>
      </c>
      <c r="G23" s="76">
        <f t="shared" si="2"/>
        <v>1800000</v>
      </c>
      <c r="H23" s="76">
        <f t="shared" si="1"/>
        <v>1368000</v>
      </c>
    </row>
    <row r="24" spans="1:8" ht="15.75" customHeight="1" x14ac:dyDescent="0.15">
      <c r="A24" s="69" t="s">
        <v>202</v>
      </c>
      <c r="B24" s="68">
        <v>4000</v>
      </c>
      <c r="C24" s="75">
        <v>0.25</v>
      </c>
      <c r="D24" s="78">
        <f t="shared" si="0"/>
        <v>200000</v>
      </c>
      <c r="E24" s="79">
        <v>13</v>
      </c>
      <c r="F24" s="69" t="s">
        <v>202</v>
      </c>
      <c r="G24" s="78">
        <f t="shared" si="2"/>
        <v>2400000</v>
      </c>
      <c r="H24" s="78">
        <f t="shared" si="1"/>
        <v>1800000</v>
      </c>
    </row>
    <row r="25" spans="1:8" ht="15.75" customHeight="1" x14ac:dyDescent="0.15">
      <c r="A25" s="67" t="s">
        <v>203</v>
      </c>
      <c r="B25" s="68">
        <v>5000</v>
      </c>
      <c r="C25" s="75">
        <v>0.25</v>
      </c>
      <c r="D25" s="76">
        <f t="shared" si="0"/>
        <v>250000</v>
      </c>
      <c r="E25" s="77">
        <v>14</v>
      </c>
      <c r="F25" s="67" t="s">
        <v>203</v>
      </c>
      <c r="G25" s="76">
        <f t="shared" si="2"/>
        <v>3000000</v>
      </c>
      <c r="H25" s="76">
        <f t="shared" si="1"/>
        <v>2250000</v>
      </c>
    </row>
    <row r="26" spans="1:8" ht="15.75" customHeight="1" x14ac:dyDescent="0.15">
      <c r="A26" s="69" t="s">
        <v>204</v>
      </c>
      <c r="B26" s="68">
        <v>6000</v>
      </c>
      <c r="C26" s="75">
        <v>0.25</v>
      </c>
      <c r="D26" s="78">
        <f t="shared" si="0"/>
        <v>300000</v>
      </c>
      <c r="E26" s="79">
        <v>15</v>
      </c>
      <c r="F26" s="69" t="s">
        <v>204</v>
      </c>
      <c r="G26" s="78">
        <f t="shared" si="2"/>
        <v>3600000</v>
      </c>
      <c r="H26" s="78">
        <f t="shared" si="1"/>
        <v>2700000</v>
      </c>
    </row>
    <row r="27" spans="1:8" ht="15.75" customHeight="1" x14ac:dyDescent="0.15">
      <c r="A27" s="67" t="s">
        <v>205</v>
      </c>
      <c r="B27" s="68">
        <v>7000</v>
      </c>
      <c r="C27" s="75">
        <v>0.25</v>
      </c>
      <c r="D27" s="76">
        <f t="shared" si="0"/>
        <v>350000</v>
      </c>
      <c r="E27" s="77">
        <v>16</v>
      </c>
      <c r="F27" s="67" t="s">
        <v>205</v>
      </c>
      <c r="G27" s="76">
        <f t="shared" si="2"/>
        <v>4200000</v>
      </c>
      <c r="H27" s="76">
        <f t="shared" si="1"/>
        <v>3150000</v>
      </c>
    </row>
    <row r="28" spans="1:8" ht="15.75" customHeight="1" x14ac:dyDescent="0.15">
      <c r="A28" s="69" t="s">
        <v>206</v>
      </c>
      <c r="B28" s="79">
        <v>999999</v>
      </c>
      <c r="C28" s="75">
        <v>0.25</v>
      </c>
      <c r="D28" s="78">
        <f>1000*$B$4</f>
        <v>50000</v>
      </c>
      <c r="E28" s="69">
        <v>17</v>
      </c>
      <c r="F28" s="69" t="s">
        <v>207</v>
      </c>
      <c r="G28" s="78">
        <f>1000*$B$4*12</f>
        <v>600000</v>
      </c>
      <c r="H28" s="78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9.6640625" customWidth="1"/>
    <col min="2" max="6" width="12.6640625" customWidth="1"/>
    <col min="11" max="11" width="12.83203125" customWidth="1"/>
  </cols>
  <sheetData>
    <row r="1" spans="1:26" ht="15.75" customHeight="1" x14ac:dyDescent="0.15">
      <c r="A1" s="80" t="s">
        <v>208</v>
      </c>
      <c r="B1" s="80"/>
      <c r="C1" s="80"/>
      <c r="D1" s="80"/>
      <c r="E1" s="80"/>
      <c r="F1" s="80"/>
      <c r="G1" s="80"/>
      <c r="H1" s="80"/>
      <c r="I1" s="80" t="s">
        <v>209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15.75" customHeight="1" x14ac:dyDescent="0.15">
      <c r="A2" s="65" t="s">
        <v>10</v>
      </c>
      <c r="B2" s="65" t="s">
        <v>25</v>
      </c>
      <c r="C2" s="65" t="s">
        <v>26</v>
      </c>
      <c r="D2" s="65" t="s">
        <v>210</v>
      </c>
      <c r="E2" s="65" t="s">
        <v>28</v>
      </c>
      <c r="F2" s="65" t="s">
        <v>1</v>
      </c>
      <c r="G2" s="65"/>
      <c r="H2" s="65"/>
      <c r="I2" s="65" t="s">
        <v>10</v>
      </c>
      <c r="J2" s="65" t="s">
        <v>14</v>
      </c>
      <c r="K2" s="65" t="s">
        <v>26</v>
      </c>
      <c r="L2" s="65" t="s">
        <v>211</v>
      </c>
      <c r="M2" s="65" t="s">
        <v>212</v>
      </c>
      <c r="N2" s="65" t="s">
        <v>213</v>
      </c>
      <c r="O2" s="65" t="s">
        <v>1</v>
      </c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5.75" customHeight="1" x14ac:dyDescent="0.15">
      <c r="A3" s="4" t="s">
        <v>17</v>
      </c>
      <c r="B3" s="4" t="s">
        <v>32</v>
      </c>
      <c r="C3" s="4" t="s">
        <v>33</v>
      </c>
      <c r="D3" s="4" t="s">
        <v>34</v>
      </c>
      <c r="E3" s="81">
        <v>1</v>
      </c>
      <c r="F3" s="82">
        <v>1</v>
      </c>
      <c r="I3" s="4" t="s">
        <v>17</v>
      </c>
      <c r="J3" s="4" t="s">
        <v>20</v>
      </c>
      <c r="K3" s="4" t="s">
        <v>214</v>
      </c>
      <c r="L3" s="82">
        <v>1</v>
      </c>
      <c r="M3" s="83" t="s">
        <v>19</v>
      </c>
      <c r="N3" s="81">
        <v>100</v>
      </c>
      <c r="O3" s="82">
        <v>1</v>
      </c>
    </row>
    <row r="4" spans="1:26" ht="15.75" customHeight="1" x14ac:dyDescent="0.15">
      <c r="A4" s="4" t="s">
        <v>17</v>
      </c>
      <c r="B4" s="4" t="s">
        <v>35</v>
      </c>
      <c r="C4" s="4" t="s">
        <v>36</v>
      </c>
      <c r="D4" s="4" t="s">
        <v>34</v>
      </c>
      <c r="E4" s="81">
        <v>1</v>
      </c>
      <c r="F4" s="82">
        <v>2</v>
      </c>
      <c r="I4" s="4" t="s">
        <v>37</v>
      </c>
      <c r="J4" s="4" t="s">
        <v>39</v>
      </c>
      <c r="K4" s="4" t="s">
        <v>215</v>
      </c>
      <c r="L4" s="82">
        <v>1</v>
      </c>
      <c r="M4" s="83" t="s">
        <v>19</v>
      </c>
      <c r="N4" s="81">
        <v>100</v>
      </c>
      <c r="O4" s="82">
        <v>1</v>
      </c>
    </row>
    <row r="5" spans="1:26" ht="15.75" customHeight="1" x14ac:dyDescent="0.15">
      <c r="A5" s="4" t="s">
        <v>17</v>
      </c>
      <c r="B5" s="4" t="s">
        <v>40</v>
      </c>
      <c r="C5" s="4" t="s">
        <v>41</v>
      </c>
      <c r="D5" s="4" t="s">
        <v>42</v>
      </c>
      <c r="E5" s="81">
        <v>1</v>
      </c>
      <c r="F5" s="82">
        <v>2</v>
      </c>
      <c r="I5" s="4" t="s">
        <v>7</v>
      </c>
      <c r="J5" s="4" t="s">
        <v>22</v>
      </c>
      <c r="K5" s="4" t="s">
        <v>216</v>
      </c>
      <c r="L5" s="82">
        <v>1</v>
      </c>
      <c r="M5" s="83" t="s">
        <v>19</v>
      </c>
      <c r="N5" s="81">
        <v>400</v>
      </c>
      <c r="O5" s="82">
        <v>1</v>
      </c>
    </row>
    <row r="6" spans="1:26" ht="15.75" customHeight="1" x14ac:dyDescent="0.15">
      <c r="A6" s="4" t="s">
        <v>17</v>
      </c>
      <c r="B6" s="4" t="s">
        <v>44</v>
      </c>
      <c r="C6" s="4" t="s">
        <v>45</v>
      </c>
      <c r="D6" s="4" t="s">
        <v>42</v>
      </c>
      <c r="E6" s="81">
        <v>1</v>
      </c>
      <c r="F6" s="82">
        <v>4</v>
      </c>
      <c r="I6" s="4" t="s">
        <v>163</v>
      </c>
      <c r="J6" s="4" t="s">
        <v>166</v>
      </c>
      <c r="K6" s="4" t="s">
        <v>217</v>
      </c>
      <c r="L6" s="82">
        <v>1000</v>
      </c>
      <c r="M6" s="4" t="s">
        <v>218</v>
      </c>
      <c r="N6" s="82">
        <v>150</v>
      </c>
      <c r="O6" s="82">
        <v>1</v>
      </c>
    </row>
    <row r="7" spans="1:26" ht="15.75" customHeight="1" x14ac:dyDescent="0.15">
      <c r="A7" s="4" t="s">
        <v>17</v>
      </c>
      <c r="B7" s="4" t="s">
        <v>48</v>
      </c>
      <c r="C7" s="4" t="s">
        <v>49</v>
      </c>
      <c r="D7" s="4" t="s">
        <v>50</v>
      </c>
      <c r="E7" s="81">
        <v>1</v>
      </c>
      <c r="F7" s="82">
        <v>4</v>
      </c>
      <c r="I7" s="4" t="s">
        <v>163</v>
      </c>
      <c r="J7" s="4" t="s">
        <v>171</v>
      </c>
      <c r="K7" s="4" t="s">
        <v>219</v>
      </c>
      <c r="L7" s="81">
        <v>1</v>
      </c>
      <c r="M7" s="4" t="s">
        <v>220</v>
      </c>
      <c r="N7" s="81">
        <v>120</v>
      </c>
      <c r="O7" s="82">
        <v>1</v>
      </c>
    </row>
    <row r="8" spans="1:26" ht="15.75" customHeight="1" x14ac:dyDescent="0.15">
      <c r="A8" s="4" t="s">
        <v>17</v>
      </c>
      <c r="B8" s="4" t="s">
        <v>53</v>
      </c>
      <c r="C8" s="4" t="s">
        <v>54</v>
      </c>
      <c r="D8" s="4" t="s">
        <v>50</v>
      </c>
      <c r="E8" s="81">
        <v>1</v>
      </c>
      <c r="F8" s="82">
        <v>8</v>
      </c>
      <c r="I8" s="4"/>
      <c r="J8" s="4"/>
      <c r="K8" s="4"/>
      <c r="L8" s="82"/>
      <c r="M8" s="4"/>
      <c r="N8" s="81"/>
      <c r="O8" s="82"/>
    </row>
    <row r="9" spans="1:26" ht="15.75" customHeight="1" x14ac:dyDescent="0.15">
      <c r="A9" s="4" t="s">
        <v>17</v>
      </c>
      <c r="B9" s="4" t="s">
        <v>59</v>
      </c>
      <c r="C9" s="4" t="s">
        <v>60</v>
      </c>
      <c r="D9" s="4" t="s">
        <v>61</v>
      </c>
      <c r="E9" s="81">
        <v>1</v>
      </c>
      <c r="F9" s="82">
        <v>10</v>
      </c>
    </row>
    <row r="10" spans="1:26" ht="15.75" customHeight="1" x14ac:dyDescent="0.15">
      <c r="A10" s="4" t="s">
        <v>17</v>
      </c>
      <c r="B10" s="4" t="s">
        <v>66</v>
      </c>
      <c r="C10" s="4" t="s">
        <v>67</v>
      </c>
      <c r="D10" s="4" t="s">
        <v>61</v>
      </c>
      <c r="E10" s="81">
        <v>1</v>
      </c>
      <c r="F10" s="82">
        <v>20</v>
      </c>
    </row>
    <row r="11" spans="1:26" ht="15.75" customHeight="1" x14ac:dyDescent="0.15">
      <c r="A11" s="4" t="s">
        <v>17</v>
      </c>
      <c r="B11" s="4" t="s">
        <v>71</v>
      </c>
      <c r="C11" s="4" t="s">
        <v>72</v>
      </c>
      <c r="D11" s="4" t="s">
        <v>61</v>
      </c>
      <c r="E11" s="81">
        <v>1</v>
      </c>
      <c r="F11" s="82">
        <v>10</v>
      </c>
      <c r="I11" s="4"/>
      <c r="J11" s="4"/>
      <c r="K11" s="4"/>
      <c r="L11" s="81"/>
      <c r="M11" s="4"/>
      <c r="N11" s="81"/>
      <c r="O11" s="82"/>
    </row>
    <row r="12" spans="1:26" ht="15.75" customHeight="1" x14ac:dyDescent="0.15">
      <c r="A12" s="4" t="s">
        <v>17</v>
      </c>
      <c r="B12" s="4" t="s">
        <v>77</v>
      </c>
      <c r="C12" s="4" t="s">
        <v>78</v>
      </c>
      <c r="D12" s="4" t="s">
        <v>61</v>
      </c>
      <c r="E12" s="81">
        <v>1</v>
      </c>
      <c r="F12" s="82">
        <v>20</v>
      </c>
      <c r="I12" s="4"/>
      <c r="J12" s="4"/>
      <c r="K12" s="4"/>
      <c r="L12" s="81"/>
      <c r="M12" s="4"/>
      <c r="N12" s="81"/>
      <c r="O12" s="82"/>
    </row>
    <row r="13" spans="1:26" ht="15.75" customHeight="1" x14ac:dyDescent="0.15">
      <c r="A13" s="4" t="s">
        <v>17</v>
      </c>
      <c r="B13" s="4" t="s">
        <v>81</v>
      </c>
      <c r="C13" s="4" t="s">
        <v>82</v>
      </c>
      <c r="D13" s="4" t="s">
        <v>83</v>
      </c>
      <c r="E13" s="81">
        <v>1</v>
      </c>
      <c r="F13" s="82">
        <v>20</v>
      </c>
      <c r="I13" s="4"/>
      <c r="J13" s="4"/>
      <c r="K13" s="4"/>
      <c r="L13" s="82"/>
      <c r="M13" s="4"/>
      <c r="N13" s="81"/>
      <c r="O13" s="82"/>
    </row>
    <row r="14" spans="1:26" ht="15.75" customHeight="1" x14ac:dyDescent="0.15">
      <c r="A14" s="4" t="s">
        <v>17</v>
      </c>
      <c r="B14" s="4" t="s">
        <v>87</v>
      </c>
      <c r="C14" s="4" t="s">
        <v>88</v>
      </c>
      <c r="D14" s="4" t="s">
        <v>83</v>
      </c>
      <c r="E14" s="81">
        <v>1</v>
      </c>
      <c r="F14" s="82">
        <v>39</v>
      </c>
      <c r="I14" s="4"/>
      <c r="J14" s="4"/>
      <c r="K14" s="4"/>
      <c r="L14" s="82"/>
      <c r="M14" s="4"/>
      <c r="N14" s="81"/>
      <c r="O14" s="82"/>
    </row>
    <row r="15" spans="1:26" ht="15.75" customHeight="1" x14ac:dyDescent="0.15">
      <c r="A15" s="4" t="s">
        <v>17</v>
      </c>
      <c r="B15" s="4" t="s">
        <v>91</v>
      </c>
      <c r="C15" s="4" t="s">
        <v>92</v>
      </c>
      <c r="D15" s="4" t="s">
        <v>93</v>
      </c>
      <c r="E15" s="81">
        <v>1</v>
      </c>
      <c r="F15" s="82">
        <v>39</v>
      </c>
      <c r="I15" s="4"/>
      <c r="J15" s="4"/>
      <c r="K15" s="4"/>
      <c r="L15" s="82"/>
      <c r="M15" s="4"/>
      <c r="N15" s="81"/>
      <c r="O15" s="82"/>
    </row>
    <row r="16" spans="1:26" ht="15.75" customHeight="1" x14ac:dyDescent="0.15">
      <c r="A16" s="4" t="s">
        <v>17</v>
      </c>
      <c r="B16" s="4" t="s">
        <v>98</v>
      </c>
      <c r="C16" s="4" t="s">
        <v>99</v>
      </c>
      <c r="D16" s="4" t="s">
        <v>93</v>
      </c>
      <c r="E16" s="81">
        <v>1</v>
      </c>
      <c r="F16" s="82">
        <v>78</v>
      </c>
      <c r="I16" s="4"/>
      <c r="J16" s="4"/>
      <c r="K16" s="4"/>
      <c r="L16" s="82"/>
      <c r="M16" s="4"/>
      <c r="N16" s="81"/>
      <c r="O16" s="82"/>
    </row>
    <row r="17" spans="1:15" ht="15.75" customHeight="1" x14ac:dyDescent="0.15">
      <c r="A17" s="4" t="s">
        <v>17</v>
      </c>
      <c r="B17" s="4" t="s">
        <v>103</v>
      </c>
      <c r="C17" s="4" t="s">
        <v>104</v>
      </c>
      <c r="D17" s="4" t="s">
        <v>105</v>
      </c>
      <c r="E17" s="81">
        <v>1</v>
      </c>
      <c r="F17" s="82">
        <v>17</v>
      </c>
      <c r="I17" s="4"/>
      <c r="J17" s="4"/>
      <c r="K17" s="4"/>
      <c r="L17" s="81"/>
      <c r="M17" s="4"/>
      <c r="N17" s="81"/>
      <c r="O17" s="82"/>
    </row>
    <row r="18" spans="1:15" ht="15.75" customHeight="1" x14ac:dyDescent="0.15">
      <c r="A18" s="4" t="s">
        <v>17</v>
      </c>
      <c r="B18" s="4" t="s">
        <v>111</v>
      </c>
      <c r="C18" s="4" t="s">
        <v>112</v>
      </c>
      <c r="D18" s="4" t="s">
        <v>105</v>
      </c>
      <c r="E18" s="81">
        <v>1</v>
      </c>
      <c r="F18" s="82">
        <v>34</v>
      </c>
      <c r="I18" s="4"/>
      <c r="J18" s="4"/>
      <c r="K18" s="4"/>
      <c r="L18" s="81"/>
      <c r="M18" s="4"/>
      <c r="N18" s="81"/>
      <c r="O18" s="82"/>
    </row>
    <row r="19" spans="1:15" ht="15.75" customHeight="1" x14ac:dyDescent="0.15">
      <c r="A19" s="4" t="s">
        <v>17</v>
      </c>
      <c r="B19" s="4" t="s">
        <v>116</v>
      </c>
      <c r="C19" s="4" t="s">
        <v>117</v>
      </c>
      <c r="D19" s="4" t="s">
        <v>34</v>
      </c>
      <c r="E19" s="81">
        <v>1</v>
      </c>
      <c r="F19" s="82">
        <v>1</v>
      </c>
      <c r="I19" s="4"/>
      <c r="J19" s="4"/>
      <c r="K19" s="4"/>
      <c r="L19" s="81"/>
      <c r="M19" s="4"/>
      <c r="N19" s="81"/>
      <c r="O19" s="82"/>
    </row>
    <row r="20" spans="1:15" ht="15.75" customHeight="1" x14ac:dyDescent="0.15">
      <c r="A20" s="4" t="s">
        <v>17</v>
      </c>
      <c r="B20" s="4" t="s">
        <v>119</v>
      </c>
      <c r="C20" s="4" t="s">
        <v>120</v>
      </c>
      <c r="D20" s="4" t="s">
        <v>34</v>
      </c>
      <c r="E20" s="81">
        <v>1</v>
      </c>
      <c r="F20" s="82">
        <v>2</v>
      </c>
      <c r="I20" s="4"/>
      <c r="J20" s="4"/>
      <c r="K20" s="4"/>
      <c r="L20" s="81"/>
      <c r="M20" s="4"/>
      <c r="N20" s="81"/>
      <c r="O20" s="82"/>
    </row>
    <row r="21" spans="1:15" ht="15.75" customHeight="1" x14ac:dyDescent="0.15">
      <c r="A21" s="4" t="s">
        <v>17</v>
      </c>
      <c r="B21" s="4" t="s">
        <v>124</v>
      </c>
      <c r="C21" s="4" t="s">
        <v>125</v>
      </c>
      <c r="D21" s="4" t="s">
        <v>42</v>
      </c>
      <c r="E21" s="81">
        <v>1</v>
      </c>
      <c r="F21" s="82">
        <v>2</v>
      </c>
      <c r="I21" s="4"/>
      <c r="J21" s="4"/>
      <c r="K21" s="4"/>
      <c r="L21" s="81"/>
      <c r="M21" s="4"/>
      <c r="N21" s="81"/>
      <c r="O21" s="82"/>
    </row>
    <row r="22" spans="1:15" ht="15.75" customHeight="1" x14ac:dyDescent="0.15">
      <c r="A22" s="4" t="s">
        <v>17</v>
      </c>
      <c r="B22" s="4" t="s">
        <v>127</v>
      </c>
      <c r="C22" s="4" t="s">
        <v>128</v>
      </c>
      <c r="D22" s="4" t="s">
        <v>42</v>
      </c>
      <c r="E22" s="81">
        <v>1</v>
      </c>
      <c r="F22" s="82">
        <v>4</v>
      </c>
      <c r="I22" s="4"/>
      <c r="J22" s="4"/>
      <c r="K22" s="4"/>
      <c r="L22" s="81"/>
      <c r="M22" s="4"/>
      <c r="N22" s="81"/>
      <c r="O22" s="82"/>
    </row>
    <row r="23" spans="1:15" ht="15.75" customHeight="1" x14ac:dyDescent="0.15">
      <c r="A23" s="4" t="s">
        <v>17</v>
      </c>
      <c r="B23" s="4" t="s">
        <v>133</v>
      </c>
      <c r="C23" s="4" t="s">
        <v>134</v>
      </c>
      <c r="D23" s="4" t="s">
        <v>50</v>
      </c>
      <c r="E23" s="81">
        <v>1</v>
      </c>
      <c r="F23" s="82">
        <v>4</v>
      </c>
    </row>
    <row r="24" spans="1:15" ht="15.75" customHeight="1" x14ac:dyDescent="0.15">
      <c r="A24" s="4" t="s">
        <v>17</v>
      </c>
      <c r="B24" s="4" t="s">
        <v>140</v>
      </c>
      <c r="C24" s="4" t="s">
        <v>141</v>
      </c>
      <c r="D24" s="4" t="s">
        <v>50</v>
      </c>
      <c r="E24" s="81">
        <v>1</v>
      </c>
      <c r="F24" s="82">
        <v>7</v>
      </c>
    </row>
    <row r="25" spans="1:15" ht="15.75" customHeight="1" x14ac:dyDescent="0.15">
      <c r="A25" s="4" t="s">
        <v>17</v>
      </c>
      <c r="B25" s="4" t="s">
        <v>145</v>
      </c>
      <c r="C25" s="4" t="s">
        <v>146</v>
      </c>
      <c r="D25" s="4" t="s">
        <v>61</v>
      </c>
      <c r="E25" s="81">
        <v>1</v>
      </c>
      <c r="F25" s="82">
        <v>9</v>
      </c>
    </row>
    <row r="26" spans="1:15" ht="15.75" customHeight="1" x14ac:dyDescent="0.15">
      <c r="A26" s="4" t="s">
        <v>17</v>
      </c>
      <c r="B26" s="4" t="s">
        <v>150</v>
      </c>
      <c r="C26" s="4" t="s">
        <v>151</v>
      </c>
      <c r="D26" s="4" t="s">
        <v>61</v>
      </c>
      <c r="E26" s="81">
        <v>1</v>
      </c>
      <c r="F26" s="82">
        <v>19</v>
      </c>
    </row>
    <row r="27" spans="1:15" ht="15.75" customHeight="1" x14ac:dyDescent="0.15">
      <c r="A27" s="4" t="s">
        <v>17</v>
      </c>
      <c r="B27" s="4" t="s">
        <v>154</v>
      </c>
      <c r="C27" s="4" t="s">
        <v>155</v>
      </c>
      <c r="D27" s="4" t="s">
        <v>61</v>
      </c>
      <c r="E27" s="81">
        <v>1</v>
      </c>
      <c r="F27" s="82">
        <v>9</v>
      </c>
    </row>
    <row r="28" spans="1:15" ht="15.75" customHeight="1" x14ac:dyDescent="0.15">
      <c r="A28" s="4" t="s">
        <v>17</v>
      </c>
      <c r="B28" s="4" t="s">
        <v>156</v>
      </c>
      <c r="C28" s="4" t="s">
        <v>157</v>
      </c>
      <c r="D28" s="4" t="s">
        <v>61</v>
      </c>
      <c r="E28" s="81">
        <v>1</v>
      </c>
      <c r="F28" s="82">
        <v>19</v>
      </c>
    </row>
    <row r="29" spans="1:15" ht="15.75" customHeight="1" x14ac:dyDescent="0.15">
      <c r="A29" s="4" t="s">
        <v>17</v>
      </c>
      <c r="B29" s="4" t="s">
        <v>159</v>
      </c>
      <c r="C29" s="4" t="s">
        <v>160</v>
      </c>
      <c r="D29" s="4" t="s">
        <v>83</v>
      </c>
      <c r="E29" s="81">
        <v>1</v>
      </c>
      <c r="F29" s="82">
        <v>19</v>
      </c>
    </row>
    <row r="30" spans="1:15" ht="15.75" customHeight="1" x14ac:dyDescent="0.15">
      <c r="A30" s="4" t="s">
        <v>17</v>
      </c>
      <c r="B30" s="4" t="s">
        <v>161</v>
      </c>
      <c r="C30" s="4" t="s">
        <v>162</v>
      </c>
      <c r="D30" s="4" t="s">
        <v>83</v>
      </c>
      <c r="E30" s="81">
        <v>1</v>
      </c>
      <c r="F30" s="82">
        <v>37</v>
      </c>
    </row>
    <row r="31" spans="1:15" ht="15.75" customHeight="1" x14ac:dyDescent="0.15">
      <c r="A31" s="4" t="s">
        <v>17</v>
      </c>
      <c r="B31" s="4" t="s">
        <v>167</v>
      </c>
      <c r="C31" s="4" t="s">
        <v>168</v>
      </c>
      <c r="D31" s="4" t="s">
        <v>50</v>
      </c>
      <c r="E31" s="81">
        <v>1</v>
      </c>
      <c r="F31" s="82">
        <v>7</v>
      </c>
    </row>
    <row r="32" spans="1:15" ht="15.75" customHeight="1" x14ac:dyDescent="0.15">
      <c r="A32" s="4" t="s">
        <v>17</v>
      </c>
      <c r="B32" s="4" t="s">
        <v>172</v>
      </c>
      <c r="C32" s="4" t="s">
        <v>173</v>
      </c>
      <c r="D32" s="4" t="s">
        <v>61</v>
      </c>
      <c r="E32" s="81">
        <v>1</v>
      </c>
      <c r="F32" s="82">
        <v>46</v>
      </c>
    </row>
    <row r="33" spans="1:6" ht="15.75" customHeight="1" x14ac:dyDescent="0.15">
      <c r="A33" s="4" t="s">
        <v>37</v>
      </c>
      <c r="B33" s="4" t="s">
        <v>55</v>
      </c>
      <c r="C33" s="4" t="s">
        <v>56</v>
      </c>
      <c r="D33" s="4" t="s">
        <v>57</v>
      </c>
      <c r="E33" s="81">
        <v>1</v>
      </c>
      <c r="F33" s="82">
        <v>2</v>
      </c>
    </row>
    <row r="34" spans="1:6" ht="15.75" customHeight="1" x14ac:dyDescent="0.15">
      <c r="A34" s="4" t="s">
        <v>37</v>
      </c>
      <c r="B34" s="4" t="s">
        <v>62</v>
      </c>
      <c r="C34" s="4" t="s">
        <v>63</v>
      </c>
      <c r="D34" s="4" t="s">
        <v>64</v>
      </c>
      <c r="E34" s="81">
        <v>5</v>
      </c>
      <c r="F34" s="82">
        <v>34</v>
      </c>
    </row>
    <row r="35" spans="1:6" ht="15.75" customHeight="1" x14ac:dyDescent="0.15">
      <c r="A35" s="4" t="s">
        <v>37</v>
      </c>
      <c r="B35" s="4" t="s">
        <v>68</v>
      </c>
      <c r="C35" s="4" t="s">
        <v>69</v>
      </c>
      <c r="D35" s="4" t="s">
        <v>64</v>
      </c>
      <c r="E35" s="81">
        <v>7</v>
      </c>
      <c r="F35" s="82">
        <v>48</v>
      </c>
    </row>
    <row r="36" spans="1:6" ht="15.75" customHeight="1" x14ac:dyDescent="0.15">
      <c r="A36" s="4" t="s">
        <v>37</v>
      </c>
      <c r="B36" s="4" t="s">
        <v>73</v>
      </c>
      <c r="C36" s="4" t="s">
        <v>74</v>
      </c>
      <c r="D36" s="4" t="s">
        <v>75</v>
      </c>
      <c r="E36" s="81">
        <v>5</v>
      </c>
      <c r="F36" s="82">
        <v>69</v>
      </c>
    </row>
    <row r="37" spans="1:6" ht="15.75" customHeight="1" x14ac:dyDescent="0.15">
      <c r="A37" s="4" t="s">
        <v>37</v>
      </c>
      <c r="B37" s="4" t="s">
        <v>79</v>
      </c>
      <c r="C37" s="4" t="s">
        <v>80</v>
      </c>
      <c r="D37" s="4" t="s">
        <v>75</v>
      </c>
      <c r="E37" s="81">
        <v>7</v>
      </c>
      <c r="F37" s="82">
        <v>96</v>
      </c>
    </row>
    <row r="38" spans="1:6" ht="15.75" customHeight="1" x14ac:dyDescent="0.15">
      <c r="A38" s="4" t="s">
        <v>37</v>
      </c>
      <c r="B38" s="4" t="s">
        <v>84</v>
      </c>
      <c r="C38" s="4" t="s">
        <v>85</v>
      </c>
      <c r="D38" s="4" t="s">
        <v>86</v>
      </c>
      <c r="E38" s="81">
        <v>5</v>
      </c>
      <c r="F38" s="82">
        <v>137</v>
      </c>
    </row>
    <row r="39" spans="1:6" ht="15.75" customHeight="1" x14ac:dyDescent="0.15">
      <c r="A39" s="4" t="s">
        <v>37</v>
      </c>
      <c r="B39" s="4" t="s">
        <v>89</v>
      </c>
      <c r="C39" s="4" t="s">
        <v>90</v>
      </c>
      <c r="D39" s="4" t="s">
        <v>86</v>
      </c>
      <c r="E39" s="81">
        <v>7</v>
      </c>
      <c r="F39" s="82">
        <v>192</v>
      </c>
    </row>
    <row r="40" spans="1:6" ht="15.75" customHeight="1" x14ac:dyDescent="0.15">
      <c r="A40" s="4" t="s">
        <v>37</v>
      </c>
      <c r="B40" s="4" t="s">
        <v>94</v>
      </c>
      <c r="C40" s="4" t="s">
        <v>95</v>
      </c>
      <c r="D40" s="4" t="s">
        <v>96</v>
      </c>
      <c r="E40" s="81">
        <v>5</v>
      </c>
      <c r="F40" s="82">
        <v>163</v>
      </c>
    </row>
    <row r="41" spans="1:6" ht="15.75" customHeight="1" x14ac:dyDescent="0.15">
      <c r="A41" s="4" t="s">
        <v>37</v>
      </c>
      <c r="B41" s="4" t="s">
        <v>100</v>
      </c>
      <c r="C41" s="4" t="s">
        <v>101</v>
      </c>
      <c r="D41" s="4" t="s">
        <v>96</v>
      </c>
      <c r="E41" s="81">
        <v>7</v>
      </c>
      <c r="F41" s="82">
        <v>228</v>
      </c>
    </row>
    <row r="42" spans="1:6" ht="15.75" customHeight="1" x14ac:dyDescent="0.15">
      <c r="A42" s="4" t="s">
        <v>37</v>
      </c>
      <c r="B42" s="4" t="s">
        <v>106</v>
      </c>
      <c r="C42" s="4" t="s">
        <v>107</v>
      </c>
      <c r="D42" s="4" t="s">
        <v>108</v>
      </c>
      <c r="E42" s="81">
        <v>5</v>
      </c>
      <c r="F42" s="82">
        <v>326</v>
      </c>
    </row>
    <row r="43" spans="1:6" ht="15.75" customHeight="1" x14ac:dyDescent="0.15">
      <c r="A43" s="4" t="s">
        <v>37</v>
      </c>
      <c r="B43" s="4" t="s">
        <v>113</v>
      </c>
      <c r="C43" s="4" t="s">
        <v>114</v>
      </c>
      <c r="D43" s="4" t="s">
        <v>108</v>
      </c>
      <c r="E43" s="81">
        <v>7</v>
      </c>
      <c r="F43" s="82">
        <v>456</v>
      </c>
    </row>
    <row r="44" spans="1:6" ht="15.75" customHeight="1" x14ac:dyDescent="0.15">
      <c r="A44" s="4" t="s">
        <v>135</v>
      </c>
      <c r="B44" s="4" t="s">
        <v>129</v>
      </c>
      <c r="C44" s="4" t="s">
        <v>130</v>
      </c>
      <c r="D44" s="4" t="s">
        <v>131</v>
      </c>
      <c r="E44" s="81">
        <v>1</v>
      </c>
      <c r="F44" s="82">
        <v>1</v>
      </c>
    </row>
    <row r="45" spans="1:6" ht="15.75" customHeight="1" x14ac:dyDescent="0.15">
      <c r="A45" s="4" t="s">
        <v>135</v>
      </c>
      <c r="B45" s="4" t="s">
        <v>136</v>
      </c>
      <c r="C45" s="4" t="s">
        <v>137</v>
      </c>
      <c r="D45" s="4" t="s">
        <v>131</v>
      </c>
      <c r="E45" s="81">
        <v>3</v>
      </c>
      <c r="F45" s="82">
        <v>2</v>
      </c>
    </row>
    <row r="46" spans="1:6" ht="15.75" customHeight="1" x14ac:dyDescent="0.15">
      <c r="A46" s="4" t="s">
        <v>135</v>
      </c>
      <c r="B46" s="4" t="s">
        <v>142</v>
      </c>
      <c r="C46" s="4" t="s">
        <v>143</v>
      </c>
      <c r="D46" s="4" t="s">
        <v>131</v>
      </c>
      <c r="E46" s="81">
        <v>5</v>
      </c>
      <c r="F46" s="82">
        <v>4</v>
      </c>
    </row>
    <row r="47" spans="1:6" ht="15.75" customHeight="1" x14ac:dyDescent="0.15">
      <c r="A47" s="4" t="s">
        <v>135</v>
      </c>
      <c r="B47" s="4" t="s">
        <v>147</v>
      </c>
      <c r="C47" s="4" t="s">
        <v>148</v>
      </c>
      <c r="D47" s="4" t="s">
        <v>149</v>
      </c>
      <c r="E47" s="81">
        <v>3</v>
      </c>
      <c r="F47" s="82">
        <v>5</v>
      </c>
    </row>
    <row r="48" spans="1:6" ht="15.75" customHeight="1" x14ac:dyDescent="0.15">
      <c r="A48" s="4" t="s">
        <v>135</v>
      </c>
      <c r="B48" s="4" t="s">
        <v>152</v>
      </c>
      <c r="C48" s="4" t="s">
        <v>153</v>
      </c>
      <c r="D48" s="4" t="s">
        <v>149</v>
      </c>
      <c r="E48" s="81">
        <v>5</v>
      </c>
      <c r="F48" s="82">
        <v>8</v>
      </c>
    </row>
    <row r="49" spans="1:6" ht="15.75" customHeight="1" x14ac:dyDescent="0.15">
      <c r="A49" s="4" t="s">
        <v>109</v>
      </c>
      <c r="B49" s="4" t="s">
        <v>102</v>
      </c>
      <c r="C49" s="4" t="s">
        <v>221</v>
      </c>
      <c r="D49" s="4"/>
      <c r="E49" s="4">
        <v>0</v>
      </c>
      <c r="F49" s="82">
        <v>0</v>
      </c>
    </row>
    <row r="50" spans="1:6" ht="15.75" customHeight="1" x14ac:dyDescent="0.15">
      <c r="A50" s="4" t="s">
        <v>109</v>
      </c>
      <c r="B50" s="4" t="s">
        <v>110</v>
      </c>
      <c r="C50" s="4" t="s">
        <v>222</v>
      </c>
      <c r="D50" s="4"/>
      <c r="E50" s="4">
        <v>0</v>
      </c>
      <c r="F50" s="82">
        <v>0</v>
      </c>
    </row>
    <row r="51" spans="1:6" ht="15.75" customHeight="1" x14ac:dyDescent="0.15">
      <c r="A51" s="4" t="s">
        <v>109</v>
      </c>
      <c r="B51" s="4" t="s">
        <v>115</v>
      </c>
      <c r="C51" s="4" t="s">
        <v>223</v>
      </c>
      <c r="D51" s="4"/>
      <c r="E51" s="4">
        <v>0</v>
      </c>
      <c r="F51" s="82">
        <v>0</v>
      </c>
    </row>
    <row r="52" spans="1:6" ht="15.75" customHeight="1" x14ac:dyDescent="0.15">
      <c r="A52" s="4" t="s">
        <v>109</v>
      </c>
      <c r="B52" s="4" t="s">
        <v>118</v>
      </c>
      <c r="C52" s="4" t="s">
        <v>224</v>
      </c>
      <c r="D52" s="4"/>
      <c r="E52" s="4">
        <v>0</v>
      </c>
      <c r="F52" s="82">
        <v>0</v>
      </c>
    </row>
    <row r="53" spans="1:6" ht="15.75" customHeight="1" x14ac:dyDescent="0.15">
      <c r="A53" s="4" t="s">
        <v>122</v>
      </c>
      <c r="B53" s="4" t="s">
        <v>123</v>
      </c>
      <c r="C53" s="4" t="s">
        <v>225</v>
      </c>
      <c r="D53" s="4"/>
      <c r="E53" s="4">
        <v>0</v>
      </c>
      <c r="F53" s="82">
        <v>0</v>
      </c>
    </row>
    <row r="54" spans="1:6" ht="15.75" customHeight="1" x14ac:dyDescent="0.15">
      <c r="A54" s="4" t="s">
        <v>122</v>
      </c>
      <c r="B54" s="4" t="s">
        <v>126</v>
      </c>
      <c r="C54" s="4" t="s">
        <v>226</v>
      </c>
      <c r="D54" s="4"/>
      <c r="E54" s="4">
        <v>0</v>
      </c>
      <c r="F54" s="82">
        <v>0</v>
      </c>
    </row>
    <row r="55" spans="1:6" ht="15.75" customHeight="1" x14ac:dyDescent="0.15">
      <c r="A55" s="4" t="s">
        <v>122</v>
      </c>
      <c r="B55" s="4" t="s">
        <v>132</v>
      </c>
      <c r="C55" s="4" t="s">
        <v>227</v>
      </c>
      <c r="D55" s="4"/>
      <c r="E55" s="4">
        <v>0</v>
      </c>
      <c r="F55" s="82">
        <v>0</v>
      </c>
    </row>
    <row r="56" spans="1:6" ht="15.75" customHeight="1" x14ac:dyDescent="0.15">
      <c r="A56" s="4" t="s">
        <v>138</v>
      </c>
      <c r="B56" s="4" t="s">
        <v>139</v>
      </c>
      <c r="C56" s="4" t="s">
        <v>228</v>
      </c>
      <c r="D56" s="4"/>
      <c r="E56" s="4">
        <v>0</v>
      </c>
      <c r="F56" s="82">
        <v>0</v>
      </c>
    </row>
    <row r="57" spans="1:6" ht="15.75" customHeight="1" x14ac:dyDescent="0.15">
      <c r="A57" s="4"/>
      <c r="B57" s="4"/>
      <c r="C57" s="4"/>
      <c r="D57" s="4"/>
      <c r="E57" s="81"/>
      <c r="F57" s="82"/>
    </row>
    <row r="58" spans="1:6" ht="15.75" customHeight="1" x14ac:dyDescent="0.15">
      <c r="A58" s="4"/>
      <c r="B58" s="4"/>
      <c r="C58" s="4"/>
      <c r="D58" s="4"/>
      <c r="E58" s="81"/>
      <c r="F58" s="82"/>
    </row>
    <row r="59" spans="1:6" ht="15.75" customHeight="1" x14ac:dyDescent="0.15">
      <c r="A59" s="4"/>
      <c r="B59" s="4"/>
      <c r="C59" s="4"/>
      <c r="D59" s="4"/>
      <c r="E59" s="81"/>
      <c r="F59" s="82"/>
    </row>
    <row r="60" spans="1:6" ht="15.75" customHeight="1" x14ac:dyDescent="0.15">
      <c r="A60" s="4"/>
      <c r="B60" s="4"/>
      <c r="C60" s="4"/>
      <c r="D60" s="4"/>
      <c r="E60" s="81"/>
      <c r="F60" s="82"/>
    </row>
    <row r="61" spans="1:6" ht="15.75" customHeight="1" x14ac:dyDescent="0.15">
      <c r="A61" s="4"/>
      <c r="B61" s="4"/>
      <c r="C61" s="4"/>
      <c r="D61" s="4"/>
      <c r="E61" s="81"/>
      <c r="F61" s="82"/>
    </row>
    <row r="62" spans="1:6" ht="15.75" customHeight="1" x14ac:dyDescent="0.15">
      <c r="A62" s="4"/>
      <c r="B62" s="4"/>
      <c r="C62" s="4"/>
      <c r="D62" s="4"/>
      <c r="E62" s="81"/>
      <c r="F62" s="82"/>
    </row>
    <row r="63" spans="1:6" ht="15.75" customHeight="1" x14ac:dyDescent="0.15">
      <c r="A63" s="4"/>
      <c r="B63" s="4"/>
      <c r="C63" s="4"/>
      <c r="D63" s="4"/>
      <c r="E63" s="81"/>
      <c r="F63" s="82"/>
    </row>
    <row r="64" spans="1:6" ht="15.75" customHeight="1" x14ac:dyDescent="0.15">
      <c r="A64" s="4"/>
      <c r="B64" s="4"/>
      <c r="C64" s="4"/>
      <c r="D64" s="4"/>
      <c r="E64" s="81"/>
      <c r="F64" s="82"/>
    </row>
    <row r="65" spans="1:6" ht="15.75" customHeight="1" x14ac:dyDescent="0.15">
      <c r="A65" s="4"/>
      <c r="B65" s="4"/>
      <c r="C65" s="4"/>
      <c r="D65" s="4"/>
      <c r="E65" s="81"/>
      <c r="F65" s="82"/>
    </row>
    <row r="66" spans="1:6" ht="15.75" customHeight="1" x14ac:dyDescent="0.15">
      <c r="A66" s="4"/>
      <c r="B66" s="4"/>
      <c r="C66" s="4"/>
      <c r="D66" s="4"/>
      <c r="E66" s="81"/>
      <c r="F66" s="82"/>
    </row>
    <row r="67" spans="1:6" ht="15.75" customHeight="1" x14ac:dyDescent="0.15">
      <c r="A67" s="4"/>
      <c r="B67" s="4"/>
      <c r="C67" s="4"/>
      <c r="D67" s="4"/>
      <c r="E67" s="81"/>
      <c r="F67" s="82"/>
    </row>
    <row r="68" spans="1:6" ht="15.75" customHeight="1" x14ac:dyDescent="0.15">
      <c r="A68" s="4"/>
      <c r="B68" s="4"/>
      <c r="C68" s="4"/>
      <c r="D68" s="4"/>
      <c r="E68" s="81"/>
      <c r="F68" s="82"/>
    </row>
    <row r="69" spans="1:6" ht="15.75" customHeight="1" x14ac:dyDescent="0.15">
      <c r="A69" s="4"/>
      <c r="B69" s="4"/>
      <c r="C69" s="4"/>
      <c r="D69" s="4"/>
      <c r="E69" s="81"/>
      <c r="F69" s="82"/>
    </row>
    <row r="70" spans="1:6" ht="15.75" customHeight="1" x14ac:dyDescent="0.15">
      <c r="A70" s="4"/>
      <c r="B70" s="4"/>
      <c r="C70" s="4"/>
      <c r="D70" s="4"/>
      <c r="E70" s="81"/>
      <c r="F70" s="82"/>
    </row>
    <row r="71" spans="1:6" ht="15.75" customHeight="1" x14ac:dyDescent="0.15">
      <c r="A71" s="4"/>
      <c r="B71" s="4"/>
      <c r="C71" s="4"/>
      <c r="D71" s="4"/>
      <c r="E71" s="81"/>
      <c r="F71" s="82"/>
    </row>
    <row r="72" spans="1:6" ht="15.75" customHeight="1" x14ac:dyDescent="0.15">
      <c r="A72" s="4"/>
      <c r="B72" s="4"/>
      <c r="C72" s="4"/>
      <c r="D72" s="4"/>
      <c r="E72" s="81"/>
      <c r="F72" s="82"/>
    </row>
    <row r="73" spans="1:6" ht="15.75" customHeight="1" x14ac:dyDescent="0.15">
      <c r="A73" s="4"/>
      <c r="B73" s="4"/>
      <c r="C73" s="4"/>
      <c r="D73" s="4"/>
      <c r="E73" s="81"/>
      <c r="F73" s="82"/>
    </row>
    <row r="74" spans="1:6" ht="15.75" customHeight="1" x14ac:dyDescent="0.15">
      <c r="A74" s="4"/>
      <c r="B74" s="4"/>
      <c r="C74" s="4"/>
      <c r="D74" s="4"/>
      <c r="E74" s="81"/>
      <c r="F74" s="82"/>
    </row>
    <row r="75" spans="1:6" ht="15.75" customHeight="1" x14ac:dyDescent="0.15">
      <c r="A75" s="4"/>
      <c r="B75" s="4"/>
      <c r="C75" s="4"/>
      <c r="D75" s="4"/>
      <c r="E75" s="81"/>
      <c r="F75" s="82"/>
    </row>
    <row r="76" spans="1:6" ht="15.75" customHeight="1" x14ac:dyDescent="0.15">
      <c r="A76" s="4"/>
      <c r="B76" s="4"/>
      <c r="C76" s="4"/>
      <c r="D76" s="4"/>
      <c r="E76" s="81"/>
      <c r="F76" s="82"/>
    </row>
    <row r="77" spans="1:6" ht="15.75" customHeight="1" x14ac:dyDescent="0.15">
      <c r="A77" s="4"/>
      <c r="B77" s="4"/>
      <c r="C77" s="4"/>
      <c r="D77" s="4"/>
      <c r="E77" s="81"/>
      <c r="F77" s="82"/>
    </row>
    <row r="78" spans="1:6" ht="15.75" customHeight="1" x14ac:dyDescent="0.15">
      <c r="A78" s="4"/>
      <c r="B78" s="4"/>
      <c r="C78" s="4"/>
      <c r="D78" s="4"/>
      <c r="E78" s="81"/>
      <c r="F78" s="82"/>
    </row>
    <row r="79" spans="1:6" ht="15.75" customHeight="1" x14ac:dyDescent="0.15">
      <c r="A79" s="4"/>
      <c r="B79" s="4"/>
      <c r="C79" s="4"/>
      <c r="D79" s="4"/>
      <c r="E79" s="81"/>
      <c r="F79" s="82"/>
    </row>
    <row r="80" spans="1:6" ht="15.75" customHeight="1" x14ac:dyDescent="0.15">
      <c r="A80" s="4"/>
      <c r="B80" s="4"/>
      <c r="C80" s="4"/>
      <c r="D80" s="4"/>
      <c r="E80" s="81"/>
      <c r="F80" s="82"/>
    </row>
    <row r="81" spans="1:6" ht="15.75" customHeight="1" x14ac:dyDescent="0.15">
      <c r="A81" s="4"/>
      <c r="B81" s="4"/>
      <c r="C81" s="4"/>
      <c r="D81" s="4"/>
      <c r="E81" s="81"/>
      <c r="F81" s="82"/>
    </row>
    <row r="82" spans="1:6" ht="15.75" customHeight="1" x14ac:dyDescent="0.15">
      <c r="A82" s="4"/>
      <c r="B82" s="4"/>
      <c r="C82" s="4"/>
      <c r="D82" s="4"/>
      <c r="E82" s="81"/>
      <c r="F82" s="82"/>
    </row>
    <row r="83" spans="1:6" ht="15.75" customHeight="1" x14ac:dyDescent="0.15">
      <c r="A83" s="4"/>
      <c r="B83" s="4"/>
      <c r="C83" s="4"/>
      <c r="D83" s="4"/>
      <c r="E83" s="81"/>
      <c r="F83" s="82"/>
    </row>
    <row r="84" spans="1:6" ht="15.75" customHeight="1" x14ac:dyDescent="0.15">
      <c r="A84" s="4"/>
      <c r="B84" s="4"/>
      <c r="C84" s="4"/>
      <c r="D84" s="4"/>
      <c r="E84" s="81"/>
      <c r="F84" s="82"/>
    </row>
    <row r="85" spans="1:6" ht="15.75" customHeight="1" x14ac:dyDescent="0.15">
      <c r="A85" s="4"/>
      <c r="B85" s="4"/>
      <c r="C85" s="4"/>
      <c r="D85" s="4"/>
      <c r="E85" s="81"/>
      <c r="F85" s="82"/>
    </row>
    <row r="86" spans="1:6" ht="15.75" customHeight="1" x14ac:dyDescent="0.15">
      <c r="A86" s="4"/>
      <c r="B86" s="4"/>
      <c r="C86" s="4"/>
      <c r="D86" s="4"/>
      <c r="E86" s="81"/>
      <c r="F86" s="82"/>
    </row>
    <row r="87" spans="1:6" ht="15.75" customHeight="1" x14ac:dyDescent="0.15">
      <c r="A87" s="4"/>
      <c r="B87" s="4"/>
      <c r="C87" s="4"/>
      <c r="D87" s="4"/>
      <c r="E87" s="81"/>
      <c r="F87" s="82"/>
    </row>
    <row r="88" spans="1:6" ht="15.75" customHeight="1" x14ac:dyDescent="0.15">
      <c r="A88" s="4"/>
      <c r="B88" s="4"/>
      <c r="C88" s="4"/>
      <c r="D88" s="4"/>
      <c r="E88" s="81"/>
      <c r="F88" s="82"/>
    </row>
    <row r="89" spans="1:6" ht="15.75" customHeight="1" x14ac:dyDescent="0.15">
      <c r="A89" s="4"/>
      <c r="B89" s="4"/>
      <c r="C89" s="4"/>
      <c r="D89" s="4"/>
      <c r="E89" s="81"/>
      <c r="F89" s="82"/>
    </row>
    <row r="90" spans="1:6" ht="15.75" customHeight="1" x14ac:dyDescent="0.15">
      <c r="A90" s="4"/>
      <c r="B90" s="4"/>
      <c r="C90" s="4"/>
      <c r="D90" s="4"/>
      <c r="E90" s="81"/>
      <c r="F90" s="82"/>
    </row>
    <row r="91" spans="1:6" ht="15.75" customHeight="1" x14ac:dyDescent="0.15">
      <c r="A91" s="4"/>
      <c r="B91" s="4"/>
      <c r="C91" s="4"/>
      <c r="D91" s="4"/>
      <c r="E91" s="81"/>
      <c r="F91" s="82"/>
    </row>
    <row r="92" spans="1:6" ht="15.75" customHeight="1" x14ac:dyDescent="0.15">
      <c r="A92" s="4"/>
      <c r="B92" s="4"/>
      <c r="C92" s="4"/>
      <c r="D92" s="4"/>
      <c r="E92" s="81"/>
      <c r="F92" s="82"/>
    </row>
    <row r="93" spans="1:6" ht="15.75" customHeight="1" x14ac:dyDescent="0.15">
      <c r="A93" s="4"/>
      <c r="B93" s="4"/>
      <c r="C93" s="4"/>
      <c r="D93" s="4"/>
      <c r="E93" s="81"/>
      <c r="F93" s="82"/>
    </row>
    <row r="94" spans="1:6" ht="15.75" customHeight="1" x14ac:dyDescent="0.15">
      <c r="A94" s="4"/>
      <c r="B94" s="4"/>
      <c r="C94" s="4"/>
      <c r="D94" s="4"/>
      <c r="E94" s="81"/>
      <c r="F94" s="82"/>
    </row>
    <row r="95" spans="1:6" ht="15.75" customHeight="1" x14ac:dyDescent="0.15"/>
    <row r="96" spans="1: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Worksheet</vt:lpstr>
      <vt:lpstr>Cloud.gov Tiers</vt:lpstr>
      <vt:lpstr>AWS Service Prices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2025-04-01T18:26:16Z</dcterms:modified>
</cp:coreProperties>
</file>