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rkdboyd/Downloads/"/>
    </mc:Choice>
  </mc:AlternateContent>
  <xr:revisionPtr revIDLastSave="0" documentId="13_ncr:1_{24C5E9B5-D04A-0047-B569-6F61061D3C38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Worksheet" sheetId="1" r:id="rId1"/>
    <sheet name="Cloud.gov Tiers" sheetId="2" r:id="rId2"/>
    <sheet name="AWS Service Prices" sheetId="3" r:id="rId3"/>
    <sheet name="Example worksheet" sheetId="4" r:id="rId4"/>
  </sheets>
  <definedNames>
    <definedName name="AWS_RDS_Instances" localSheetId="3">'Example worksheet'!$E$13:$K$43</definedName>
    <definedName name="AWS_RDS_Instances">Worksheet!$E$13:$K$43</definedName>
    <definedName name="AwsElasticCachePrices">'AWS Service Prices'!$A$44:$E$48</definedName>
    <definedName name="AwsOpensearchPrices">'AWS Service Prices'!$A$33:$E$43</definedName>
    <definedName name="AWSRdsServicePrices">'AWS Service Prices'!$A$3:$E$32</definedName>
    <definedName name="CloudGovNoCostServices">'AWS Service Prices'!$A$49:$B$56</definedName>
    <definedName name="MeteredServices">'AWS Service Prices'!$J:$N</definedName>
    <definedName name="PricePerCredit">'Cloud.gov Tiers'!$B$4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7" roundtripDataChecksum="U+HHI0OsJCXgjtyHUb4O7Xzq171xQehmHnOBWVfogrU="/>
    </ext>
  </extLst>
</workbook>
</file>

<file path=xl/calcChain.xml><?xml version="1.0" encoding="utf-8"?>
<calcChain xmlns="http://schemas.openxmlformats.org/spreadsheetml/2006/main">
  <c r="Q46" i="1" l="1"/>
  <c r="B24" i="1"/>
  <c r="A5" i="1"/>
  <c r="Q42" i="4"/>
  <c r="S42" i="4" s="1"/>
  <c r="B23" i="4" s="1"/>
  <c r="S41" i="4"/>
  <c r="Q41" i="4"/>
  <c r="M33" i="4" a="1"/>
  <c r="S37" i="4" s="1"/>
  <c r="A28" i="4" a="1"/>
  <c r="B34" i="4" s="1"/>
  <c r="M19" i="4" a="1"/>
  <c r="S24" i="4" s="1"/>
  <c r="B19" i="4" a="1"/>
  <c r="B19" i="4" s="1"/>
  <c r="S15" i="4"/>
  <c r="Q15" i="4"/>
  <c r="C15" i="4"/>
  <c r="E5" i="4" s="1"/>
  <c r="E14" i="4" a="1"/>
  <c r="I43" i="4" s="1"/>
  <c r="K43" i="4" s="1"/>
  <c r="S10" i="4"/>
  <c r="Q10" i="4"/>
  <c r="K10" i="4"/>
  <c r="C10" i="4"/>
  <c r="K10" i="1"/>
  <c r="E14" i="1" a="1"/>
  <c r="I31" i="1" s="1"/>
  <c r="K31" i="1" s="1"/>
  <c r="S10" i="1"/>
  <c r="B19" i="1" s="1" a="1"/>
  <c r="Q15" i="1"/>
  <c r="S15" i="1" s="1"/>
  <c r="Q10" i="1"/>
  <c r="M33" i="1" a="1"/>
  <c r="M19" i="1" a="1"/>
  <c r="Q42" i="1"/>
  <c r="S42" i="1" s="1"/>
  <c r="Q41" i="1"/>
  <c r="S41" i="1" s="1"/>
  <c r="O4" i="3"/>
  <c r="O5" i="3"/>
  <c r="O6" i="3"/>
  <c r="O7" i="3"/>
  <c r="O3" i="3"/>
  <c r="G28" i="2"/>
  <c r="H28" i="2" s="1"/>
  <c r="D28" i="2"/>
  <c r="H27" i="2"/>
  <c r="G27" i="2"/>
  <c r="D27" i="2"/>
  <c r="G26" i="2"/>
  <c r="H26" i="2" s="1"/>
  <c r="D26" i="2"/>
  <c r="H25" i="2"/>
  <c r="G25" i="2"/>
  <c r="D25" i="2"/>
  <c r="G24" i="2"/>
  <c r="H24" i="2" s="1"/>
  <c r="D24" i="2"/>
  <c r="G23" i="2"/>
  <c r="H23" i="2" s="1"/>
  <c r="D23" i="2"/>
  <c r="G22" i="2"/>
  <c r="H22" i="2" s="1"/>
  <c r="D22" i="2"/>
  <c r="G21" i="2"/>
  <c r="H21" i="2" s="1"/>
  <c r="D21" i="2"/>
  <c r="G20" i="2"/>
  <c r="H20" i="2" s="1"/>
  <c r="D20" i="2"/>
  <c r="G19" i="2"/>
  <c r="H19" i="2" s="1"/>
  <c r="D19" i="2"/>
  <c r="G18" i="2"/>
  <c r="H18" i="2" s="1"/>
  <c r="D18" i="2"/>
  <c r="G17" i="2"/>
  <c r="H17" i="2" s="1"/>
  <c r="D17" i="2"/>
  <c r="H16" i="2"/>
  <c r="G16" i="2"/>
  <c r="D16" i="2"/>
  <c r="H15" i="2"/>
  <c r="G15" i="2"/>
  <c r="D15" i="2"/>
  <c r="G14" i="2"/>
  <c r="H14" i="2" s="1"/>
  <c r="D14" i="2"/>
  <c r="G13" i="2"/>
  <c r="H13" i="2" s="1"/>
  <c r="D13" i="2"/>
  <c r="H12" i="2"/>
  <c r="G12" i="2"/>
  <c r="D12" i="2"/>
  <c r="D11" i="2"/>
  <c r="G11" i="2" s="1"/>
  <c r="H11" i="2" s="1"/>
  <c r="A29" i="1" a="1"/>
  <c r="A34" i="1" s="1"/>
  <c r="C15" i="1"/>
  <c r="E5" i="1" s="1"/>
  <c r="C10" i="1"/>
  <c r="B30" i="4" l="1"/>
  <c r="B35" i="4"/>
  <c r="M33" i="4"/>
  <c r="G14" i="4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M19" i="4"/>
  <c r="S26" i="4"/>
  <c r="A31" i="4"/>
  <c r="S33" i="4"/>
  <c r="E14" i="4"/>
  <c r="E16" i="4"/>
  <c r="E18" i="4"/>
  <c r="E20" i="4"/>
  <c r="E22" i="4"/>
  <c r="E24" i="4"/>
  <c r="E26" i="4"/>
  <c r="E28" i="4"/>
  <c r="E30" i="4"/>
  <c r="E32" i="4"/>
  <c r="E34" i="4"/>
  <c r="E36" i="4"/>
  <c r="E38" i="4"/>
  <c r="E40" i="4"/>
  <c r="E42" i="4"/>
  <c r="S21" i="4"/>
  <c r="S25" i="4"/>
  <c r="A30" i="4"/>
  <c r="A35" i="4"/>
  <c r="F14" i="4"/>
  <c r="F16" i="4"/>
  <c r="F18" i="4"/>
  <c r="F20" i="4"/>
  <c r="F22" i="4"/>
  <c r="F24" i="4"/>
  <c r="F26" i="4"/>
  <c r="F28" i="4"/>
  <c r="F30" i="4"/>
  <c r="F32" i="4"/>
  <c r="F34" i="4"/>
  <c r="F36" i="4"/>
  <c r="F38" i="4"/>
  <c r="F40" i="4"/>
  <c r="F42" i="4"/>
  <c r="H14" i="4"/>
  <c r="H16" i="4"/>
  <c r="H18" i="4"/>
  <c r="H20" i="4"/>
  <c r="H22" i="4"/>
  <c r="H24" i="4"/>
  <c r="H26" i="4"/>
  <c r="H28" i="4"/>
  <c r="H30" i="4"/>
  <c r="H32" i="4"/>
  <c r="H34" i="4"/>
  <c r="H36" i="4"/>
  <c r="H38" i="4"/>
  <c r="H40" i="4"/>
  <c r="H42" i="4"/>
  <c r="S19" i="4"/>
  <c r="S22" i="4"/>
  <c r="B31" i="4"/>
  <c r="S28" i="4"/>
  <c r="S27" i="4"/>
  <c r="A32" i="4"/>
  <c r="S34" i="4"/>
  <c r="H15" i="4"/>
  <c r="H17" i="4"/>
  <c r="H19" i="4"/>
  <c r="H21" i="4"/>
  <c r="H23" i="4"/>
  <c r="H25" i="4"/>
  <c r="H27" i="4"/>
  <c r="H29" i="4"/>
  <c r="H31" i="4"/>
  <c r="H33" i="4"/>
  <c r="H35" i="4"/>
  <c r="H37" i="4"/>
  <c r="H39" i="4"/>
  <c r="H41" i="4"/>
  <c r="H43" i="4"/>
  <c r="I14" i="4"/>
  <c r="K14" i="4" s="1"/>
  <c r="I16" i="4"/>
  <c r="K16" i="4" s="1"/>
  <c r="I18" i="4"/>
  <c r="K18" i="4" s="1"/>
  <c r="I20" i="4"/>
  <c r="K20" i="4" s="1"/>
  <c r="I22" i="4"/>
  <c r="K22" i="4" s="1"/>
  <c r="I24" i="4"/>
  <c r="K24" i="4" s="1"/>
  <c r="I26" i="4"/>
  <c r="K26" i="4" s="1"/>
  <c r="I28" i="4"/>
  <c r="K28" i="4" s="1"/>
  <c r="I30" i="4"/>
  <c r="K30" i="4" s="1"/>
  <c r="I32" i="4"/>
  <c r="K32" i="4" s="1"/>
  <c r="I34" i="4"/>
  <c r="K34" i="4" s="1"/>
  <c r="I36" i="4"/>
  <c r="K36" i="4" s="1"/>
  <c r="I38" i="4"/>
  <c r="K38" i="4" s="1"/>
  <c r="I40" i="4"/>
  <c r="K40" i="4" s="1"/>
  <c r="E15" i="4"/>
  <c r="E17" i="4"/>
  <c r="E19" i="4"/>
  <c r="E21" i="4"/>
  <c r="E23" i="4"/>
  <c r="E25" i="4"/>
  <c r="E27" i="4"/>
  <c r="E29" i="4"/>
  <c r="E31" i="4"/>
  <c r="E33" i="4"/>
  <c r="E35" i="4"/>
  <c r="E37" i="4"/>
  <c r="E39" i="4"/>
  <c r="E41" i="4"/>
  <c r="E43" i="4"/>
  <c r="I42" i="4"/>
  <c r="K42" i="4" s="1"/>
  <c r="B32" i="4"/>
  <c r="S29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S23" i="4"/>
  <c r="A28" i="4"/>
  <c r="A33" i="4"/>
  <c r="S35" i="4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S20" i="4"/>
  <c r="B28" i="4"/>
  <c r="B33" i="4"/>
  <c r="A29" i="4"/>
  <c r="A34" i="4"/>
  <c r="S36" i="4"/>
  <c r="I15" i="4"/>
  <c r="K15" i="4" s="1"/>
  <c r="I17" i="4"/>
  <c r="K17" i="4" s="1"/>
  <c r="I19" i="4"/>
  <c r="K19" i="4" s="1"/>
  <c r="I21" i="4"/>
  <c r="K21" i="4" s="1"/>
  <c r="I23" i="4"/>
  <c r="K23" i="4" s="1"/>
  <c r="I25" i="4"/>
  <c r="K25" i="4" s="1"/>
  <c r="I27" i="4"/>
  <c r="K27" i="4" s="1"/>
  <c r="I29" i="4"/>
  <c r="K29" i="4" s="1"/>
  <c r="I31" i="4"/>
  <c r="K31" i="4" s="1"/>
  <c r="I33" i="4"/>
  <c r="K33" i="4" s="1"/>
  <c r="I35" i="4"/>
  <c r="K35" i="4" s="1"/>
  <c r="I37" i="4"/>
  <c r="K37" i="4" s="1"/>
  <c r="I39" i="4"/>
  <c r="K39" i="4" s="1"/>
  <c r="I41" i="4"/>
  <c r="K41" i="4" s="1"/>
  <c r="B29" i="4"/>
  <c r="B23" i="1"/>
  <c r="M19" i="1"/>
  <c r="S20" i="1"/>
  <c r="S25" i="1"/>
  <c r="S26" i="1"/>
  <c r="M33" i="1"/>
  <c r="S34" i="1"/>
  <c r="S27" i="1"/>
  <c r="S36" i="1"/>
  <c r="S24" i="1"/>
  <c r="S23" i="1"/>
  <c r="S22" i="1"/>
  <c r="S19" i="1"/>
  <c r="S21" i="1"/>
  <c r="S29" i="1"/>
  <c r="S33" i="1"/>
  <c r="S28" i="1"/>
  <c r="S37" i="1"/>
  <c r="S35" i="1"/>
  <c r="I39" i="1"/>
  <c r="K39" i="1" s="1"/>
  <c r="I37" i="1"/>
  <c r="K37" i="1" s="1"/>
  <c r="I35" i="1"/>
  <c r="K35" i="1" s="1"/>
  <c r="I33" i="1"/>
  <c r="K33" i="1" s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E40" i="1"/>
  <c r="E42" i="1"/>
  <c r="I43" i="1"/>
  <c r="K43" i="1" s="1"/>
  <c r="G16" i="1"/>
  <c r="G20" i="1"/>
  <c r="G24" i="1"/>
  <c r="G30" i="1"/>
  <c r="G34" i="1"/>
  <c r="G38" i="1"/>
  <c r="G40" i="1"/>
  <c r="H14" i="1"/>
  <c r="H20" i="1"/>
  <c r="H24" i="1"/>
  <c r="H28" i="1"/>
  <c r="H30" i="1"/>
  <c r="H34" i="1"/>
  <c r="H38" i="1"/>
  <c r="H42" i="1"/>
  <c r="I16" i="1"/>
  <c r="K16" i="1" s="1"/>
  <c r="I20" i="1"/>
  <c r="K20" i="1" s="1"/>
  <c r="I24" i="1"/>
  <c r="K24" i="1" s="1"/>
  <c r="I28" i="1"/>
  <c r="K28" i="1" s="1"/>
  <c r="I32" i="1"/>
  <c r="K32" i="1" s="1"/>
  <c r="I36" i="1"/>
  <c r="K36" i="1" s="1"/>
  <c r="I40" i="1"/>
  <c r="K40" i="1" s="1"/>
  <c r="E17" i="1"/>
  <c r="E21" i="1"/>
  <c r="E25" i="1"/>
  <c r="E29" i="1"/>
  <c r="E33" i="1"/>
  <c r="E37" i="1"/>
  <c r="E39" i="1"/>
  <c r="E43" i="1"/>
  <c r="F17" i="1"/>
  <c r="F23" i="1"/>
  <c r="F27" i="1"/>
  <c r="F31" i="1"/>
  <c r="F37" i="1"/>
  <c r="F41" i="1"/>
  <c r="G17" i="1"/>
  <c r="G23" i="1"/>
  <c r="G29" i="1"/>
  <c r="G33" i="1"/>
  <c r="G37" i="1"/>
  <c r="G41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G14" i="1"/>
  <c r="G18" i="1"/>
  <c r="G22" i="1"/>
  <c r="G26" i="1"/>
  <c r="G28" i="1"/>
  <c r="G32" i="1"/>
  <c r="G36" i="1"/>
  <c r="G42" i="1"/>
  <c r="H16" i="1"/>
  <c r="H18" i="1"/>
  <c r="H22" i="1"/>
  <c r="H26" i="1"/>
  <c r="H32" i="1"/>
  <c r="H36" i="1"/>
  <c r="H40" i="1"/>
  <c r="I14" i="1"/>
  <c r="K14" i="1" s="1"/>
  <c r="I18" i="1"/>
  <c r="K18" i="1" s="1"/>
  <c r="I22" i="1"/>
  <c r="K22" i="1" s="1"/>
  <c r="I26" i="1"/>
  <c r="K26" i="1" s="1"/>
  <c r="I30" i="1"/>
  <c r="K30" i="1" s="1"/>
  <c r="I34" i="1"/>
  <c r="K34" i="1" s="1"/>
  <c r="I38" i="1"/>
  <c r="K38" i="1" s="1"/>
  <c r="I42" i="1"/>
  <c r="K42" i="1" s="1"/>
  <c r="E15" i="1"/>
  <c r="E19" i="1"/>
  <c r="E23" i="1"/>
  <c r="E27" i="1"/>
  <c r="E31" i="1"/>
  <c r="E35" i="1"/>
  <c r="E41" i="1"/>
  <c r="F15" i="1"/>
  <c r="F19" i="1"/>
  <c r="F21" i="1"/>
  <c r="F25" i="1"/>
  <c r="F29" i="1"/>
  <c r="F33" i="1"/>
  <c r="F35" i="1"/>
  <c r="F39" i="1"/>
  <c r="F43" i="1"/>
  <c r="G15" i="1"/>
  <c r="G19" i="1"/>
  <c r="G21" i="1"/>
  <c r="G25" i="1"/>
  <c r="G27" i="1"/>
  <c r="G31" i="1"/>
  <c r="G35" i="1"/>
  <c r="G39" i="1"/>
  <c r="G4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I15" i="1"/>
  <c r="K15" i="1" s="1"/>
  <c r="I17" i="1"/>
  <c r="K17" i="1" s="1"/>
  <c r="I19" i="1"/>
  <c r="K19" i="1" s="1"/>
  <c r="I21" i="1"/>
  <c r="K21" i="1" s="1"/>
  <c r="I23" i="1"/>
  <c r="K23" i="1" s="1"/>
  <c r="I25" i="1"/>
  <c r="K25" i="1" s="1"/>
  <c r="I27" i="1"/>
  <c r="K27" i="1" s="1"/>
  <c r="I41" i="1"/>
  <c r="K41" i="1" s="1"/>
  <c r="I29" i="1"/>
  <c r="K29" i="1" s="1"/>
  <c r="B19" i="1"/>
  <c r="B31" i="1"/>
  <c r="B30" i="1"/>
  <c r="A31" i="1"/>
  <c r="A32" i="1"/>
  <c r="B34" i="1"/>
  <c r="A35" i="1"/>
  <c r="B29" i="1"/>
  <c r="B35" i="1"/>
  <c r="A30" i="1"/>
  <c r="A36" i="1"/>
  <c r="B32" i="1"/>
  <c r="A33" i="1"/>
  <c r="B36" i="1"/>
  <c r="A29" i="1"/>
  <c r="B33" i="1"/>
  <c r="B22" i="4" l="1"/>
  <c r="B20" i="4" a="1"/>
  <c r="B20" i="4" s="1"/>
  <c r="B21" i="4"/>
  <c r="B22" i="1"/>
  <c r="B21" i="1"/>
  <c r="B20" i="1" a="1"/>
  <c r="B20" i="1" s="1"/>
  <c r="A5" i="4" l="1"/>
  <c r="B5" i="4" s="1" a="1"/>
  <c r="B5" i="4" s="1"/>
  <c r="B5" i="1" a="1"/>
  <c r="B5" i="1" s="1"/>
  <c r="C5" i="4" l="1"/>
  <c r="D5" i="4"/>
  <c r="F5" i="4" s="1"/>
  <c r="C5" i="1"/>
  <c r="D5" i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<sst xmlns="http://schemas.openxmlformats.org/spreadsheetml/2006/main" count="481" uniqueCount="199">
  <si>
    <t>Estimated Price</t>
  </si>
  <si>
    <t>Credits</t>
  </si>
  <si>
    <t>Tier Name</t>
  </si>
  <si>
    <t>Support Total</t>
  </si>
  <si>
    <t>Total</t>
  </si>
  <si>
    <t>Compute Resources</t>
  </si>
  <si>
    <t>AWS RDS Storage</t>
  </si>
  <si>
    <t>AWS S3</t>
  </si>
  <si>
    <t>Resource</t>
  </si>
  <si>
    <t>Quantity</t>
  </si>
  <si>
    <t>Offering</t>
  </si>
  <si>
    <t>Description</t>
  </si>
  <si>
    <t>Units</t>
  </si>
  <si>
    <t>Dimension</t>
  </si>
  <si>
    <t>Quantity (GB)</t>
  </si>
  <si>
    <t>Application Memory</t>
  </si>
  <si>
    <t>AWS RDS</t>
  </si>
  <si>
    <t>GB-month</t>
  </si>
  <si>
    <t>rds-storage</t>
  </si>
  <si>
    <t>Expected S3 storage, in GB</t>
  </si>
  <si>
    <t>s3-storage</t>
  </si>
  <si>
    <t>AWS RDS Instances</t>
  </si>
  <si>
    <t>Support Hours</t>
  </si>
  <si>
    <t>Plan</t>
  </si>
  <si>
    <t>Search Key</t>
  </si>
  <si>
    <t>Instance Type</t>
  </si>
  <si>
    <t>Nodes</t>
  </si>
  <si>
    <t>OpenSearch Storage</t>
  </si>
  <si>
    <t>Rate/Hour</t>
  </si>
  <si>
    <t>Hours</t>
  </si>
  <si>
    <t>micro-psql</t>
  </si>
  <si>
    <t>db.t3.micro</t>
  </si>
  <si>
    <t>micro-psql-redundant</t>
  </si>
  <si>
    <t>AWS OpenSearch</t>
  </si>
  <si>
    <t>Expected OpenSearch/ElasicSearch storage</t>
  </si>
  <si>
    <t>es-storage</t>
  </si>
  <si>
    <t>small-psql</t>
  </si>
  <si>
    <t>db.t3.small</t>
  </si>
  <si>
    <t>Service Summary</t>
  </si>
  <si>
    <t>small-psql-redundant</t>
  </si>
  <si>
    <t>OpenSearch Instances</t>
  </si>
  <si>
    <t>Service</t>
  </si>
  <si>
    <t>medium-psql</t>
  </si>
  <si>
    <t>db.t3.medium</t>
  </si>
  <si>
    <t>InstanceType</t>
  </si>
  <si>
    <t>S3</t>
  </si>
  <si>
    <t>medium-psql-redundant</t>
  </si>
  <si>
    <t>es-dev</t>
  </si>
  <si>
    <t>t3.small.search</t>
  </si>
  <si>
    <t>RDS</t>
  </si>
  <si>
    <t>medium-gp-psql</t>
  </si>
  <si>
    <t>db.m5.large</t>
  </si>
  <si>
    <t>es-medium</t>
  </si>
  <si>
    <t>c5.large.search</t>
  </si>
  <si>
    <t>OpenSearch</t>
  </si>
  <si>
    <t>medium-gp-psql-redundant</t>
  </si>
  <si>
    <t>es-medium-ha</t>
  </si>
  <si>
    <t>ElasticCache</t>
  </si>
  <si>
    <t>large-gp-psql</t>
  </si>
  <si>
    <t>es-large</t>
  </si>
  <si>
    <t>c5.xlarge.search</t>
  </si>
  <si>
    <t>SES (email service)</t>
  </si>
  <si>
    <t>large-gp-psql-redundant</t>
  </si>
  <si>
    <t>es-large-ha</t>
  </si>
  <si>
    <t>xlarge-gp-psql</t>
  </si>
  <si>
    <t>db.m5.xlarge</t>
  </si>
  <si>
    <t>es-xlarge</t>
  </si>
  <si>
    <t>c5.2xlarge.search</t>
  </si>
  <si>
    <t>xlarge-gp-psql-redundant</t>
  </si>
  <si>
    <t>es-xlarge-ha</t>
  </si>
  <si>
    <t>2xlarge-gp-psql</t>
  </si>
  <si>
    <t>db.m5.2xlarge</t>
  </si>
  <si>
    <t>es-2xlarge-gp</t>
  </si>
  <si>
    <t>m5.2xlarge.search</t>
  </si>
  <si>
    <t>Included Services</t>
  </si>
  <si>
    <t>2xlarge-gp-psql-redundant</t>
  </si>
  <si>
    <t>es-2xlarge-gp-ha</t>
  </si>
  <si>
    <t>cdn-route</t>
  </si>
  <si>
    <t>xlarge-gp-psql-m6</t>
  </si>
  <si>
    <t>db.m6g.xlarge</t>
  </si>
  <si>
    <t>es-4xlarge-gp</t>
  </si>
  <si>
    <t>m5.4xlarge.search</t>
  </si>
  <si>
    <t>External Domain</t>
  </si>
  <si>
    <t>custom-domain</t>
  </si>
  <si>
    <t>xlarge-gp-psql-m6-redundant</t>
  </si>
  <si>
    <t>es-4xlarge-gp-ha</t>
  </si>
  <si>
    <t>domain</t>
  </si>
  <si>
    <t>micro-mysql</t>
  </si>
  <si>
    <t>domain-with-cdn</t>
  </si>
  <si>
    <t>micro-mysql-redundant</t>
  </si>
  <si>
    <t>ElastiCache Instances</t>
  </si>
  <si>
    <t>UAA Service Account</t>
  </si>
  <si>
    <t>oauth-client</t>
  </si>
  <si>
    <t>small-mysql</t>
  </si>
  <si>
    <t>space-auditor</t>
  </si>
  <si>
    <t>small-mysql-redundant</t>
  </si>
  <si>
    <t>redis-dev</t>
  </si>
  <si>
    <t>cache.t3.micro</t>
  </si>
  <si>
    <t>space-deployer</t>
  </si>
  <si>
    <t>medium-mysql</t>
  </si>
  <si>
    <t>AWS ElastiCache</t>
  </si>
  <si>
    <t>redis-3node</t>
  </si>
  <si>
    <t>Autoscaler</t>
  </si>
  <si>
    <t>autoscaler-free-plan</t>
  </si>
  <si>
    <t>medium-mysql-redundant</t>
  </si>
  <si>
    <t>redis-5node</t>
  </si>
  <si>
    <t>These do not incur any additional costs</t>
  </si>
  <si>
    <t>medium-gp-mysql</t>
  </si>
  <si>
    <t>redis-3node-large</t>
  </si>
  <si>
    <t>cache.t3.small</t>
  </si>
  <si>
    <t>medium-gp-mysql-redundant</t>
  </si>
  <si>
    <t>redis-5node-large</t>
  </si>
  <si>
    <t>large-gp-mysql</t>
  </si>
  <si>
    <t>large-gp-mysql-redundant</t>
  </si>
  <si>
    <t>Simple Email Service</t>
  </si>
  <si>
    <t>xlarge-gp-mysql</t>
  </si>
  <si>
    <t>xlarge-gp-mysql-redundant</t>
  </si>
  <si>
    <t>AWS SES</t>
  </si>
  <si>
    <t>Expected number of monthly emails</t>
  </si>
  <si>
    <t>Number of emails sent</t>
  </si>
  <si>
    <t>emails-sent</t>
  </si>
  <si>
    <t>medium-oracle-se2</t>
  </si>
  <si>
    <t xml:space="preserve">Expected GB of monthly email attachment data </t>
  </si>
  <si>
    <t>GB of attachment data</t>
  </si>
  <si>
    <t>attachment-data</t>
  </si>
  <si>
    <t>large-gp-sqlserver-se</t>
  </si>
  <si>
    <t>Model Variables</t>
  </si>
  <si>
    <t>Variable</t>
  </si>
  <si>
    <t>Value</t>
  </si>
  <si>
    <t>Credits per GB memory</t>
  </si>
  <si>
    <t>Price per Credit</t>
  </si>
  <si>
    <t>Custom Pricing Multiple</t>
  </si>
  <si>
    <t>Yearly IAA signing fee</t>
  </si>
  <si>
    <t>Pricing Tiers</t>
  </si>
  <si>
    <t>Tier</t>
  </si>
  <si>
    <t>Discount</t>
  </si>
  <si>
    <t>Monthly Price (no discount)</t>
  </si>
  <si>
    <t>Tier ID (for VLOOKUP)</t>
  </si>
  <si>
    <t>Tier (for VLOOKUP)</t>
  </si>
  <si>
    <t>Annual Price (no discount, no IAA fee)</t>
  </si>
  <si>
    <t>Annual Price (w/discount)</t>
  </si>
  <si>
    <t>Femto</t>
  </si>
  <si>
    <t>Pico</t>
  </si>
  <si>
    <t>Nano</t>
  </si>
  <si>
    <t>Micro</t>
  </si>
  <si>
    <t>Milli</t>
  </si>
  <si>
    <t>Centi</t>
  </si>
  <si>
    <t>Deci</t>
  </si>
  <si>
    <t>Deka</t>
  </si>
  <si>
    <t>Hecto</t>
  </si>
  <si>
    <t>Kilo</t>
  </si>
  <si>
    <t>Mega</t>
  </si>
  <si>
    <t>Giga</t>
  </si>
  <si>
    <t>Tera</t>
  </si>
  <si>
    <t>Peta</t>
  </si>
  <si>
    <t>Exa</t>
  </si>
  <si>
    <t>Zetta</t>
  </si>
  <si>
    <t>Yotta</t>
  </si>
  <si>
    <t>Add 1000 credits</t>
  </si>
  <si>
    <t>Custom</t>
  </si>
  <si>
    <t>Services Billed Monthly</t>
  </si>
  <si>
    <t>Metered Services</t>
  </si>
  <si>
    <t>InstanceClass</t>
  </si>
  <si>
    <t>Items/Unit</t>
  </si>
  <si>
    <t>Unit</t>
  </si>
  <si>
    <t>Units/credit/month</t>
  </si>
  <si>
    <t>AWS RDSrds-storage</t>
  </si>
  <si>
    <t>AWS OpenSearches-storage</t>
  </si>
  <si>
    <t>AWS S3s3-storage</t>
  </si>
  <si>
    <t>AWS SESemails-sent</t>
  </si>
  <si>
    <t>Email</t>
  </si>
  <si>
    <t>AWS SESattachment-data</t>
  </si>
  <si>
    <t>GB</t>
  </si>
  <si>
    <t>Credits Remaining
in Tier</t>
  </si>
  <si>
    <t>No Cost</t>
  </si>
  <si>
    <t xml:space="preserve"> YearlyTotal Cost</t>
  </si>
  <si>
    <t>ItemsPerCredPerMo</t>
  </si>
  <si>
    <t>Units/Credit</t>
  </si>
  <si>
    <t>GB per credit</t>
  </si>
  <si>
    <t>Credits/Instance</t>
  </si>
  <si>
    <t>Expected RDS Storage</t>
  </si>
  <si>
    <t>Yearly
Platform Total</t>
  </si>
  <si>
    <t>Instructions:
- The initial numbers are for a basic production system with 2 dev databases, 1 production database, email service, and S3 storage
- Update numbers in yellow, with red borders, to generate your own estimate.
- For services that AWS bills hourly, we bill based on the total instances operating at the end of the month. 
- To create an estimate, average your usage over the month.</t>
  </si>
  <si>
    <t>Version</t>
  </si>
  <si>
    <t>Date</t>
  </si>
  <si>
    <t>Notes</t>
  </si>
  <si>
    <t>Add versions</t>
  </si>
  <si>
    <t>Fix metered calcs</t>
  </si>
  <si>
    <t>Add unit/credit info</t>
  </si>
  <si>
    <t>Initial version</t>
  </si>
  <si>
    <t>Fix col E of Tiers</t>
  </si>
  <si>
    <t>Conditional formating</t>
  </si>
  <si>
    <t>Instructions:
- Update numbers in yellow, with red borders, to generate your own estimate.
- For services that AWS bills hourly, we bill based on the total instances operating at the end of the month. 
- To create an estimate, average your usage over the month.
- See "Example Worksheet" for minimal-cost example system</t>
  </si>
  <si>
    <t>Zeros on main sheet</t>
  </si>
  <si>
    <t>Mv example to end</t>
  </si>
  <si>
    <t>External domains</t>
  </si>
  <si>
    <t>External domain</t>
  </si>
  <si>
    <t>domain-with-cdn-dedicated-waf</t>
  </si>
  <si>
    <t>Add dedicated 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</si>
</sst>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&quot;$&quot;#,##0"/>
    <numFmt numFmtId="165" formatCode="&quot;$&quot;#,##0.00"/>
    <numFmt numFmtId="166" formatCode="&quot;$&quot;#,##0.0000"/>
    <numFmt numFmtId="167" formatCode="0\ &quot;Gb&quot;"/>
    <numFmt numFmtId="168" formatCode="0\ &quot;Hrs&quot;"/>
    <numFmt numFmtId="169" formatCode="_(* #,##0.0_);_(* \(#,##0.0\);_(* &quot;-&quot;??_);_(@_)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b/>
      <sz val="88"/>
      <color rgb="FFFF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D9EAD3"/>
        <bgColor rgb="FFD9EAD3"/>
      </patternFill>
    </fill>
    <fill>
      <patternFill patternType="solid">
        <fgColor rgb="FF626E7A"/>
        <bgColor rgb="FF626E7A"/>
      </patternFill>
    </fill>
    <fill>
      <patternFill patternType="solid">
        <fgColor rgb="FFFFF2CC"/>
        <bgColor rgb="FFFFF2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1" tint="0.499984740745262"/>
        <bgColor indexed="64"/>
      </patternFill>
    </fill>
  </fills>
  <borders count="53"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284E3F"/>
      </bottom>
      <diagonal/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E59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FFF2CC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F2CC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E599"/>
      </top>
      <bottom style="thin">
        <color rgb="FFFFE59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  <border>
      <left/>
      <right/>
      <top/>
      <bottom style="thin">
        <color rgb="FF284E3F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FFFF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rgb="FFFFE599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 style="thin">
        <color rgb="FF284E3F"/>
      </right>
      <top style="thin">
        <color rgb="FFFFFFFF"/>
      </top>
      <bottom style="thin">
        <color indexed="64"/>
      </bottom>
      <diagonal/>
    </border>
    <border>
      <left style="thin">
        <color rgb="FF356854"/>
      </left>
      <right/>
      <top style="thin">
        <color rgb="FF284E3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/>
      <diagonal/>
    </border>
    <border>
      <left style="thin">
        <color rgb="FFF6F8F9"/>
      </left>
      <right style="thin">
        <color rgb="FF4A535C"/>
      </right>
      <top style="thin">
        <color rgb="FFF6F8F9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27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3" fontId="4" fillId="0" borderId="0" xfId="0" applyNumberFormat="1" applyFont="1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5" borderId="16" xfId="0" applyNumberFormat="1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5" fillId="4" borderId="8" xfId="0" applyFont="1" applyFill="1" applyBorder="1" applyAlignment="1">
      <alignment horizontal="left" vertical="center"/>
    </xf>
    <xf numFmtId="49" fontId="4" fillId="0" borderId="0" xfId="0" applyNumberFormat="1" applyFont="1"/>
    <xf numFmtId="0" fontId="4" fillId="0" borderId="22" xfId="0" applyFont="1" applyBorder="1" applyAlignment="1">
      <alignment horizontal="right" vertical="center"/>
    </xf>
    <xf numFmtId="0" fontId="4" fillId="0" borderId="23" xfId="0" applyFont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5" xfId="0" applyFont="1" applyBorder="1" applyAlignment="1">
      <alignment horizontal="right" vertical="center"/>
    </xf>
    <xf numFmtId="0" fontId="4" fillId="0" borderId="26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5" borderId="27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3" fontId="4" fillId="5" borderId="28" xfId="0" applyNumberFormat="1" applyFont="1" applyFill="1" applyBorder="1" applyAlignment="1">
      <alignment vertical="center"/>
    </xf>
    <xf numFmtId="164" fontId="6" fillId="3" borderId="6" xfId="0" applyNumberFormat="1" applyFont="1" applyFill="1" applyBorder="1" applyAlignment="1">
      <alignment vertical="center"/>
    </xf>
    <xf numFmtId="0" fontId="4" fillId="5" borderId="29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0" borderId="15" xfId="0" applyNumberFormat="1" applyFont="1" applyBorder="1" applyAlignment="1">
      <alignment vertical="center"/>
    </xf>
    <xf numFmtId="0" fontId="4" fillId="5" borderId="16" xfId="0" applyFont="1" applyFill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0" borderId="31" xfId="0" applyNumberFormat="1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5" borderId="27" xfId="0" applyNumberFormat="1" applyFont="1" applyFill="1" applyBorder="1" applyAlignment="1">
      <alignment vertical="center"/>
    </xf>
    <xf numFmtId="0" fontId="6" fillId="0" borderId="0" xfId="0" applyFont="1"/>
    <xf numFmtId="0" fontId="6" fillId="6" borderId="32" xfId="0" applyFont="1" applyFill="1" applyBorder="1"/>
    <xf numFmtId="0" fontId="4" fillId="7" borderId="32" xfId="0" applyFont="1" applyFill="1" applyBorder="1"/>
    <xf numFmtId="0" fontId="4" fillId="3" borderId="32" xfId="0" applyFont="1" applyFill="1" applyBorder="1" applyAlignment="1">
      <alignment horizontal="right"/>
    </xf>
    <xf numFmtId="0" fontId="4" fillId="8" borderId="32" xfId="0" applyFont="1" applyFill="1" applyBorder="1"/>
    <xf numFmtId="165" fontId="4" fillId="3" borderId="32" xfId="0" applyNumberFormat="1" applyFont="1" applyFill="1" applyBorder="1" applyAlignment="1">
      <alignment horizontal="right"/>
    </xf>
    <xf numFmtId="164" fontId="4" fillId="3" borderId="32" xfId="0" applyNumberFormat="1" applyFont="1" applyFill="1" applyBorder="1" applyAlignment="1">
      <alignment horizontal="right"/>
    </xf>
    <xf numFmtId="0" fontId="8" fillId="9" borderId="32" xfId="0" applyFont="1" applyFill="1" applyBorder="1"/>
    <xf numFmtId="0" fontId="4" fillId="9" borderId="32" xfId="0" applyFont="1" applyFill="1" applyBorder="1"/>
    <xf numFmtId="0" fontId="6" fillId="6" borderId="32" xfId="0" applyFont="1" applyFill="1" applyBorder="1" applyAlignment="1">
      <alignment wrapText="1"/>
    </xf>
    <xf numFmtId="10" fontId="4" fillId="3" borderId="32" xfId="0" applyNumberFormat="1" applyFont="1" applyFill="1" applyBorder="1" applyAlignment="1">
      <alignment horizontal="right"/>
    </xf>
    <xf numFmtId="164" fontId="4" fillId="7" borderId="32" xfId="0" applyNumberFormat="1" applyFont="1" applyFill="1" applyBorder="1" applyAlignment="1">
      <alignment horizontal="right"/>
    </xf>
    <xf numFmtId="0" fontId="4" fillId="7" borderId="32" xfId="0" applyFont="1" applyFill="1" applyBorder="1" applyAlignment="1">
      <alignment horizontal="right"/>
    </xf>
    <xf numFmtId="164" fontId="4" fillId="8" borderId="32" xfId="0" applyNumberFormat="1" applyFont="1" applyFill="1" applyBorder="1" applyAlignment="1">
      <alignment horizontal="right"/>
    </xf>
    <xf numFmtId="0" fontId="4" fillId="8" borderId="32" xfId="0" applyFont="1" applyFill="1" applyBorder="1" applyAlignment="1">
      <alignment horizontal="right"/>
    </xf>
    <xf numFmtId="0" fontId="8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66" fontId="4" fillId="0" borderId="0" xfId="0" applyNumberFormat="1" applyFont="1"/>
    <xf numFmtId="3" fontId="4" fillId="0" borderId="33" xfId="0" applyNumberFormat="1" applyFont="1" applyBorder="1" applyAlignment="1">
      <alignment vertical="center"/>
    </xf>
    <xf numFmtId="164" fontId="4" fillId="0" borderId="33" xfId="0" applyNumberFormat="1" applyFont="1" applyBorder="1" applyAlignment="1">
      <alignment vertic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5" xfId="0" applyFont="1" applyBorder="1" applyAlignment="1">
      <alignment horizontal="center" wrapText="1"/>
    </xf>
    <xf numFmtId="3" fontId="6" fillId="0" borderId="33" xfId="0" applyNumberFormat="1" applyFont="1" applyBorder="1" applyAlignment="1">
      <alignment vertical="center"/>
    </xf>
    <xf numFmtId="0" fontId="4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164" fontId="6" fillId="3" borderId="33" xfId="0" applyNumberFormat="1" applyFont="1" applyFill="1" applyBorder="1" applyAlignment="1">
      <alignment vertical="center"/>
    </xf>
    <xf numFmtId="167" fontId="4" fillId="5" borderId="11" xfId="0" applyNumberFormat="1" applyFont="1" applyFill="1" applyBorder="1" applyAlignment="1">
      <alignment vertical="center"/>
    </xf>
    <xf numFmtId="168" fontId="4" fillId="5" borderId="11" xfId="0" applyNumberFormat="1" applyFont="1" applyFill="1" applyBorder="1" applyAlignment="1">
      <alignment vertical="center"/>
    </xf>
    <xf numFmtId="0" fontId="0" fillId="0" borderId="0" xfId="0" applyFont="1" applyAlignment="1"/>
    <xf numFmtId="0" fontId="4" fillId="0" borderId="32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3" fontId="4" fillId="0" borderId="17" xfId="0" applyNumberFormat="1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0" fillId="0" borderId="38" xfId="0" applyFont="1" applyBorder="1" applyAlignment="1"/>
    <xf numFmtId="0" fontId="4" fillId="5" borderId="40" xfId="0" applyFont="1" applyFill="1" applyBorder="1" applyAlignment="1">
      <alignment vertical="center"/>
    </xf>
    <xf numFmtId="167" fontId="4" fillId="5" borderId="41" xfId="0" applyNumberFormat="1" applyFont="1" applyFill="1" applyBorder="1" applyAlignment="1">
      <alignment vertical="center"/>
    </xf>
    <xf numFmtId="0" fontId="5" fillId="2" borderId="36" xfId="0" applyFont="1" applyFill="1" applyBorder="1" applyAlignment="1">
      <alignment horizontal="left" vertical="center"/>
    </xf>
    <xf numFmtId="0" fontId="4" fillId="0" borderId="43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0" fillId="0" borderId="44" xfId="0" applyFont="1" applyBorder="1" applyAlignment="1"/>
    <xf numFmtId="3" fontId="4" fillId="0" borderId="45" xfId="0" applyNumberFormat="1" applyFont="1" applyBorder="1" applyAlignment="1">
      <alignment vertical="center"/>
    </xf>
    <xf numFmtId="0" fontId="10" fillId="0" borderId="0" xfId="0" applyFont="1" applyAlignment="1"/>
    <xf numFmtId="14" fontId="0" fillId="0" borderId="0" xfId="0" applyNumberFormat="1" applyFont="1" applyAlignment="1"/>
    <xf numFmtId="0" fontId="5" fillId="10" borderId="8" xfId="0" applyFont="1" applyFill="1" applyBorder="1" applyAlignment="1">
      <alignment horizontal="left" vertical="center"/>
    </xf>
    <xf numFmtId="0" fontId="5" fillId="10" borderId="9" xfId="0" applyFont="1" applyFill="1" applyBorder="1" applyAlignment="1">
      <alignment horizontal="left" vertical="center"/>
    </xf>
    <xf numFmtId="0" fontId="7" fillId="10" borderId="7" xfId="0" applyFont="1" applyFill="1" applyBorder="1" applyAlignment="1">
      <alignment horizontal="left" vertical="center"/>
    </xf>
    <xf numFmtId="169" fontId="0" fillId="0" borderId="0" xfId="1" applyNumberFormat="1" applyFont="1" applyAlignment="1"/>
    <xf numFmtId="0" fontId="9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0" borderId="32" xfId="0" applyFont="1" applyFill="1" applyBorder="1" applyAlignment="1">
      <alignment horizontal="left" vertical="center"/>
    </xf>
    <xf numFmtId="0" fontId="4" fillId="0" borderId="32" xfId="0" applyFont="1" applyFill="1" applyBorder="1" applyAlignment="1">
      <alignment vertical="center"/>
    </xf>
    <xf numFmtId="167" fontId="4" fillId="0" borderId="32" xfId="0" applyNumberFormat="1" applyFont="1" applyFill="1" applyBorder="1" applyAlignment="1">
      <alignment vertical="center"/>
    </xf>
    <xf numFmtId="0" fontId="5" fillId="2" borderId="46" xfId="0" applyFont="1" applyFill="1" applyBorder="1" applyAlignment="1">
      <alignment horizontal="left" vertical="center"/>
    </xf>
    <xf numFmtId="3" fontId="4" fillId="0" borderId="32" xfId="0" applyNumberFormat="1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3" fontId="4" fillId="0" borderId="47" xfId="0" applyNumberFormat="1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3" fontId="0" fillId="0" borderId="33" xfId="0" applyNumberFormat="1" applyFont="1" applyBorder="1" applyAlignment="1">
      <alignment vertical="center"/>
    </xf>
    <xf numFmtId="0" fontId="4" fillId="0" borderId="50" xfId="0" applyFont="1" applyBorder="1" applyAlignment="1">
      <alignment horizontal="right"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38" xfId="0" applyFont="1" applyBorder="1" applyAlignment="1">
      <alignment horizontal="right" vertical="center"/>
    </xf>
    <xf numFmtId="0" fontId="9" fillId="0" borderId="49" xfId="0" applyFont="1" applyBorder="1" applyAlignment="1"/>
    <xf numFmtId="0" fontId="9" fillId="0" borderId="48" xfId="0" applyFont="1" applyBorder="1" applyAlignment="1">
      <alignment horizontal="right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/>
  </cellXfs>
  <cellStyles count="2">
    <cellStyle name="Comma" xfId="1" builtinId="3"/>
    <cellStyle name="Normal" xfId="0" builtinId="0"/>
  </cellStyles>
  <dxfs count="125"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numFmt numFmtId="169" formatCode="_(* #,##0.0_);_(* \(#,##0.0\);_(* &quot;-&quot;??_);_(@_)"/>
    </dxf>
    <dxf>
      <border outline="0">
        <bottom style="thin">
          <color rgb="FF4A535C"/>
        </bottom>
      </border>
    </dxf>
    <dxf>
      <fill>
        <patternFill patternType="solid">
          <fgColor indexed="64"/>
          <bgColor theme="1" tint="0.499984740745262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168" formatCode="0\ &quot;Hr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color theme="1"/>
        <family val="2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&quot;$&quot;#,##0.000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_(* #,##0.0_);_(* \(#,##0.0\);_(* &quot;-&quot;??_);_(@_)"/>
    </dxf>
    <dxf>
      <border outline="0">
        <bottom style="thin">
          <color rgb="FF4A535C"/>
        </bottom>
      </border>
    </dxf>
    <dxf>
      <fill>
        <patternFill patternType="solid">
          <fgColor indexed="64"/>
          <bgColor theme="1" tint="0.499984740745262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168" formatCode="0\ &quot;Hr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color theme="1"/>
        <family val="2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&quot;$&quot;#,##0.000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0">
    <tableStyle name="Worksheet-style" pivot="0" count="3" xr9:uid="{00000000-0011-0000-FFFF-FFFF00000000}">
      <tableStyleElement type="headerRow" dxfId="124"/>
      <tableStyleElement type="firstRowStripe" dxfId="123"/>
      <tableStyleElement type="secondRowStripe" dxfId="122"/>
    </tableStyle>
    <tableStyle name="Worksheet-style 2" pivot="0" count="3" xr9:uid="{00000000-0011-0000-FFFF-FFFF01000000}">
      <tableStyleElement type="headerRow" dxfId="121"/>
      <tableStyleElement type="firstRowStripe" dxfId="120"/>
      <tableStyleElement type="secondRowStripe" dxfId="119"/>
    </tableStyle>
    <tableStyle name="Worksheet-style 3" pivot="0" count="3" xr9:uid="{00000000-0011-0000-FFFF-FFFF02000000}">
      <tableStyleElement type="headerRow" dxfId="118"/>
      <tableStyleElement type="firstRowStripe" dxfId="117"/>
      <tableStyleElement type="secondRowStripe" dxfId="116"/>
    </tableStyle>
    <tableStyle name="Worksheet-style 4" pivot="0" count="3" xr9:uid="{00000000-0011-0000-FFFF-FFFF03000000}">
      <tableStyleElement type="headerRow" dxfId="115"/>
      <tableStyleElement type="firstRowStripe" dxfId="114"/>
      <tableStyleElement type="secondRowStripe" dxfId="113"/>
    </tableStyle>
    <tableStyle name="Worksheet-style 5" pivot="0" count="3" xr9:uid="{00000000-0011-0000-FFFF-FFFF04000000}">
      <tableStyleElement type="headerRow" dxfId="112"/>
      <tableStyleElement type="firstRowStripe" dxfId="111"/>
      <tableStyleElement type="secondRowStripe" dxfId="110"/>
    </tableStyle>
    <tableStyle name="Worksheet-style 6" pivot="0" count="3" xr9:uid="{00000000-0011-0000-FFFF-FFFF05000000}">
      <tableStyleElement type="headerRow" dxfId="109"/>
      <tableStyleElement type="firstRowStripe" dxfId="108"/>
      <tableStyleElement type="secondRowStripe" dxfId="107"/>
    </tableStyle>
    <tableStyle name="Worksheet-style 7" pivot="0" count="3" xr9:uid="{00000000-0011-0000-FFFF-FFFF06000000}">
      <tableStyleElement type="headerRow" dxfId="106"/>
      <tableStyleElement type="firstRowStripe" dxfId="105"/>
      <tableStyleElement type="secondRowStripe" dxfId="104"/>
    </tableStyle>
    <tableStyle name="Worksheet-style 8" pivot="0" count="3" xr9:uid="{00000000-0011-0000-FFFF-FFFF07000000}">
      <tableStyleElement type="headerRow" dxfId="103"/>
      <tableStyleElement type="firstRowStripe" dxfId="102"/>
      <tableStyleElement type="secondRowStripe" dxfId="101"/>
    </tableStyle>
    <tableStyle name="Cloud.gov Tiers-style" pivot="0" count="3" xr9:uid="{00000000-0011-0000-FFFF-FFFF08000000}">
      <tableStyleElement type="headerRow" dxfId="100"/>
      <tableStyleElement type="firstRowStripe" dxfId="99"/>
      <tableStyleElement type="secondRowStripe" dxfId="98"/>
    </tableStyle>
    <tableStyle name="Cloud.gov Tiers-style 2" pivot="0" count="3" xr9:uid="{00000000-0011-0000-FFFF-FFFF09000000}">
      <tableStyleElement type="headerRow" dxfId="97"/>
      <tableStyleElement type="firstRowStripe" dxfId="96"/>
      <tableStyleElement type="secondRowStripe" dxfId="9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F5">
  <tableColumns count="6">
    <tableColumn id="1" xr3:uid="{00000000-0010-0000-0000-000001000000}" name="Credits" dataDxfId="94"/>
    <tableColumn id="2" xr3:uid="{00000000-0010-0000-0000-000002000000}" name="Tier Name" dataDxfId="93">
      <calculatedColumnFormula array="1">_xlfn.LET(_xlpm.Tier, VLOOKUP(MIN(IF('Cloud.gov Tiers'!$B$11:$B$28&gt;=A5, 'Cloud.gov Tiers'!$B$11:$B$28)), 'Cloud.gov Tiers'!$B$11:$E$28, 4, FALSE), VLOOKUP(_xlpm.Tier, 'Cloud.gov Tiers'!$E$10:$F$28, 2, FALSE))</calculatedColumnFormula>
    </tableColumn>
    <tableColumn id="3" xr3:uid="{00000000-0010-0000-0000-000003000000}" name="Credits Remaining_x000a_in Tier" dataDxfId="92">
      <calculatedColumnFormula>VLOOKUP(Table_1[[#This Row],[Tier Name]], 'Cloud.gov Tiers'!A11:B27, 2,FALSE)-Table_1[[#This Row],[Credits]]</calculatedColumnFormula>
    </tableColumn>
    <tableColumn id="4" xr3:uid="{00000000-0010-0000-0000-000004000000}" name="Yearly_x000a_Platform Total" dataDxfId="91">
      <calculatedColumnFormula>IF(B5="Custom", ROUNDUP(A5/1000,0)*'Cloud.gov Tiers'!$H$28, VLOOKUP(B5, 'Cloud.gov Tiers'!$F$11:$H$27, 3, FALSE))</calculatedColumnFormula>
    </tableColumn>
    <tableColumn id="5" xr3:uid="{00000000-0010-0000-0000-000005000000}" name="Support Total" dataDxfId="90">
      <calculatedColumnFormula>C15</calculatedColumnFormula>
    </tableColumn>
    <tableColumn id="6" xr3:uid="{00000000-0010-0000-0000-000006000000}" name=" YearlyTotal Cost" dataDxfId="89">
      <calculatedColumnFormula>D5+E5</calculatedColumnFormula>
    </tableColumn>
  </tableColumns>
  <tableStyleInfo name="Workshee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9:C10">
  <tableColumns count="3">
    <tableColumn id="1" xr3:uid="{00000000-0010-0000-0100-000001000000}" name="Resource"/>
    <tableColumn id="2" xr3:uid="{00000000-0010-0000-0100-000002000000}" name="Quantity" dataDxfId="88"/>
    <tableColumn id="3" xr3:uid="{00000000-0010-0000-0100-000003000000}" name="Credits"/>
  </tableColumns>
  <tableStyleInfo name="Worksheet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E9:K10">
  <tableColumns count="7">
    <tableColumn id="1" xr3:uid="{00000000-0010-0000-0200-000001000000}" name="Offering" dataDxfId="87"/>
    <tableColumn id="2" xr3:uid="{00000000-0010-0000-0200-000002000000}" name="Description" dataDxfId="86"/>
    <tableColumn id="3" xr3:uid="{00000000-0010-0000-0200-000003000000}" name="Units" dataDxfId="85"/>
    <tableColumn id="4" xr3:uid="{00000000-0010-0000-0200-000004000000}" name="Dimension" dataDxfId="84"/>
    <tableColumn id="5" xr3:uid="{00000000-0010-0000-0200-000005000000}" name="GB per credit" dataDxfId="83"/>
    <tableColumn id="6" xr3:uid="{00000000-0010-0000-0200-000006000000}" name="Quantity (GB)" dataDxfId="82"/>
    <tableColumn id="7" xr3:uid="{00000000-0010-0000-0200-000007000000}" name="Credits" dataDxfId="81">
      <calculatedColumnFormula>ROUNDUP(Table_3[[#This Row],[Quantity (GB)]]/Table_3[[#This Row],[GB per credit]],0)</calculatedColumnFormula>
    </tableColumn>
  </tableColumns>
  <tableStyleInfo name="Worksheet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M9:S10">
  <tableColumns count="7">
    <tableColumn id="1" xr3:uid="{00000000-0010-0000-0300-000001000000}" name="Offering"/>
    <tableColumn id="2" xr3:uid="{00000000-0010-0000-0300-000002000000}" name="Description"/>
    <tableColumn id="4" xr3:uid="{00000000-0010-0000-0300-000004000000}" name="Units"/>
    <tableColumn id="5" xr3:uid="{00000000-0010-0000-0300-000005000000}" name="Dimension" dataDxfId="80"/>
    <tableColumn id="3" xr3:uid="{CDA60C5E-AE6A-324F-8F61-A71F1A0A8966}" name="GB per credit" dataDxfId="79">
      <calculatedColumnFormula>'AWS Service Prices'!K5*'AWS Service Prices'!M5</calculatedColumnFormula>
    </tableColumn>
    <tableColumn id="6" xr3:uid="{00000000-0010-0000-0300-000006000000}" name="Quantity (GB)" dataDxfId="78"/>
    <tableColumn id="7" xr3:uid="{00000000-0010-0000-0300-000007000000}" name="Credits" dataDxfId="77">
      <calculatedColumnFormula>ROUNDUP(Table_4[[#This Row],[Quantity (GB)]]/Table_4[[#This Row],[GB per credit]],0)</calculatedColumnFormula>
    </tableColumn>
  </tableColumns>
  <tableStyleInfo name="Worksheet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4:C15">
  <tableColumns count="3">
    <tableColumn id="1" xr3:uid="{00000000-0010-0000-0400-000001000000}" name="Rate/Hour"/>
    <tableColumn id="2" xr3:uid="{00000000-0010-0000-0400-000002000000}" name="Hours" dataDxfId="76"/>
    <tableColumn id="3" xr3:uid="{00000000-0010-0000-0400-000003000000}" name="Total"/>
  </tableColumns>
  <tableStyleInfo name="Worksheet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M14:S15" dataDxfId="75">
  <tableColumns count="7">
    <tableColumn id="1" xr3:uid="{00000000-0010-0000-0500-000001000000}" name="Offering" dataDxfId="74"/>
    <tableColumn id="2" xr3:uid="{00000000-0010-0000-0500-000002000000}" name="Description" dataDxfId="73"/>
    <tableColumn id="4" xr3:uid="{00000000-0010-0000-0500-000004000000}" name="Units" dataDxfId="72"/>
    <tableColumn id="5" xr3:uid="{00000000-0010-0000-0500-000005000000}" name="Dimension" dataDxfId="71"/>
    <tableColumn id="3" xr3:uid="{807927EE-801B-8148-9BA1-5FE9186170F2}" name="GB per credit" dataDxfId="70">
      <calculatedColumnFormula>'AWS Service Prices'!K4*'AWS Service Prices'!M4</calculatedColumnFormula>
    </tableColumn>
    <tableColumn id="6" xr3:uid="{00000000-0010-0000-0500-000006000000}" name="Quantity (GB)" dataDxfId="69"/>
    <tableColumn id="7" xr3:uid="{00000000-0010-0000-0500-000007000000}" name="Credits" dataDxfId="68">
      <calculatedColumnFormula>ROUNDUP(Table_6[[#This Row],[Quantity (GB)]]/Table_6[[#This Row],[GB per credit]],0)</calculatedColumnFormula>
    </tableColumn>
  </tableColumns>
  <tableStyleInfo name="Worksheet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8:B24">
  <tableColumns count="2">
    <tableColumn id="1" xr3:uid="{00000000-0010-0000-0600-000001000000}" name="Service"/>
    <tableColumn id="2" xr3:uid="{00000000-0010-0000-0600-000002000000}" name="Credits"/>
  </tableColumns>
  <tableStyleInfo name="Worksheet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M40:S42">
  <tableColumns count="7">
    <tableColumn id="1" xr3:uid="{00000000-0010-0000-0700-000001000000}" name="Offering"/>
    <tableColumn id="2" xr3:uid="{00000000-0010-0000-0700-000002000000}" name="Description"/>
    <tableColumn id="4" xr3:uid="{00000000-0010-0000-0700-000004000000}" name="Units"/>
    <tableColumn id="5" xr3:uid="{00000000-0010-0000-0700-000005000000}" name="Dimension"/>
    <tableColumn id="3" xr3:uid="{A30E673E-5221-9442-BA33-5D5CC8E273B5}" name="Units/Credit" dataDxfId="67">
      <calculatedColumnFormula>'AWS Service Prices'!K6*'AWS Service Prices'!M6</calculatedColumnFormula>
    </tableColumn>
    <tableColumn id="6" xr3:uid="{00000000-0010-0000-0700-000006000000}" name="Quantity"/>
    <tableColumn id="7" xr3:uid="{00000000-0010-0000-0700-000007000000}" name="Credits" dataDxfId="66">
      <calculatedColumnFormula>ROUNDUP(Table_8[[#This Row],[Quantity]]/Table_8[[#This Row],[Units/Credit]],0)</calculatedColumnFormula>
    </tableColumn>
  </tableColumns>
  <tableStyleInfo name="Worksheet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4417E1-38BD-134B-B77F-84AFCA28E8D3}" name="Table12" displayName="Table12" ref="A40:C50" totalsRowShown="0" headerRowDxfId="65" headerRowBorderDxfId="64">
  <autoFilter ref="A40:C50" xr:uid="{834417E1-38BD-134B-B77F-84AFCA28E8D3}"/>
  <tableColumns count="3">
    <tableColumn id="1" xr3:uid="{6F594386-932F-3745-B570-1D36152A4BED}" name="Version" dataDxfId="63" dataCellStyle="Comma"/>
    <tableColumn id="2" xr3:uid="{98BA1600-A7B8-2742-AF88-1C465CCF83D5}" name="Date"/>
    <tableColumn id="3" xr3:uid="{A3A06425-E98A-E042-A27B-C92165F08BCF}" name="Notes"/>
  </tableColumns>
  <tableStyleInfo name="Cloud.gov Tiers-sty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2:B6">
  <tableColumns count="2">
    <tableColumn id="1" xr3:uid="{00000000-0010-0000-0800-000001000000}" name="Variable"/>
    <tableColumn id="2" xr3:uid="{00000000-0010-0000-0800-000002000000}" name="Value"/>
  </tableColumns>
  <tableStyleInfo name="Cloud.gov Tier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0:H28">
  <tableColumns count="8">
    <tableColumn id="1" xr3:uid="{00000000-0010-0000-0900-000001000000}" name="Tier"/>
    <tableColumn id="2" xr3:uid="{00000000-0010-0000-0900-000002000000}" name="Credits"/>
    <tableColumn id="3" xr3:uid="{00000000-0010-0000-0900-000003000000}" name="Discount"/>
    <tableColumn id="4" xr3:uid="{00000000-0010-0000-0900-000004000000}" name="Monthly Price (no discount)"/>
    <tableColumn id="5" xr3:uid="{00000000-0010-0000-0900-000005000000}" name="Tier ID (for VLOOKUP)"/>
    <tableColumn id="6" xr3:uid="{00000000-0010-0000-0900-000006000000}" name="Tier (for VLOOKUP)"/>
    <tableColumn id="7" xr3:uid="{00000000-0010-0000-0900-000007000000}" name="Annual Price (no discount, no IAA fee)"/>
    <tableColumn id="8" xr3:uid="{00000000-0010-0000-0900-000008000000}" name="Annual Price (w/discount)"/>
  </tableColumns>
  <tableStyleInfo name="Cloud.gov Tiers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37D040-F691-2C49-BE22-816489BFD4D2}" name="Table_112" displayName="Table_112" ref="A4:F5">
  <tableColumns count="6">
    <tableColumn id="1" xr3:uid="{657244D4-FE4C-D44C-B48B-43E7FA139C6B}" name="Credits" dataDxfId="62">
      <calculatedColumnFormula>C10+SUM(B19:B23)</calculatedColumnFormula>
    </tableColumn>
    <tableColumn id="2" xr3:uid="{B168D809-F848-8A4F-B241-57C6EF027C29}" name="Tier Name" dataDxfId="61">
      <calculatedColumnFormula array="1">_xlfn.LET(_xlpm.Tier, VLOOKUP(MIN(IF('Cloud.gov Tiers'!$B$11:$B$28&gt;=A5, 'Cloud.gov Tiers'!$B$11:$B$28)), 'Cloud.gov Tiers'!$B$11:$E$28, 4, FALSE), VLOOKUP(_xlpm.Tier, 'Cloud.gov Tiers'!$E$10:$F$28, 2, FALSE))</calculatedColumnFormula>
    </tableColumn>
    <tableColumn id="3" xr3:uid="{172BAC85-F7D2-7D4C-9C26-72C7C85DB56F}" name="Credits Remaining_x000a_in Tier" dataDxfId="60">
      <calculatedColumnFormula>VLOOKUP(Table_112[[#This Row],[Tier Name]], 'Cloud.gov Tiers'!A11:B27, 2,FALSE)-Table_112[[#This Row],[Credits]]</calculatedColumnFormula>
    </tableColumn>
    <tableColumn id="4" xr3:uid="{19498A2C-21A7-B740-9DD5-D095ED0DD812}" name="Yearly_x000a_Platform Total" dataDxfId="59">
      <calculatedColumnFormula>IF(B5="Custom", ROUNDUP(A5/1000,0)*'Cloud.gov Tiers'!$H$28, VLOOKUP(B5, 'Cloud.gov Tiers'!$F$11:$H$27, 3, FALSE))</calculatedColumnFormula>
    </tableColumn>
    <tableColumn id="5" xr3:uid="{A475BA76-45A9-EF46-8FAE-2B381389CF6E}" name="Support Total" dataDxfId="58">
      <calculatedColumnFormula>C15</calculatedColumnFormula>
    </tableColumn>
    <tableColumn id="6" xr3:uid="{CFD58EB9-7FC4-3640-859D-34D006952E97}" name=" YearlyTotal Cost" dataDxfId="57">
      <calculatedColumnFormula>D5+E5</calculatedColumnFormula>
    </tableColumn>
  </tableColumns>
  <tableStyleInfo name="Worksheet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32B26DD-C481-9945-89E7-FEF42FEDB769}" name="Table_214" displayName="Table_214" ref="A9:C10">
  <tableColumns count="3">
    <tableColumn id="1" xr3:uid="{8D2D857E-9AA6-5D4F-A4AF-373B7168526E}" name="Resource"/>
    <tableColumn id="2" xr3:uid="{4FAE5D4B-8591-7D41-A69E-501EE57C6C41}" name="Quantity" dataDxfId="56"/>
    <tableColumn id="3" xr3:uid="{FD66B2C4-D49F-1C43-9A30-DE1F21B9FD5B}" name="Credits">
      <calculatedColumnFormula>B10*'Cloud.gov Tiers'!B3</calculatedColumnFormula>
    </tableColumn>
  </tableColumns>
  <tableStyleInfo name="Worksheet-style 2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E58A18-ABB7-FC4E-9D28-06F1CAA78773}" name="Table_315" displayName="Table_315" ref="E9:K10">
  <tableColumns count="7">
    <tableColumn id="1" xr3:uid="{8901DDBE-58BA-8F4F-9D7C-2A2800A70157}" name="Offering" dataDxfId="55"/>
    <tableColumn id="2" xr3:uid="{3C07AF3B-6C04-4348-A1E4-AEF634AB5F2C}" name="Description" dataDxfId="54"/>
    <tableColumn id="3" xr3:uid="{50B2B6E3-7A84-CC41-A61F-9E7C70E4AC01}" name="Units" dataDxfId="53"/>
    <tableColumn id="4" xr3:uid="{99748816-FA07-B948-9F02-BAFA13C63BF0}" name="Dimension" dataDxfId="52"/>
    <tableColumn id="5" xr3:uid="{B4686AED-FFA8-0F4F-8CF1-A28CBB869F59}" name="GB per credit" dataDxfId="51"/>
    <tableColumn id="6" xr3:uid="{C47C64B0-2C30-0043-A34C-7F0E810B25DC}" name="Quantity (GB)" dataDxfId="50"/>
    <tableColumn id="7" xr3:uid="{D0A5DC61-9EB0-294B-94B0-91D19A5D6E7E}" name="Credits" dataDxfId="49">
      <calculatedColumnFormula>ROUNDUP(Table_315[[#This Row],[Quantity (GB)]]/Table_315[[#This Row],[GB per credit]],0)</calculatedColumnFormula>
    </tableColumn>
  </tableColumns>
  <tableStyleInfo name="Worksheet-style 3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E799C99-FC6F-6740-8C47-548247059706}" name="Table_416" displayName="Table_416" ref="M9:S10">
  <tableColumns count="7">
    <tableColumn id="1" xr3:uid="{CC812881-5649-1A4C-8C45-49D7808E0D1A}" name="Offering"/>
    <tableColumn id="2" xr3:uid="{46204D59-C3E2-174B-9C58-1DB2BB6988C8}" name="Description"/>
    <tableColumn id="4" xr3:uid="{C3D129A0-D876-D446-9BED-4CE757DA989E}" name="Units"/>
    <tableColumn id="5" xr3:uid="{8159B7E1-3CBB-384F-9C82-294839F55CB1}" name="Dimension" dataDxfId="48"/>
    <tableColumn id="3" xr3:uid="{6374D1D7-2C6C-674A-9B2C-B5EA274BAEAC}" name="GB per credit" dataDxfId="47">
      <calculatedColumnFormula>'AWS Service Prices'!K5*'AWS Service Prices'!M5</calculatedColumnFormula>
    </tableColumn>
    <tableColumn id="6" xr3:uid="{84537EB8-58A4-A645-9A18-A322EFB5D6C3}" name="Quantity (GB)" dataDxfId="46"/>
    <tableColumn id="7" xr3:uid="{06CE2B03-0479-2148-9683-4F1675E4317C}" name="Credits" dataDxfId="45">
      <calculatedColumnFormula>ROUNDUP(Table_416[[#This Row],[Quantity (GB)]]/Table_416[[#This Row],[GB per credit]],0)</calculatedColumnFormula>
    </tableColumn>
  </tableColumns>
  <tableStyleInfo name="Worksheet-style 4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D38669A-9AE2-BA49-AF4A-F9D5CEFDB233}" name="Table_517" displayName="Table_517" ref="A14:C15">
  <tableColumns count="3">
    <tableColumn id="1" xr3:uid="{E0798FE9-1580-1B43-B088-25897B8976F6}" name="Rate/Hour"/>
    <tableColumn id="2" xr3:uid="{4F69F05E-31AF-C644-B087-9847D08BB3A0}" name="Hours" dataDxfId="44"/>
    <tableColumn id="3" xr3:uid="{35F99F2C-96B5-1244-8BF2-D8FA71D1A5B2}" name="Total">
      <calculatedColumnFormula>A15*B15</calculatedColumnFormula>
    </tableColumn>
  </tableColumns>
  <tableStyleInfo name="Worksheet-style 5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3A578BF-BA5A-7843-972B-EBD4EA7AD1DD}" name="Table_618" displayName="Table_618" ref="M14:S15" dataDxfId="43">
  <tableColumns count="7">
    <tableColumn id="1" xr3:uid="{3024083C-5ED0-8D4D-8D1A-D4BD5916AE47}" name="Offering" dataDxfId="42"/>
    <tableColumn id="2" xr3:uid="{3D92B04D-745E-2A49-991D-C00C27907719}" name="Description" dataDxfId="41"/>
    <tableColumn id="4" xr3:uid="{50C39022-EBD5-9B42-84DD-C507ED702117}" name="Units" dataDxfId="40"/>
    <tableColumn id="5" xr3:uid="{9759566D-ABA1-0943-92F2-2B5501002EE3}" name="Dimension" dataDxfId="39"/>
    <tableColumn id="3" xr3:uid="{4A17BDB6-3CD8-BF43-B5F9-82D2A2C35A0C}" name="GB per credit" dataDxfId="38">
      <calculatedColumnFormula>'AWS Service Prices'!K4*'AWS Service Prices'!M4</calculatedColumnFormula>
    </tableColumn>
    <tableColumn id="6" xr3:uid="{056FCEF1-5646-814F-8034-1E8AC53C910D}" name="Quantity (GB)" dataDxfId="37"/>
    <tableColumn id="7" xr3:uid="{DAEA814F-05EA-764E-8533-FE0EF6F3B132}" name="Credits" dataDxfId="36">
      <calculatedColumnFormula>ROUNDUP(Table_618[[#This Row],[Quantity (GB)]]/Table_618[[#This Row],[GB per credit]],0)</calculatedColumnFormula>
    </tableColumn>
  </tableColumns>
  <tableStyleInfo name="Worksheet-style 6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828B4F-17FC-1B43-9333-8BB094B53DDC}" name="Table_719" displayName="Table_719" ref="A18:B23">
  <tableColumns count="2">
    <tableColumn id="1" xr3:uid="{91890D40-9E6C-D740-B06A-0795C2CC0DC6}" name="Service"/>
    <tableColumn id="2" xr3:uid="{6BAAE4FE-CE19-094E-871D-D2B9802CB9CB}" name="Credits"/>
  </tableColumns>
  <tableStyleInfo name="Worksheet-style 7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7CA396-DF94-254C-96FD-3C5EBD9F03F2}" name="Table_820" displayName="Table_820" ref="M40:S42">
  <tableColumns count="7">
    <tableColumn id="1" xr3:uid="{AECC13D3-8D85-144F-B6DB-5501458D6B29}" name="Offering"/>
    <tableColumn id="2" xr3:uid="{B074D0B3-B914-AB4F-8066-81B90B3261D8}" name="Description"/>
    <tableColumn id="4" xr3:uid="{202C8C30-FD4E-6D40-9EBF-642B8C7AE181}" name="Units"/>
    <tableColumn id="5" xr3:uid="{CA6A3A17-2747-AF44-8119-FC05700B8D5C}" name="Dimension"/>
    <tableColumn id="3" xr3:uid="{C6C6ED4B-9612-3F48-9D18-472E70646A28}" name="Units/Credit" dataDxfId="35">
      <calculatedColumnFormula>'AWS Service Prices'!K6*'AWS Service Prices'!M6</calculatedColumnFormula>
    </tableColumn>
    <tableColumn id="6" xr3:uid="{76CCCB3A-2B18-4C42-9DB6-C570AFD6FB75}" name="Quantity"/>
    <tableColumn id="7" xr3:uid="{A024F374-2C63-444D-95DA-745B84ABCFE7}" name="Credits" dataDxfId="34">
      <calculatedColumnFormula>ROUNDUP(Table_820[[#This Row],[Quantity]]/Table_820[[#This Row],[Units/Credit]],0)</calculatedColumnFormula>
    </tableColumn>
  </tableColumns>
  <tableStyleInfo name="Worksheet-style 8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33F2C22-64BE-8A4A-A52E-89FC6130AD21}" name="Table1221" displayName="Table1221" ref="A39:C49" totalsRowShown="0" headerRowDxfId="33" headerRowBorderDxfId="32">
  <autoFilter ref="A39:C49" xr:uid="{834417E1-38BD-134B-B77F-84AFCA28E8D3}"/>
  <tableColumns count="3">
    <tableColumn id="1" xr3:uid="{0A95F7D5-D48D-864F-84FF-73515D627597}" name="Version" dataDxfId="31" dataCellStyle="Comma"/>
    <tableColumn id="2" xr3:uid="{1427474E-5614-2046-B78C-0448E419A1D9}" name="Date"/>
    <tableColumn id="3" xr3:uid="{CAF26780-3593-1540-85AB-2E9EB898659F}" name="Notes"/>
  </tableColumns>
  <tableStyleInfo name="Cloud.gov Ti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</sheetPr>
  <dimension ref="A1:Y1000"/>
  <sheetViews>
    <sheetView tabSelected="1" topLeftCell="A19" zoomScale="130" zoomScaleNormal="130" workbookViewId="0">
      <selection activeCell="B50" sqref="B50"/>
    </sheetView>
  </sheetViews>
  <sheetFormatPr baseColWidth="10" defaultColWidth="12.6640625" defaultRowHeight="15" customHeight="1" x14ac:dyDescent="0.15"/>
  <cols>
    <col min="1" max="1" width="17.1640625" customWidth="1"/>
    <col min="2" max="2" width="16.1640625" customWidth="1"/>
    <col min="3" max="3" width="16.33203125" customWidth="1"/>
    <col min="4" max="4" width="15" customWidth="1"/>
    <col min="5" max="5" width="14.5" customWidth="1"/>
    <col min="6" max="6" width="30.83203125" customWidth="1"/>
    <col min="7" max="7" width="12.6640625" customWidth="1"/>
    <col min="8" max="8" width="11.33203125" customWidth="1"/>
    <col min="10" max="10" width="14.6640625" customWidth="1"/>
    <col min="11" max="11" width="10.33203125" customWidth="1"/>
    <col min="12" max="12" width="10.1640625" customWidth="1"/>
    <col min="13" max="13" width="18.83203125" customWidth="1"/>
    <col min="14" max="14" width="36.6640625" customWidth="1"/>
    <col min="15" max="15" width="19.5" customWidth="1"/>
    <col min="16" max="16" width="13.6640625" customWidth="1"/>
    <col min="17" max="17" width="13.33203125" customWidth="1"/>
    <col min="18" max="18" width="11.83203125" customWidth="1"/>
    <col min="19" max="19" width="9.33203125" customWidth="1"/>
    <col min="22" max="22" width="15.1640625" customWidth="1"/>
    <col min="23" max="23" width="21.33203125" customWidth="1"/>
    <col min="24" max="24" width="23" customWidth="1"/>
    <col min="25" max="25" width="16.5" customWidth="1"/>
  </cols>
  <sheetData>
    <row r="1" spans="1:19" ht="98.25" customHeight="1" x14ac:dyDescent="1.05">
      <c r="A1" s="125" t="s">
        <v>192</v>
      </c>
      <c r="B1" s="126"/>
      <c r="C1" s="126"/>
      <c r="D1" s="126"/>
      <c r="E1" s="126"/>
      <c r="F1" s="126"/>
      <c r="H1" s="1"/>
    </row>
    <row r="2" spans="1:19" ht="15.75" customHeight="1" x14ac:dyDescent="0.15"/>
    <row r="3" spans="1:19" ht="15" customHeight="1" x14ac:dyDescent="0.15">
      <c r="A3" s="2" t="s">
        <v>0</v>
      </c>
      <c r="B3" s="3"/>
      <c r="C3" s="4"/>
      <c r="D3" s="4"/>
      <c r="E3" s="4"/>
      <c r="F3" s="4"/>
    </row>
    <row r="4" spans="1:19" ht="31" customHeight="1" x14ac:dyDescent="0.15">
      <c r="A4" s="78" t="s">
        <v>1</v>
      </c>
      <c r="B4" s="79" t="s">
        <v>2</v>
      </c>
      <c r="C4" s="80" t="s">
        <v>173</v>
      </c>
      <c r="D4" s="80" t="s">
        <v>181</v>
      </c>
      <c r="E4" s="79" t="s">
        <v>3</v>
      </c>
      <c r="F4" s="83" t="s">
        <v>175</v>
      </c>
    </row>
    <row r="5" spans="1:19" ht="15.75" customHeight="1" x14ac:dyDescent="0.15">
      <c r="A5" s="118">
        <f>C10+SUM(B19:B24)</f>
        <v>0</v>
      </c>
      <c r="B5" s="82" t="str" cm="1">
        <f t="array" ref="B5">_xlfn.LET(_xlpm.Tier, VLOOKUP(MIN(IF('Cloud.gov Tiers'!$B$11:$B$28&gt;=A5, 'Cloud.gov Tiers'!$B$11:$B$28)), 'Cloud.gov Tiers'!$B$11:$E$28, 4, FALSE), VLOOKUP(_xlpm.Tier, 'Cloud.gov Tiers'!$E$10:$F$28, 2, FALSE))</f>
        <v>Femto</v>
      </c>
      <c r="C5" s="76">
        <f>VLOOKUP(Table_1[[#This Row],[Tier Name]], 'Cloud.gov Tiers'!A11:B27, 2,FALSE)-Table_1[[#This Row],[Credits]]</f>
        <v>50</v>
      </c>
      <c r="D5" s="77">
        <f>IF(B5="Custom", ROUNDUP(A5/1000,0)*'Cloud.gov Tiers'!$H$28, VLOOKUP(B5, 'Cloud.gov Tiers'!$F$11:$H$27, 3, FALSE))</f>
        <v>30000</v>
      </c>
      <c r="E5" s="77">
        <f>C15</f>
        <v>0</v>
      </c>
      <c r="F5" s="84">
        <f>D5+E5</f>
        <v>30000</v>
      </c>
    </row>
    <row r="6" spans="1:19" ht="15.75" customHeight="1" x14ac:dyDescent="0.15"/>
    <row r="7" spans="1:19" ht="15.75" customHeight="1" x14ac:dyDescent="0.15"/>
    <row r="8" spans="1:19" ht="15.75" customHeight="1" x14ac:dyDescent="0.15">
      <c r="A8" s="7" t="s">
        <v>5</v>
      </c>
      <c r="B8" s="4"/>
      <c r="C8" s="4"/>
      <c r="E8" s="2" t="s">
        <v>6</v>
      </c>
      <c r="F8" s="2"/>
      <c r="M8" s="2" t="s">
        <v>7</v>
      </c>
    </row>
    <row r="9" spans="1:19" ht="15.75" customHeight="1" thickBot="1" x14ac:dyDescent="0.2">
      <c r="A9" s="8" t="s">
        <v>8</v>
      </c>
      <c r="B9" s="9" t="s">
        <v>9</v>
      </c>
      <c r="C9" s="10" t="s">
        <v>1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178</v>
      </c>
      <c r="J9" s="5" t="s">
        <v>14</v>
      </c>
      <c r="K9" s="5" t="s">
        <v>1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178</v>
      </c>
      <c r="R9" s="5" t="s">
        <v>14</v>
      </c>
      <c r="S9" s="5" t="s">
        <v>1</v>
      </c>
    </row>
    <row r="10" spans="1:19" ht="15.75" customHeight="1" thickBot="1" x14ac:dyDescent="0.2">
      <c r="A10" s="11" t="s">
        <v>15</v>
      </c>
      <c r="B10" s="85">
        <v>0</v>
      </c>
      <c r="C10" s="12">
        <f>B10*'Cloud.gov Tiers'!B3</f>
        <v>0</v>
      </c>
      <c r="E10" s="39" t="s">
        <v>16</v>
      </c>
      <c r="F10" s="40" t="s">
        <v>180</v>
      </c>
      <c r="G10" s="40" t="s">
        <v>17</v>
      </c>
      <c r="H10" s="40" t="s">
        <v>18</v>
      </c>
      <c r="I10" s="40">
        <v>100</v>
      </c>
      <c r="J10" s="85">
        <v>0</v>
      </c>
      <c r="K10" s="42">
        <f>ROUNDUP(Table_3[[#This Row],[Quantity (GB)]]/Table_3[[#This Row],[GB per credit]],0)</f>
        <v>0</v>
      </c>
      <c r="M10" s="13" t="s">
        <v>7</v>
      </c>
      <c r="N10" s="6" t="s">
        <v>19</v>
      </c>
      <c r="O10" s="6" t="s">
        <v>17</v>
      </c>
      <c r="P10" s="40" t="s">
        <v>20</v>
      </c>
      <c r="Q10" s="40">
        <f>'AWS Service Prices'!K5*'AWS Service Prices'!M5</f>
        <v>400</v>
      </c>
      <c r="R10" s="85">
        <v>0</v>
      </c>
      <c r="S10" s="42">
        <f>ROUNDUP(Table_4[[#This Row],[Quantity (GB)]]/Table_4[[#This Row],[GB per credit]],0)</f>
        <v>0</v>
      </c>
    </row>
    <row r="11" spans="1:19" ht="15.75" customHeight="1" x14ac:dyDescent="0.15">
      <c r="A11" s="4"/>
      <c r="C11" s="14"/>
    </row>
    <row r="12" spans="1:19" ht="15.75" customHeight="1" x14ac:dyDescent="0.15">
      <c r="E12" s="2" t="s">
        <v>21</v>
      </c>
      <c r="F12" s="2"/>
    </row>
    <row r="13" spans="1:19" ht="15.75" customHeight="1" thickBot="1" x14ac:dyDescent="0.2">
      <c r="A13" s="7" t="s">
        <v>22</v>
      </c>
      <c r="B13" s="4"/>
      <c r="C13" s="4"/>
      <c r="E13" s="15" t="s">
        <v>10</v>
      </c>
      <c r="F13" s="16" t="s">
        <v>23</v>
      </c>
      <c r="G13" s="16" t="s">
        <v>25</v>
      </c>
      <c r="H13" s="15" t="s">
        <v>26</v>
      </c>
      <c r="I13" s="16" t="s">
        <v>179</v>
      </c>
      <c r="J13" s="16" t="s">
        <v>9</v>
      </c>
      <c r="K13" s="15" t="s">
        <v>1</v>
      </c>
      <c r="M13" s="2" t="s">
        <v>27</v>
      </c>
    </row>
    <row r="14" spans="1:19" ht="15.75" customHeight="1" thickBot="1" x14ac:dyDescent="0.2">
      <c r="A14" s="8" t="s">
        <v>28</v>
      </c>
      <c r="B14" s="9" t="s">
        <v>29</v>
      </c>
      <c r="C14" s="17" t="s">
        <v>4</v>
      </c>
      <c r="E14" s="18" t="str">
        <f t="array" ref="E14:I43">AWSRdsServicePrices</f>
        <v>AWS RDS</v>
      </c>
      <c r="F14" s="19" t="str">
        <v>micro-psql</v>
      </c>
      <c r="G14" s="19" t="str">
        <v>db.t3.micro</v>
      </c>
      <c r="H14" s="19">
        <v>1</v>
      </c>
      <c r="I14" s="19">
        <v>1</v>
      </c>
      <c r="J14" s="20">
        <v>0</v>
      </c>
      <c r="K14" s="90">
        <f>I14*J14</f>
        <v>0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178</v>
      </c>
      <c r="R14" s="5" t="s">
        <v>14</v>
      </c>
      <c r="S14" s="5" t="s">
        <v>1</v>
      </c>
    </row>
    <row r="15" spans="1:19" ht="15.75" customHeight="1" thickBot="1" x14ac:dyDescent="0.2">
      <c r="A15" s="22">
        <v>250</v>
      </c>
      <c r="B15" s="86">
        <v>0</v>
      </c>
      <c r="C15" s="23">
        <f>A15*B15</f>
        <v>0</v>
      </c>
      <c r="E15" s="24" t="str">
        <v>AWS RDS</v>
      </c>
      <c r="F15" s="25" t="str">
        <v>micro-psql-redundant</v>
      </c>
      <c r="G15" s="25" t="str">
        <v>db.t3.micro</v>
      </c>
      <c r="H15" s="25">
        <v>1</v>
      </c>
      <c r="I15" s="25">
        <v>2</v>
      </c>
      <c r="J15" s="26">
        <v>0</v>
      </c>
      <c r="K15" s="90">
        <f t="shared" ref="K15:K43" si="0">I15*J15</f>
        <v>0</v>
      </c>
      <c r="M15" s="39" t="s">
        <v>33</v>
      </c>
      <c r="N15" s="40" t="s">
        <v>34</v>
      </c>
      <c r="O15" s="40" t="s">
        <v>17</v>
      </c>
      <c r="P15" s="40" t="s">
        <v>35</v>
      </c>
      <c r="Q15" s="40">
        <f>'AWS Service Prices'!K4*'AWS Service Prices'!M4</f>
        <v>100</v>
      </c>
      <c r="R15" s="85">
        <v>0</v>
      </c>
      <c r="S15" s="42">
        <f>ROUNDUP(Table_6[[#This Row],[Quantity (GB)]]/Table_6[[#This Row],[GB per credit]],0)</f>
        <v>0</v>
      </c>
    </row>
    <row r="16" spans="1:19" ht="15.75" customHeight="1" x14ac:dyDescent="0.15">
      <c r="E16" s="18" t="str">
        <v>AWS RDS</v>
      </c>
      <c r="F16" s="19" t="str">
        <v>small-psql</v>
      </c>
      <c r="G16" s="19" t="str">
        <v>db.t3.small</v>
      </c>
      <c r="H16" s="19">
        <v>1</v>
      </c>
      <c r="I16" s="19">
        <v>2</v>
      </c>
      <c r="J16" s="26">
        <v>0</v>
      </c>
      <c r="K16" s="90">
        <f t="shared" si="0"/>
        <v>0</v>
      </c>
    </row>
    <row r="17" spans="1:25" ht="15.75" customHeight="1" x14ac:dyDescent="0.15">
      <c r="A17" s="28" t="s">
        <v>38</v>
      </c>
      <c r="E17" s="24" t="str">
        <v>AWS RDS</v>
      </c>
      <c r="F17" s="25" t="str">
        <v>small-psql-redundant</v>
      </c>
      <c r="G17" s="25" t="str">
        <v>db.t3.small</v>
      </c>
      <c r="H17" s="25">
        <v>1</v>
      </c>
      <c r="I17" s="25">
        <v>4</v>
      </c>
      <c r="J17" s="26">
        <v>0</v>
      </c>
      <c r="K17" s="90">
        <f t="shared" si="0"/>
        <v>0</v>
      </c>
      <c r="M17" s="2" t="s">
        <v>40</v>
      </c>
      <c r="N17" s="87"/>
    </row>
    <row r="18" spans="1:25" ht="15.75" customHeight="1" thickBot="1" x14ac:dyDescent="0.2">
      <c r="A18" s="8" t="s">
        <v>41</v>
      </c>
      <c r="B18" s="8" t="s">
        <v>1</v>
      </c>
      <c r="E18" s="18" t="str">
        <v>AWS RDS</v>
      </c>
      <c r="F18" s="19" t="str">
        <v>medium-psql</v>
      </c>
      <c r="G18" s="19" t="str">
        <v>db.t3.medium</v>
      </c>
      <c r="H18" s="19">
        <v>1</v>
      </c>
      <c r="I18" s="19">
        <v>4</v>
      </c>
      <c r="J18" s="26">
        <v>0</v>
      </c>
      <c r="K18" s="90">
        <f t="shared" si="0"/>
        <v>0</v>
      </c>
      <c r="M18" s="46" t="s">
        <v>10</v>
      </c>
      <c r="N18" s="46" t="s">
        <v>23</v>
      </c>
      <c r="O18" s="46" t="s">
        <v>44</v>
      </c>
      <c r="P18" s="46" t="s">
        <v>26</v>
      </c>
      <c r="Q18" s="16" t="s">
        <v>179</v>
      </c>
      <c r="R18" s="46" t="s">
        <v>9</v>
      </c>
      <c r="S18" s="46" t="s">
        <v>1</v>
      </c>
    </row>
    <row r="19" spans="1:25" ht="15.75" customHeight="1" x14ac:dyDescent="0.15">
      <c r="A19" s="30" t="s">
        <v>45</v>
      </c>
      <c r="B19" s="31">
        <f t="array" ref="B19">Worksheet!$S$10</f>
        <v>0</v>
      </c>
      <c r="E19" s="24" t="str">
        <v>AWS RDS</v>
      </c>
      <c r="F19" s="25" t="str">
        <v>medium-psql-redundant</v>
      </c>
      <c r="G19" s="25" t="str">
        <v>db.t3.medium</v>
      </c>
      <c r="H19" s="25">
        <v>1</v>
      </c>
      <c r="I19" s="25">
        <v>8</v>
      </c>
      <c r="J19" s="26">
        <v>0</v>
      </c>
      <c r="K19" s="90">
        <f t="shared" si="0"/>
        <v>0</v>
      </c>
      <c r="M19" s="47" t="str" cm="1">
        <f t="array" ref="M19:Q29">AwsOpensearchPrices</f>
        <v>AWS OpenSearch</v>
      </c>
      <c r="N19" s="48" t="str">
        <v>es-dev</v>
      </c>
      <c r="O19" s="48" t="str">
        <v>t3.small.search</v>
      </c>
      <c r="P19" s="48">
        <v>1</v>
      </c>
      <c r="Q19" s="48">
        <v>2</v>
      </c>
      <c r="R19" s="32">
        <v>0</v>
      </c>
      <c r="S19" s="21">
        <f>R19*Q19</f>
        <v>0</v>
      </c>
    </row>
    <row r="20" spans="1:25" ht="15.75" customHeight="1" x14ac:dyDescent="0.15">
      <c r="A20" s="33" t="s">
        <v>49</v>
      </c>
      <c r="B20" s="34">
        <f t="array" ref="B20">SUM(K14:K43) + Worksheet!$K$10</f>
        <v>0</v>
      </c>
      <c r="E20" s="18" t="str">
        <v>AWS RDS</v>
      </c>
      <c r="F20" s="19" t="str">
        <v>medium-gp-psql</v>
      </c>
      <c r="G20" s="19" t="str">
        <v>db.m5.large</v>
      </c>
      <c r="H20" s="19">
        <v>1</v>
      </c>
      <c r="I20" s="19">
        <v>10</v>
      </c>
      <c r="J20" s="26">
        <v>0</v>
      </c>
      <c r="K20" s="90">
        <f t="shared" si="0"/>
        <v>0</v>
      </c>
      <c r="M20" s="24" t="str">
        <v>AWS OpenSearch</v>
      </c>
      <c r="N20" s="25" t="str">
        <v>es-medium</v>
      </c>
      <c r="O20" s="25" t="str">
        <v>c5.large.search</v>
      </c>
      <c r="P20" s="25">
        <v>5</v>
      </c>
      <c r="Q20" s="25">
        <v>34</v>
      </c>
      <c r="R20" s="38">
        <v>0</v>
      </c>
      <c r="S20" s="21">
        <f t="shared" ref="S20:S29" si="1">R20*Q20</f>
        <v>0</v>
      </c>
    </row>
    <row r="21" spans="1:25" ht="15.75" customHeight="1" x14ac:dyDescent="0.15">
      <c r="A21" s="30" t="s">
        <v>54</v>
      </c>
      <c r="B21" s="31">
        <f>Worksheet!$S$15+SUM(S19:S29)</f>
        <v>0</v>
      </c>
      <c r="E21" s="24" t="str">
        <v>AWS RDS</v>
      </c>
      <c r="F21" s="25" t="str">
        <v>medium-gp-psql-redundant</v>
      </c>
      <c r="G21" s="25" t="str">
        <v>db.m5.large</v>
      </c>
      <c r="H21" s="25">
        <v>1</v>
      </c>
      <c r="I21" s="25">
        <v>20</v>
      </c>
      <c r="J21" s="26">
        <v>0</v>
      </c>
      <c r="K21" s="90">
        <f t="shared" si="0"/>
        <v>0</v>
      </c>
      <c r="M21" s="47" t="str">
        <v>AWS OpenSearch</v>
      </c>
      <c r="N21" s="48" t="str">
        <v>es-medium-ha</v>
      </c>
      <c r="O21" s="48" t="str">
        <v>c5.large.search</v>
      </c>
      <c r="P21" s="48">
        <v>7</v>
      </c>
      <c r="Q21" s="48">
        <v>48</v>
      </c>
      <c r="R21" s="38">
        <v>0</v>
      </c>
      <c r="S21" s="21">
        <f t="shared" si="1"/>
        <v>0</v>
      </c>
    </row>
    <row r="22" spans="1:25" ht="15.75" customHeight="1" x14ac:dyDescent="0.15">
      <c r="A22" s="119" t="s">
        <v>57</v>
      </c>
      <c r="B22" s="120">
        <f>SUM(S33:S37)</f>
        <v>0</v>
      </c>
      <c r="E22" s="18" t="str">
        <v>AWS RDS</v>
      </c>
      <c r="F22" s="19" t="str">
        <v>large-gp-psql</v>
      </c>
      <c r="G22" s="19" t="str">
        <v>db.m5.large</v>
      </c>
      <c r="H22" s="19">
        <v>1</v>
      </c>
      <c r="I22" s="19">
        <v>10</v>
      </c>
      <c r="J22" s="35">
        <v>0</v>
      </c>
      <c r="K22" s="90">
        <f t="shared" si="0"/>
        <v>0</v>
      </c>
      <c r="M22" s="24" t="str">
        <v>AWS OpenSearch</v>
      </c>
      <c r="N22" s="25" t="str">
        <v>es-large</v>
      </c>
      <c r="O22" s="25" t="str">
        <v>c5.xlarge.search</v>
      </c>
      <c r="P22" s="25">
        <v>5</v>
      </c>
      <c r="Q22" s="25">
        <v>69</v>
      </c>
      <c r="R22" s="38">
        <v>0</v>
      </c>
      <c r="S22" s="21">
        <f t="shared" si="1"/>
        <v>0</v>
      </c>
    </row>
    <row r="23" spans="1:25" ht="15.75" customHeight="1" x14ac:dyDescent="0.15">
      <c r="A23" s="122" t="s">
        <v>61</v>
      </c>
      <c r="B23" s="121">
        <f>SUM(Table_8[Credits])</f>
        <v>0</v>
      </c>
      <c r="E23" s="24" t="str">
        <v>AWS RDS</v>
      </c>
      <c r="F23" s="25" t="str">
        <v>large-gp-psql-redundant</v>
      </c>
      <c r="G23" s="25" t="str">
        <v>db.m5.large</v>
      </c>
      <c r="H23" s="25">
        <v>1</v>
      </c>
      <c r="I23" s="25">
        <v>20</v>
      </c>
      <c r="J23" s="26">
        <v>0</v>
      </c>
      <c r="K23" s="90">
        <f t="shared" si="0"/>
        <v>0</v>
      </c>
      <c r="M23" s="47" t="str">
        <v>AWS OpenSearch</v>
      </c>
      <c r="N23" s="48" t="str">
        <v>es-large-ha</v>
      </c>
      <c r="O23" s="48" t="str">
        <v>c5.xlarge.search</v>
      </c>
      <c r="P23" s="48">
        <v>7</v>
      </c>
      <c r="Q23" s="48">
        <v>96</v>
      </c>
      <c r="R23" s="38">
        <v>0</v>
      </c>
      <c r="S23" s="21">
        <f t="shared" si="1"/>
        <v>0</v>
      </c>
    </row>
    <row r="24" spans="1:25" ht="15.75" customHeight="1" x14ac:dyDescent="0.15">
      <c r="A24" s="124" t="s">
        <v>196</v>
      </c>
      <c r="B24" s="123">
        <f>$P$46</f>
        <v>0</v>
      </c>
      <c r="E24" s="18" t="str">
        <v>AWS RDS</v>
      </c>
      <c r="F24" s="19" t="str">
        <v>xlarge-gp-psql</v>
      </c>
      <c r="G24" s="19" t="str">
        <v>db.m5.xlarge</v>
      </c>
      <c r="H24" s="19">
        <v>1</v>
      </c>
      <c r="I24" s="19">
        <v>20</v>
      </c>
      <c r="J24" s="26">
        <v>0</v>
      </c>
      <c r="K24" s="90">
        <f t="shared" si="0"/>
        <v>0</v>
      </c>
      <c r="M24" s="24" t="str">
        <v>AWS OpenSearch</v>
      </c>
      <c r="N24" s="25" t="str">
        <v>es-xlarge</v>
      </c>
      <c r="O24" s="25" t="str">
        <v>c5.2xlarge.search</v>
      </c>
      <c r="P24" s="25">
        <v>5</v>
      </c>
      <c r="Q24" s="25">
        <v>137</v>
      </c>
      <c r="R24" s="38">
        <v>0</v>
      </c>
      <c r="S24" s="21">
        <f t="shared" si="1"/>
        <v>0</v>
      </c>
    </row>
    <row r="25" spans="1:25" ht="15.75" customHeight="1" x14ac:dyDescent="0.15">
      <c r="E25" s="24" t="str">
        <v>AWS RDS</v>
      </c>
      <c r="F25" s="25" t="str">
        <v>xlarge-gp-psql-redundant</v>
      </c>
      <c r="G25" s="25" t="str">
        <v>db.m5.xlarge</v>
      </c>
      <c r="H25" s="25">
        <v>1</v>
      </c>
      <c r="I25" s="25">
        <v>39</v>
      </c>
      <c r="J25" s="26">
        <v>0</v>
      </c>
      <c r="K25" s="90">
        <f t="shared" si="0"/>
        <v>0</v>
      </c>
      <c r="M25" s="47" t="str">
        <v>AWS OpenSearch</v>
      </c>
      <c r="N25" s="48" t="str">
        <v>es-xlarge-ha</v>
      </c>
      <c r="O25" s="48" t="str">
        <v>c5.2xlarge.search</v>
      </c>
      <c r="P25" s="48">
        <v>7</v>
      </c>
      <c r="Q25" s="48">
        <v>192</v>
      </c>
      <c r="R25" s="38">
        <v>0</v>
      </c>
      <c r="S25" s="21">
        <f t="shared" si="1"/>
        <v>0</v>
      </c>
    </row>
    <row r="26" spans="1:25" ht="15.75" customHeight="1" x14ac:dyDescent="0.15">
      <c r="E26" s="18" t="str">
        <v>AWS RDS</v>
      </c>
      <c r="F26" s="19" t="str">
        <v>2xlarge-gp-psql</v>
      </c>
      <c r="G26" s="19" t="str">
        <v>db.m5.2xlarge</v>
      </c>
      <c r="H26" s="19">
        <v>1</v>
      </c>
      <c r="I26" s="19">
        <v>39</v>
      </c>
      <c r="J26" s="26">
        <v>0</v>
      </c>
      <c r="K26" s="90">
        <f t="shared" si="0"/>
        <v>0</v>
      </c>
      <c r="M26" s="24" t="str">
        <v>AWS OpenSearch</v>
      </c>
      <c r="N26" s="25" t="str">
        <v>es-2xlarge-gp</v>
      </c>
      <c r="O26" s="25" t="str">
        <v>m5.2xlarge.search</v>
      </c>
      <c r="P26" s="25">
        <v>5</v>
      </c>
      <c r="Q26" s="25">
        <v>163</v>
      </c>
      <c r="R26" s="38">
        <v>0</v>
      </c>
      <c r="S26" s="21">
        <f t="shared" si="1"/>
        <v>0</v>
      </c>
    </row>
    <row r="27" spans="1:25" ht="15.75" customHeight="1" x14ac:dyDescent="0.15">
      <c r="A27" s="28" t="s">
        <v>174</v>
      </c>
      <c r="E27" s="24" t="str">
        <v>AWS RDS</v>
      </c>
      <c r="F27" s="25" t="str">
        <v>2xlarge-gp-psql-redundant</v>
      </c>
      <c r="G27" s="25" t="str">
        <v>db.m5.2xlarge</v>
      </c>
      <c r="H27" s="25">
        <v>1</v>
      </c>
      <c r="I27" s="25">
        <v>78</v>
      </c>
      <c r="J27" s="26">
        <v>0</v>
      </c>
      <c r="K27" s="90">
        <f t="shared" si="0"/>
        <v>0</v>
      </c>
      <c r="M27" s="47" t="str">
        <v>AWS OpenSearch</v>
      </c>
      <c r="N27" s="48" t="str">
        <v>es-2xlarge-gp-ha</v>
      </c>
      <c r="O27" s="48" t="str">
        <v>m5.2xlarge.search</v>
      </c>
      <c r="P27" s="48">
        <v>7</v>
      </c>
      <c r="Q27" s="48">
        <v>228</v>
      </c>
      <c r="R27" s="38">
        <v>0</v>
      </c>
      <c r="S27" s="21">
        <f t="shared" si="1"/>
        <v>0</v>
      </c>
    </row>
    <row r="28" spans="1:25" ht="15.75" customHeight="1" x14ac:dyDescent="0.15">
      <c r="A28" s="28" t="s">
        <v>74</v>
      </c>
      <c r="B28" s="28" t="s">
        <v>23</v>
      </c>
      <c r="E28" s="18" t="str">
        <v>AWS RDS</v>
      </c>
      <c r="F28" s="19" t="str">
        <v>xlarge-gp-psql-m6</v>
      </c>
      <c r="G28" s="19" t="str">
        <v>db.m6g.xlarge</v>
      </c>
      <c r="H28" s="19">
        <v>1</v>
      </c>
      <c r="I28" s="19">
        <v>17</v>
      </c>
      <c r="J28" s="26">
        <v>0</v>
      </c>
      <c r="K28" s="90">
        <f t="shared" si="0"/>
        <v>0</v>
      </c>
      <c r="M28" s="24" t="str">
        <v>AWS OpenSearch</v>
      </c>
      <c r="N28" s="25" t="str">
        <v>es-4xlarge-gp</v>
      </c>
      <c r="O28" s="25" t="str">
        <v>m5.4xlarge.search</v>
      </c>
      <c r="P28" s="25">
        <v>5</v>
      </c>
      <c r="Q28" s="25">
        <v>326</v>
      </c>
      <c r="R28" s="38">
        <v>0</v>
      </c>
      <c r="S28" s="21">
        <f t="shared" si="1"/>
        <v>0</v>
      </c>
    </row>
    <row r="29" spans="1:25" ht="15.75" customHeight="1" thickBot="1" x14ac:dyDescent="0.2">
      <c r="A29" s="18" t="str">
        <f t="array" ref="A29:B36">CloudGovNoCostServices</f>
        <v>External Domain</v>
      </c>
      <c r="B29" s="21" t="str">
        <v>cdn-route</v>
      </c>
      <c r="E29" s="24" t="str">
        <v>AWS RDS</v>
      </c>
      <c r="F29" s="25" t="str">
        <v>xlarge-gp-psql-m6-redundant</v>
      </c>
      <c r="G29" s="25" t="str">
        <v>db.m6g.xlarge</v>
      </c>
      <c r="H29" s="25">
        <v>1</v>
      </c>
      <c r="I29" s="25">
        <v>34</v>
      </c>
      <c r="J29" s="26">
        <v>0</v>
      </c>
      <c r="K29" s="90">
        <f t="shared" si="0"/>
        <v>0</v>
      </c>
      <c r="M29" s="39" t="str">
        <v>AWS OpenSearch</v>
      </c>
      <c r="N29" s="40" t="str">
        <v>es-4xlarge-gp-ha</v>
      </c>
      <c r="O29" s="40" t="str">
        <v>m5.4xlarge.search</v>
      </c>
      <c r="P29" s="40">
        <v>7</v>
      </c>
      <c r="Q29" s="40">
        <v>456</v>
      </c>
      <c r="R29" s="41">
        <v>0</v>
      </c>
      <c r="S29" s="91">
        <f t="shared" si="1"/>
        <v>0</v>
      </c>
      <c r="T29" s="92"/>
    </row>
    <row r="30" spans="1:25" ht="15.75" customHeight="1" x14ac:dyDescent="0.15">
      <c r="A30" s="24" t="str">
        <v>External Domain</v>
      </c>
      <c r="B30" s="27" t="str">
        <v>custom-domain</v>
      </c>
      <c r="E30" s="18" t="str">
        <v>AWS RDS</v>
      </c>
      <c r="F30" s="19" t="str">
        <v>micro-mysql</v>
      </c>
      <c r="G30" s="19" t="str">
        <v>db.t3.micro</v>
      </c>
      <c r="H30" s="19">
        <v>1</v>
      </c>
      <c r="I30" s="19">
        <v>1</v>
      </c>
      <c r="J30" s="43">
        <v>0</v>
      </c>
      <c r="K30" s="90">
        <f t="shared" si="0"/>
        <v>0</v>
      </c>
      <c r="R30" s="87"/>
      <c r="Y30" s="29"/>
    </row>
    <row r="31" spans="1:25" ht="15.75" customHeight="1" x14ac:dyDescent="0.15">
      <c r="A31" s="18" t="str">
        <v>External Domain</v>
      </c>
      <c r="B31" s="21" t="str">
        <v>domain</v>
      </c>
      <c r="E31" s="24" t="str">
        <v>AWS RDS</v>
      </c>
      <c r="F31" s="25" t="str">
        <v>micro-mysql-redundant</v>
      </c>
      <c r="G31" s="25" t="str">
        <v>db.t3.micro</v>
      </c>
      <c r="H31" s="25">
        <v>1</v>
      </c>
      <c r="I31" s="25">
        <v>2</v>
      </c>
      <c r="J31" s="26">
        <v>0</v>
      </c>
      <c r="K31" s="90">
        <f t="shared" si="0"/>
        <v>0</v>
      </c>
      <c r="M31" s="2" t="s">
        <v>90</v>
      </c>
      <c r="N31" s="87"/>
      <c r="O31" s="87"/>
      <c r="P31" s="87"/>
      <c r="Q31" s="87"/>
      <c r="R31" s="87"/>
    </row>
    <row r="32" spans="1:25" ht="15.75" customHeight="1" thickBot="1" x14ac:dyDescent="0.2">
      <c r="A32" s="24" t="str">
        <v>External Domain</v>
      </c>
      <c r="B32" s="27" t="str">
        <v>domain-with-cdn</v>
      </c>
      <c r="E32" s="18" t="str">
        <v>AWS RDS</v>
      </c>
      <c r="F32" s="19" t="str">
        <v>small-mysql</v>
      </c>
      <c r="G32" s="19" t="str">
        <v>db.t3.small</v>
      </c>
      <c r="H32" s="19">
        <v>1</v>
      </c>
      <c r="I32" s="19">
        <v>2</v>
      </c>
      <c r="J32" s="26">
        <v>0</v>
      </c>
      <c r="K32" s="90">
        <f t="shared" si="0"/>
        <v>0</v>
      </c>
      <c r="M32" s="46" t="s">
        <v>10</v>
      </c>
      <c r="N32" s="46" t="s">
        <v>23</v>
      </c>
      <c r="O32" s="46" t="s">
        <v>44</v>
      </c>
      <c r="P32" s="46" t="s">
        <v>26</v>
      </c>
      <c r="Q32" s="16" t="s">
        <v>179</v>
      </c>
      <c r="R32" s="46" t="s">
        <v>9</v>
      </c>
      <c r="S32" s="46" t="s">
        <v>1</v>
      </c>
    </row>
    <row r="33" spans="1:19" ht="15.75" customHeight="1" x14ac:dyDescent="0.15">
      <c r="A33" s="18" t="str">
        <v>UAA Service Account</v>
      </c>
      <c r="B33" s="21" t="str">
        <v>oauth-client</v>
      </c>
      <c r="E33" s="24" t="str">
        <v>AWS RDS</v>
      </c>
      <c r="F33" s="25" t="str">
        <v>small-mysql-redundant</v>
      </c>
      <c r="G33" s="25" t="str">
        <v>db.t3.small</v>
      </c>
      <c r="H33" s="25">
        <v>1</v>
      </c>
      <c r="I33" s="25">
        <v>4</v>
      </c>
      <c r="J33" s="26">
        <v>0</v>
      </c>
      <c r="K33" s="90">
        <f t="shared" si="0"/>
        <v>0</v>
      </c>
      <c r="M33" s="47" t="str" cm="1">
        <f t="array" ref="M33:Q37">AwsElasticCachePrices</f>
        <v>AWS ElastiCache</v>
      </c>
      <c r="N33" s="48" t="str">
        <v>redis-dev</v>
      </c>
      <c r="O33" s="48" t="str">
        <v>cache.t3.micro</v>
      </c>
      <c r="P33" s="48">
        <v>1</v>
      </c>
      <c r="Q33" s="88">
        <v>1</v>
      </c>
      <c r="R33" s="50">
        <v>0</v>
      </c>
      <c r="S33" s="21">
        <f>R33*Q33</f>
        <v>0</v>
      </c>
    </row>
    <row r="34" spans="1:19" ht="15.75" customHeight="1" x14ac:dyDescent="0.15">
      <c r="A34" s="24" t="str">
        <v>UAA Service Account</v>
      </c>
      <c r="B34" s="27" t="str">
        <v>space-auditor</v>
      </c>
      <c r="E34" s="18" t="str">
        <v>AWS RDS</v>
      </c>
      <c r="F34" s="19" t="str">
        <v>medium-mysql</v>
      </c>
      <c r="G34" s="19" t="str">
        <v>db.t3.medium</v>
      </c>
      <c r="H34" s="19">
        <v>1</v>
      </c>
      <c r="I34" s="19">
        <v>4</v>
      </c>
      <c r="J34" s="26">
        <v>0</v>
      </c>
      <c r="K34" s="90">
        <f t="shared" si="0"/>
        <v>0</v>
      </c>
      <c r="M34" s="24" t="str">
        <v>AWS ElastiCache</v>
      </c>
      <c r="N34" s="25" t="str">
        <v>redis-3node</v>
      </c>
      <c r="O34" s="25" t="str">
        <v>cache.t3.micro</v>
      </c>
      <c r="P34" s="25">
        <v>3</v>
      </c>
      <c r="Q34" s="88">
        <v>2</v>
      </c>
      <c r="R34" s="38">
        <v>0</v>
      </c>
      <c r="S34" s="21">
        <f t="shared" ref="S34:S37" si="2">R34*Q34</f>
        <v>0</v>
      </c>
    </row>
    <row r="35" spans="1:19" ht="15.75" customHeight="1" x14ac:dyDescent="0.15">
      <c r="A35" s="18" t="str">
        <v>UAA Service Account</v>
      </c>
      <c r="B35" s="21" t="str">
        <v>space-deployer</v>
      </c>
      <c r="E35" s="24" t="str">
        <v>AWS RDS</v>
      </c>
      <c r="F35" s="25" t="str">
        <v>medium-mysql-redundant</v>
      </c>
      <c r="G35" s="25" t="str">
        <v>db.t3.medium</v>
      </c>
      <c r="H35" s="25">
        <v>1</v>
      </c>
      <c r="I35" s="25">
        <v>7</v>
      </c>
      <c r="J35" s="35">
        <v>0</v>
      </c>
      <c r="K35" s="90">
        <f t="shared" si="0"/>
        <v>0</v>
      </c>
      <c r="M35" s="47" t="str">
        <v>AWS ElastiCache</v>
      </c>
      <c r="N35" s="48" t="str">
        <v>redis-5node</v>
      </c>
      <c r="O35" s="48" t="str">
        <v>cache.t3.micro</v>
      </c>
      <c r="P35" s="48">
        <v>5</v>
      </c>
      <c r="Q35" s="88">
        <v>4</v>
      </c>
      <c r="R35" s="38">
        <v>0</v>
      </c>
      <c r="S35" s="21">
        <f t="shared" si="2"/>
        <v>0</v>
      </c>
    </row>
    <row r="36" spans="1:19" ht="15.75" customHeight="1" x14ac:dyDescent="0.15">
      <c r="A36" s="24" t="str">
        <v>Autoscaler</v>
      </c>
      <c r="B36" s="27" t="str">
        <v>autoscaler-free-plan</v>
      </c>
      <c r="E36" s="18" t="str">
        <v>AWS RDS</v>
      </c>
      <c r="F36" s="19" t="str">
        <v>medium-gp-mysql</v>
      </c>
      <c r="G36" s="19" t="str">
        <v>db.m5.large</v>
      </c>
      <c r="H36" s="19">
        <v>1</v>
      </c>
      <c r="I36" s="19">
        <v>9</v>
      </c>
      <c r="J36" s="26">
        <v>0</v>
      </c>
      <c r="K36" s="90">
        <f t="shared" si="0"/>
        <v>0</v>
      </c>
      <c r="M36" s="24" t="str">
        <v>AWS ElastiCache</v>
      </c>
      <c r="N36" s="25" t="str">
        <v>redis-3node-large</v>
      </c>
      <c r="O36" s="25" t="str">
        <v>cache.t3.small</v>
      </c>
      <c r="P36" s="25">
        <v>3</v>
      </c>
      <c r="Q36" s="88">
        <v>5</v>
      </c>
      <c r="R36" s="38">
        <v>0</v>
      </c>
      <c r="S36" s="21">
        <f t="shared" si="2"/>
        <v>0</v>
      </c>
    </row>
    <row r="37" spans="1:19" ht="15.75" customHeight="1" x14ac:dyDescent="0.15">
      <c r="A37" s="44" t="s">
        <v>106</v>
      </c>
      <c r="B37" s="44"/>
      <c r="E37" s="24" t="str">
        <v>AWS RDS</v>
      </c>
      <c r="F37" s="25" t="str">
        <v>medium-gp-mysql-redundant</v>
      </c>
      <c r="G37" s="25" t="str">
        <v>db.m5.large</v>
      </c>
      <c r="H37" s="25">
        <v>1</v>
      </c>
      <c r="I37" s="25">
        <v>19</v>
      </c>
      <c r="J37" s="26">
        <v>0</v>
      </c>
      <c r="K37" s="90">
        <f t="shared" si="0"/>
        <v>0</v>
      </c>
      <c r="M37" s="39" t="str">
        <v>AWS ElastiCache</v>
      </c>
      <c r="N37" s="40" t="str">
        <v>redis-5node-large</v>
      </c>
      <c r="O37" s="40" t="str">
        <v>cache.t3.small</v>
      </c>
      <c r="P37" s="40">
        <v>5</v>
      </c>
      <c r="Q37" s="89">
        <v>8</v>
      </c>
      <c r="R37" s="45">
        <v>0</v>
      </c>
      <c r="S37" s="91">
        <f t="shared" si="2"/>
        <v>0</v>
      </c>
    </row>
    <row r="38" spans="1:19" ht="15.75" customHeight="1" x14ac:dyDescent="0.15">
      <c r="E38" s="18" t="str">
        <v>AWS RDS</v>
      </c>
      <c r="F38" s="19" t="str">
        <v>large-gp-mysql</v>
      </c>
      <c r="G38" s="19" t="str">
        <v>db.m5.large</v>
      </c>
      <c r="H38" s="19">
        <v>1</v>
      </c>
      <c r="I38" s="19">
        <v>9</v>
      </c>
      <c r="J38" s="26">
        <v>0</v>
      </c>
      <c r="K38" s="90">
        <f t="shared" si="0"/>
        <v>0</v>
      </c>
    </row>
    <row r="39" spans="1:19" ht="15.75" customHeight="1" x14ac:dyDescent="0.15">
      <c r="E39" s="24" t="str">
        <v>AWS RDS</v>
      </c>
      <c r="F39" s="25" t="str">
        <v>large-gp-mysql-redundant</v>
      </c>
      <c r="G39" s="25" t="str">
        <v>db.m5.large</v>
      </c>
      <c r="H39" s="25">
        <v>1</v>
      </c>
      <c r="I39" s="25">
        <v>19</v>
      </c>
      <c r="J39" s="26">
        <v>0</v>
      </c>
      <c r="K39" s="90">
        <f t="shared" si="0"/>
        <v>0</v>
      </c>
      <c r="M39" s="2" t="s">
        <v>114</v>
      </c>
    </row>
    <row r="40" spans="1:19" ht="15.75" customHeight="1" thickBot="1" x14ac:dyDescent="0.2">
      <c r="A40" s="102" t="s">
        <v>183</v>
      </c>
      <c r="B40" s="103" t="s">
        <v>184</v>
      </c>
      <c r="C40" s="104" t="s">
        <v>185</v>
      </c>
      <c r="E40" s="18" t="str">
        <v>AWS RDS</v>
      </c>
      <c r="F40" s="19" t="str">
        <v>xlarge-gp-mysql</v>
      </c>
      <c r="G40" s="19" t="str">
        <v>db.m5.xlarge</v>
      </c>
      <c r="H40" s="19">
        <v>1</v>
      </c>
      <c r="I40" s="19">
        <v>19</v>
      </c>
      <c r="J40" s="26">
        <v>0</v>
      </c>
      <c r="K40" s="90">
        <f t="shared" si="0"/>
        <v>0</v>
      </c>
      <c r="M40" s="46" t="s">
        <v>10</v>
      </c>
      <c r="N40" s="46" t="s">
        <v>11</v>
      </c>
      <c r="O40" s="46" t="s">
        <v>12</v>
      </c>
      <c r="P40" s="46" t="s">
        <v>13</v>
      </c>
      <c r="Q40" s="46" t="s">
        <v>177</v>
      </c>
      <c r="R40" s="46" t="s">
        <v>9</v>
      </c>
      <c r="S40" s="95" t="s">
        <v>1</v>
      </c>
    </row>
    <row r="41" spans="1:19" ht="15.75" customHeight="1" thickBot="1" x14ac:dyDescent="0.2">
      <c r="A41" s="105">
        <v>1</v>
      </c>
      <c r="B41" s="101">
        <v>45748</v>
      </c>
      <c r="C41" s="100" t="s">
        <v>189</v>
      </c>
      <c r="E41" s="24" t="str">
        <v>AWS RDS</v>
      </c>
      <c r="F41" s="25" t="str">
        <v>xlarge-gp-mysql-redundant</v>
      </c>
      <c r="G41" s="25" t="str">
        <v>db.m5.xlarge</v>
      </c>
      <c r="H41" s="25">
        <v>1</v>
      </c>
      <c r="I41" s="25">
        <v>37</v>
      </c>
      <c r="J41" s="26">
        <v>0</v>
      </c>
      <c r="K41" s="90">
        <f t="shared" si="0"/>
        <v>0</v>
      </c>
      <c r="M41" s="47" t="s">
        <v>117</v>
      </c>
      <c r="N41" s="48" t="s">
        <v>118</v>
      </c>
      <c r="O41" s="49" t="s">
        <v>119</v>
      </c>
      <c r="P41" s="48" t="s">
        <v>120</v>
      </c>
      <c r="Q41" s="88">
        <f>'AWS Service Prices'!K6*'AWS Service Prices'!M6</f>
        <v>150000</v>
      </c>
      <c r="R41" s="93">
        <v>0</v>
      </c>
      <c r="S41" s="97">
        <f>ROUNDUP(Table_8[[#This Row],[Quantity]]/Table_8[[#This Row],[Units/Credit]],0)</f>
        <v>0</v>
      </c>
    </row>
    <row r="42" spans="1:19" ht="15.75" customHeight="1" thickBot="1" x14ac:dyDescent="0.2">
      <c r="A42" s="105">
        <v>1.1000000000000001</v>
      </c>
      <c r="B42" s="101">
        <v>45749</v>
      </c>
      <c r="C42" s="100" t="s">
        <v>186</v>
      </c>
      <c r="E42" s="18" t="str">
        <v>AWS RDS</v>
      </c>
      <c r="F42" s="19" t="str">
        <v>medium-oracle-se2</v>
      </c>
      <c r="G42" s="19" t="str">
        <v>db.t3.medium</v>
      </c>
      <c r="H42" s="19">
        <v>1</v>
      </c>
      <c r="I42" s="19">
        <v>7</v>
      </c>
      <c r="J42" s="26">
        <v>0</v>
      </c>
      <c r="K42" s="90">
        <f t="shared" si="0"/>
        <v>0</v>
      </c>
      <c r="M42" s="51" t="s">
        <v>117</v>
      </c>
      <c r="N42" s="52" t="s">
        <v>122</v>
      </c>
      <c r="O42" s="53" t="s">
        <v>123</v>
      </c>
      <c r="P42" s="52" t="s">
        <v>124</v>
      </c>
      <c r="Q42" s="88">
        <f>'AWS Service Prices'!K7*'AWS Service Prices'!M7</f>
        <v>120</v>
      </c>
      <c r="R42" s="94">
        <v>0</v>
      </c>
      <c r="S42" s="96">
        <f>ROUNDUP(Table_8[[#This Row],[Quantity]]/Table_8[[#This Row],[Units/Credit]],0)</f>
        <v>0</v>
      </c>
    </row>
    <row r="43" spans="1:19" ht="15.75" customHeight="1" thickBot="1" x14ac:dyDescent="0.2">
      <c r="A43" s="105"/>
      <c r="C43" s="100" t="s">
        <v>187</v>
      </c>
      <c r="E43" s="54" t="str">
        <v>AWS RDS</v>
      </c>
      <c r="F43" s="55" t="str">
        <v>large-gp-sqlserver-se</v>
      </c>
      <c r="G43" s="55" t="str">
        <v>db.m5.large</v>
      </c>
      <c r="H43" s="55">
        <v>1</v>
      </c>
      <c r="I43" s="55">
        <v>46</v>
      </c>
      <c r="J43" s="56">
        <v>0</v>
      </c>
      <c r="K43" s="99">
        <f t="shared" si="0"/>
        <v>0</v>
      </c>
      <c r="Q43" s="98"/>
    </row>
    <row r="44" spans="1:19" ht="15.75" customHeight="1" x14ac:dyDescent="0.15">
      <c r="A44" s="105"/>
      <c r="C44" s="100" t="s">
        <v>188</v>
      </c>
      <c r="J44" s="4"/>
      <c r="M44" s="2" t="s">
        <v>195</v>
      </c>
      <c r="N44" s="108"/>
      <c r="O44" s="108"/>
      <c r="P44" s="108"/>
      <c r="Q44" s="108"/>
      <c r="R44" s="108"/>
      <c r="S44" s="108"/>
    </row>
    <row r="45" spans="1:19" ht="15.75" customHeight="1" x14ac:dyDescent="0.15">
      <c r="A45" s="105">
        <v>1.2</v>
      </c>
      <c r="B45" s="101">
        <v>45756</v>
      </c>
      <c r="C45" s="106" t="s">
        <v>190</v>
      </c>
      <c r="J45" s="4"/>
      <c r="M45" s="95" t="s">
        <v>10</v>
      </c>
      <c r="N45" s="95" t="s">
        <v>23</v>
      </c>
      <c r="O45" s="95" t="s">
        <v>179</v>
      </c>
      <c r="P45" s="95" t="s">
        <v>9</v>
      </c>
      <c r="Q45" s="112" t="s">
        <v>1</v>
      </c>
      <c r="R45" s="109"/>
      <c r="S45" s="109"/>
    </row>
    <row r="46" spans="1:19" ht="15.75" customHeight="1" x14ac:dyDescent="0.15">
      <c r="A46" s="105">
        <v>1.3</v>
      </c>
      <c r="B46" s="101">
        <v>45757</v>
      </c>
      <c r="C46" s="106" t="s">
        <v>191</v>
      </c>
      <c r="J46" s="4"/>
      <c r="M46" s="116" t="s">
        <v>196</v>
      </c>
      <c r="N46" s="114" t="s">
        <v>197</v>
      </c>
      <c r="O46" s="115">
        <v>1</v>
      </c>
      <c r="P46" s="114">
        <v>0</v>
      </c>
      <c r="Q46" s="117">
        <f>O46*P46</f>
        <v>0</v>
      </c>
      <c r="R46" s="110"/>
      <c r="S46" s="110"/>
    </row>
    <row r="47" spans="1:19" ht="15.75" customHeight="1" x14ac:dyDescent="0.15">
      <c r="A47" s="105">
        <v>1.4</v>
      </c>
      <c r="B47" s="101">
        <v>45775</v>
      </c>
      <c r="C47" s="106" t="s">
        <v>193</v>
      </c>
      <c r="J47" s="4"/>
      <c r="M47" s="88"/>
      <c r="N47" s="88"/>
      <c r="O47" s="113"/>
      <c r="P47" s="88"/>
      <c r="Q47" s="88"/>
      <c r="R47" s="111"/>
      <c r="S47" s="110"/>
    </row>
    <row r="48" spans="1:19" ht="15.75" customHeight="1" x14ac:dyDescent="0.15">
      <c r="A48" s="105"/>
      <c r="C48" s="106" t="s">
        <v>194</v>
      </c>
      <c r="J48" s="4"/>
    </row>
    <row r="49" spans="1:10" ht="15.75" customHeight="1" x14ac:dyDescent="0.15">
      <c r="A49" s="105">
        <v>1.5</v>
      </c>
      <c r="B49" s="101">
        <v>45840</v>
      </c>
      <c r="C49" s="106" t="s">
        <v>198</v>
      </c>
      <c r="J49" s="4"/>
    </row>
    <row r="50" spans="1:10" ht="15.75" customHeight="1" x14ac:dyDescent="0.15">
      <c r="A50" s="105"/>
      <c r="J50" s="4"/>
    </row>
    <row r="51" spans="1:10" ht="15.75" customHeight="1" x14ac:dyDescent="0.15">
      <c r="J51" s="4"/>
    </row>
    <row r="52" spans="1:10" ht="15.75" customHeight="1" x14ac:dyDescent="0.15">
      <c r="J52" s="4"/>
    </row>
    <row r="53" spans="1:10" ht="15.75" customHeight="1" x14ac:dyDescent="0.15">
      <c r="J53" s="4"/>
    </row>
    <row r="54" spans="1:10" ht="15.75" customHeight="1" x14ac:dyDescent="0.15">
      <c r="J54" s="4"/>
    </row>
    <row r="55" spans="1:10" ht="15.75" customHeight="1" x14ac:dyDescent="0.15">
      <c r="J55" s="4"/>
    </row>
    <row r="56" spans="1:10" ht="15.75" customHeight="1" x14ac:dyDescent="0.15">
      <c r="J56" s="4"/>
    </row>
    <row r="57" spans="1:10" ht="15.75" customHeight="1" x14ac:dyDescent="0.15">
      <c r="J57" s="4"/>
    </row>
    <row r="58" spans="1:10" ht="15.75" customHeight="1" x14ac:dyDescent="0.15">
      <c r="J58" s="4"/>
    </row>
    <row r="59" spans="1:10" ht="15.75" customHeight="1" x14ac:dyDescent="0.15">
      <c r="J59" s="4"/>
    </row>
    <row r="60" spans="1:10" ht="15.75" customHeight="1" x14ac:dyDescent="0.15">
      <c r="J60" s="4"/>
    </row>
    <row r="61" spans="1:10" ht="15.75" customHeight="1" x14ac:dyDescent="0.15">
      <c r="J61" s="4"/>
    </row>
    <row r="62" spans="1:10" ht="15.75" customHeight="1" x14ac:dyDescent="0.15">
      <c r="J62" s="4"/>
    </row>
    <row r="63" spans="1:10" ht="15.75" customHeight="1" x14ac:dyDescent="0.15">
      <c r="J63" s="4"/>
    </row>
    <row r="64" spans="1:10" ht="15.75" customHeight="1" x14ac:dyDescent="0.15">
      <c r="J64" s="4"/>
    </row>
    <row r="65" spans="10:10" ht="15.75" customHeight="1" x14ac:dyDescent="0.15">
      <c r="J65" s="4"/>
    </row>
    <row r="66" spans="10:10" ht="15.75" customHeight="1" x14ac:dyDescent="0.15">
      <c r="J66" s="4"/>
    </row>
    <row r="67" spans="10:10" ht="15.75" customHeight="1" x14ac:dyDescent="0.15">
      <c r="J67" s="4"/>
    </row>
    <row r="68" spans="10:10" ht="15.75" customHeight="1" x14ac:dyDescent="0.15">
      <c r="J68" s="4"/>
    </row>
    <row r="69" spans="10:10" ht="15.75" customHeight="1" x14ac:dyDescent="0.15">
      <c r="J69" s="4"/>
    </row>
    <row r="70" spans="10:10" ht="15.75" customHeight="1" x14ac:dyDescent="0.15">
      <c r="J70" s="4"/>
    </row>
    <row r="71" spans="10:10" ht="15.75" customHeight="1" x14ac:dyDescent="0.15">
      <c r="J71" s="4"/>
    </row>
    <row r="72" spans="10:10" ht="15.75" customHeight="1" x14ac:dyDescent="0.15">
      <c r="J72" s="4"/>
    </row>
    <row r="73" spans="10:10" ht="15.75" customHeight="1" x14ac:dyDescent="0.15">
      <c r="J73" s="4"/>
    </row>
    <row r="74" spans="10:10" ht="15.75" customHeight="1" x14ac:dyDescent="0.15">
      <c r="J74" s="4"/>
    </row>
    <row r="75" spans="10:10" ht="15.75" customHeight="1" x14ac:dyDescent="0.15">
      <c r="J75" s="4"/>
    </row>
    <row r="76" spans="10:10" ht="15.75" customHeight="1" x14ac:dyDescent="0.15">
      <c r="J76" s="4"/>
    </row>
    <row r="77" spans="10:10" ht="15.75" customHeight="1" x14ac:dyDescent="0.15">
      <c r="J77" s="4"/>
    </row>
    <row r="78" spans="10:10" ht="15.75" customHeight="1" x14ac:dyDescent="0.15">
      <c r="J78" s="4"/>
    </row>
    <row r="79" spans="10:10" ht="15.75" customHeight="1" x14ac:dyDescent="0.15"/>
    <row r="80" spans="10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F1"/>
  </mergeCells>
  <conditionalFormatting sqref="B10 J14:J43 B15">
    <cfRule type="cellIs" dxfId="30" priority="21" operator="notEqual">
      <formula>0</formula>
    </cfRule>
  </conditionalFormatting>
  <conditionalFormatting sqref="F10">
    <cfRule type="expression" dxfId="29" priority="10">
      <formula>$J$10&gt;0</formula>
    </cfRule>
  </conditionalFormatting>
  <conditionalFormatting sqref="F14:F43">
    <cfRule type="expression" dxfId="28" priority="11">
      <formula>$J14&gt;0</formula>
    </cfRule>
  </conditionalFormatting>
  <conditionalFormatting sqref="J10">
    <cfRule type="cellIs" dxfId="27" priority="12" operator="notEqual">
      <formula>0</formula>
    </cfRule>
  </conditionalFormatting>
  <conditionalFormatting sqref="N10">
    <cfRule type="expression" dxfId="26" priority="8">
      <formula>$R10&gt;0</formula>
    </cfRule>
  </conditionalFormatting>
  <conditionalFormatting sqref="N15">
    <cfRule type="expression" dxfId="25" priority="9">
      <formula>$R15&gt;0</formula>
    </cfRule>
  </conditionalFormatting>
  <conditionalFormatting sqref="N19:N29">
    <cfRule type="expression" dxfId="24" priority="7">
      <formula>$R19&gt;0</formula>
    </cfRule>
  </conditionalFormatting>
  <conditionalFormatting sqref="N33:N37">
    <cfRule type="expression" dxfId="23" priority="1">
      <formula>$R33&gt;0</formula>
    </cfRule>
  </conditionalFormatting>
  <conditionalFormatting sqref="N41:N42">
    <cfRule type="expression" dxfId="22" priority="5">
      <formula>$R41&gt;0</formula>
    </cfRule>
  </conditionalFormatting>
  <conditionalFormatting sqref="N46">
    <cfRule type="expression" dxfId="21" priority="3">
      <formula>$P$46&gt;0</formula>
    </cfRule>
  </conditionalFormatting>
  <conditionalFormatting sqref="P46">
    <cfRule type="cellIs" dxfId="20" priority="2" operator="notEqual">
      <formula>0</formula>
    </cfRule>
  </conditionalFormatting>
  <conditionalFormatting sqref="R10">
    <cfRule type="cellIs" dxfId="19" priority="14" operator="notEqual">
      <formula>0</formula>
    </cfRule>
  </conditionalFormatting>
  <conditionalFormatting sqref="R15">
    <cfRule type="cellIs" dxfId="18" priority="13" operator="notEqual">
      <formula>0</formula>
    </cfRule>
  </conditionalFormatting>
  <conditionalFormatting sqref="R19:R29">
    <cfRule type="cellIs" dxfId="17" priority="16" operator="notEqual">
      <formula>0</formula>
    </cfRule>
  </conditionalFormatting>
  <conditionalFormatting sqref="R33:R37">
    <cfRule type="cellIs" dxfId="16" priority="15" operator="notEqual">
      <formula>0</formula>
    </cfRule>
  </conditionalFormatting>
  <conditionalFormatting sqref="R41:R42">
    <cfRule type="cellIs" dxfId="15" priority="18" operator="notEqual">
      <formula>0</formula>
    </cfRule>
  </conditionalFormatting>
  <conditionalFormatting sqref="R46:R47">
    <cfRule type="cellIs" dxfId="14" priority="4" operator="notEqual">
      <formula>0</formula>
    </cfRule>
  </conditionalFormatting>
  <pageMargins left="0.7" right="0.7" top="0.75" bottom="0.75" header="0" footer="0"/>
  <pageSetup orientation="landscape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activeCell="E29" sqref="E29"/>
    </sheetView>
  </sheetViews>
  <sheetFormatPr baseColWidth="10" defaultColWidth="12.6640625" defaultRowHeight="15" customHeight="1" x14ac:dyDescent="0.15"/>
  <cols>
    <col min="1" max="1" width="18.5" customWidth="1"/>
    <col min="2" max="6" width="12.6640625" customWidth="1"/>
  </cols>
  <sheetData>
    <row r="1" spans="1:8" ht="15.75" customHeight="1" x14ac:dyDescent="0.15">
      <c r="A1" s="57" t="s">
        <v>126</v>
      </c>
      <c r="B1" s="4"/>
      <c r="D1" s="4"/>
      <c r="E1" s="4"/>
      <c r="F1" s="4"/>
      <c r="G1" s="4"/>
      <c r="H1" s="4"/>
    </row>
    <row r="2" spans="1:8" ht="15.75" customHeight="1" x14ac:dyDescent="0.15">
      <c r="A2" s="58" t="s">
        <v>127</v>
      </c>
      <c r="B2" s="58" t="s">
        <v>128</v>
      </c>
      <c r="D2" s="4"/>
      <c r="E2" s="4"/>
      <c r="F2" s="4"/>
      <c r="G2" s="4"/>
      <c r="H2" s="4"/>
    </row>
    <row r="3" spans="1:8" ht="15.75" customHeight="1" x14ac:dyDescent="0.15">
      <c r="A3" s="59" t="s">
        <v>129</v>
      </c>
      <c r="B3" s="60">
        <v>3</v>
      </c>
      <c r="D3" s="4"/>
      <c r="E3" s="4"/>
      <c r="F3" s="4"/>
      <c r="G3" s="4"/>
      <c r="H3" s="4"/>
    </row>
    <row r="4" spans="1:8" ht="15.75" customHeight="1" x14ac:dyDescent="0.15">
      <c r="A4" s="61" t="s">
        <v>130</v>
      </c>
      <c r="B4" s="62">
        <v>50</v>
      </c>
      <c r="D4" s="4"/>
      <c r="E4" s="4"/>
      <c r="F4" s="4"/>
      <c r="G4" s="4"/>
      <c r="H4" s="4"/>
    </row>
    <row r="5" spans="1:8" ht="15.75" customHeight="1" x14ac:dyDescent="0.15">
      <c r="A5" s="59" t="s">
        <v>131</v>
      </c>
      <c r="B5" s="60">
        <v>1</v>
      </c>
      <c r="D5" s="4"/>
      <c r="E5" s="4"/>
      <c r="F5" s="4"/>
      <c r="G5" s="4"/>
      <c r="H5" s="4"/>
    </row>
    <row r="6" spans="1:8" ht="15.75" customHeight="1" x14ac:dyDescent="0.15">
      <c r="A6" s="61" t="s">
        <v>132</v>
      </c>
      <c r="B6" s="63">
        <v>0</v>
      </c>
      <c r="D6" s="4"/>
      <c r="E6" s="4"/>
      <c r="F6" s="4"/>
      <c r="G6" s="4"/>
      <c r="H6" s="4"/>
    </row>
    <row r="7" spans="1:8" ht="15.75" customHeight="1" x14ac:dyDescent="0.15">
      <c r="A7" s="4"/>
      <c r="B7" s="4"/>
      <c r="C7" s="4"/>
      <c r="D7" s="4"/>
      <c r="E7" s="4"/>
      <c r="F7" s="4"/>
      <c r="G7" s="4"/>
      <c r="H7" s="4"/>
    </row>
    <row r="8" spans="1:8" ht="15.75" customHeight="1" x14ac:dyDescent="0.15">
      <c r="A8" s="4"/>
      <c r="B8" s="4"/>
      <c r="C8" s="4"/>
      <c r="D8" s="4"/>
      <c r="E8" s="4"/>
      <c r="F8" s="4"/>
      <c r="G8" s="4"/>
      <c r="H8" s="4"/>
    </row>
    <row r="9" spans="1:8" ht="15.75" customHeight="1" x14ac:dyDescent="0.15">
      <c r="A9" s="64" t="s">
        <v>133</v>
      </c>
      <c r="B9" s="65"/>
      <c r="C9" s="65"/>
      <c r="D9" s="65"/>
      <c r="E9" s="65"/>
      <c r="F9" s="65"/>
      <c r="G9" s="65"/>
      <c r="H9" s="65"/>
    </row>
    <row r="10" spans="1:8" ht="15.75" customHeight="1" x14ac:dyDescent="0.15">
      <c r="A10" s="66" t="s">
        <v>134</v>
      </c>
      <c r="B10" s="66" t="s">
        <v>1</v>
      </c>
      <c r="C10" s="66" t="s">
        <v>135</v>
      </c>
      <c r="D10" s="66" t="s">
        <v>136</v>
      </c>
      <c r="E10" s="66" t="s">
        <v>137</v>
      </c>
      <c r="F10" s="66" t="s">
        <v>138</v>
      </c>
      <c r="G10" s="66" t="s">
        <v>139</v>
      </c>
      <c r="H10" s="66" t="s">
        <v>140</v>
      </c>
    </row>
    <row r="11" spans="1:8" ht="15.75" customHeight="1" x14ac:dyDescent="0.15">
      <c r="A11" s="59" t="s">
        <v>141</v>
      </c>
      <c r="B11" s="60">
        <v>50</v>
      </c>
      <c r="C11" s="67">
        <v>0</v>
      </c>
      <c r="D11" s="68">
        <f t="shared" ref="D11:D27" si="0">B11*$B$4</f>
        <v>2500</v>
      </c>
      <c r="E11" s="69">
        <v>1</v>
      </c>
      <c r="F11" s="59" t="s">
        <v>141</v>
      </c>
      <c r="G11" s="68">
        <f>D11*12</f>
        <v>30000</v>
      </c>
      <c r="H11" s="68">
        <f t="shared" ref="H11:H28" si="1">G11*(1-C11)</f>
        <v>30000</v>
      </c>
    </row>
    <row r="12" spans="1:8" ht="15.75" customHeight="1" x14ac:dyDescent="0.15">
      <c r="A12" s="61" t="s">
        <v>142</v>
      </c>
      <c r="B12" s="60">
        <v>100</v>
      </c>
      <c r="C12" s="67">
        <v>0</v>
      </c>
      <c r="D12" s="70">
        <f t="shared" si="0"/>
        <v>5000</v>
      </c>
      <c r="E12" s="71">
        <v>2</v>
      </c>
      <c r="F12" s="61" t="s">
        <v>142</v>
      </c>
      <c r="G12" s="70">
        <f t="shared" ref="G12:G27" si="2">B12*$B$4*12</f>
        <v>60000</v>
      </c>
      <c r="H12" s="70">
        <f t="shared" si="1"/>
        <v>60000</v>
      </c>
    </row>
    <row r="13" spans="1:8" ht="15.75" customHeight="1" x14ac:dyDescent="0.15">
      <c r="A13" s="59" t="s">
        <v>143</v>
      </c>
      <c r="B13" s="60">
        <v>150</v>
      </c>
      <c r="C13" s="67">
        <v>0</v>
      </c>
      <c r="D13" s="68">
        <f t="shared" si="0"/>
        <v>7500</v>
      </c>
      <c r="E13" s="69">
        <v>3</v>
      </c>
      <c r="F13" s="59" t="s">
        <v>143</v>
      </c>
      <c r="G13" s="68">
        <f t="shared" si="2"/>
        <v>90000</v>
      </c>
      <c r="H13" s="68">
        <f t="shared" si="1"/>
        <v>90000</v>
      </c>
    </row>
    <row r="14" spans="1:8" ht="15.75" customHeight="1" x14ac:dyDescent="0.15">
      <c r="A14" s="61" t="s">
        <v>144</v>
      </c>
      <c r="B14" s="60">
        <v>250</v>
      </c>
      <c r="C14" s="67">
        <v>0</v>
      </c>
      <c r="D14" s="70">
        <f t="shared" si="0"/>
        <v>12500</v>
      </c>
      <c r="E14" s="71">
        <v>4</v>
      </c>
      <c r="F14" s="61" t="s">
        <v>144</v>
      </c>
      <c r="G14" s="70">
        <f t="shared" si="2"/>
        <v>150000</v>
      </c>
      <c r="H14" s="70">
        <f t="shared" si="1"/>
        <v>150000</v>
      </c>
    </row>
    <row r="15" spans="1:8" ht="15.75" customHeight="1" x14ac:dyDescent="0.15">
      <c r="A15" s="59" t="s">
        <v>145</v>
      </c>
      <c r="B15" s="60">
        <v>350</v>
      </c>
      <c r="C15" s="67">
        <v>0</v>
      </c>
      <c r="D15" s="68">
        <f t="shared" si="0"/>
        <v>17500</v>
      </c>
      <c r="E15" s="69">
        <v>5</v>
      </c>
      <c r="F15" s="59" t="s">
        <v>145</v>
      </c>
      <c r="G15" s="68">
        <f t="shared" si="2"/>
        <v>210000</v>
      </c>
      <c r="H15" s="68">
        <f t="shared" si="1"/>
        <v>210000</v>
      </c>
    </row>
    <row r="16" spans="1:8" ht="15.75" customHeight="1" x14ac:dyDescent="0.15">
      <c r="A16" s="61" t="s">
        <v>146</v>
      </c>
      <c r="B16" s="60">
        <v>500</v>
      </c>
      <c r="C16" s="67">
        <v>0</v>
      </c>
      <c r="D16" s="70">
        <f t="shared" si="0"/>
        <v>25000</v>
      </c>
      <c r="E16" s="71">
        <v>6</v>
      </c>
      <c r="F16" s="61" t="s">
        <v>146</v>
      </c>
      <c r="G16" s="70">
        <f t="shared" si="2"/>
        <v>300000</v>
      </c>
      <c r="H16" s="70">
        <f t="shared" si="1"/>
        <v>300000</v>
      </c>
    </row>
    <row r="17" spans="1:8" ht="15.75" customHeight="1" x14ac:dyDescent="0.15">
      <c r="A17" s="59" t="s">
        <v>147</v>
      </c>
      <c r="B17" s="60">
        <v>650</v>
      </c>
      <c r="C17" s="67">
        <v>0</v>
      </c>
      <c r="D17" s="68">
        <f t="shared" si="0"/>
        <v>32500</v>
      </c>
      <c r="E17" s="69">
        <v>7</v>
      </c>
      <c r="F17" s="59" t="s">
        <v>147</v>
      </c>
      <c r="G17" s="68">
        <f t="shared" si="2"/>
        <v>390000</v>
      </c>
      <c r="H17" s="68">
        <f t="shared" si="1"/>
        <v>390000</v>
      </c>
    </row>
    <row r="18" spans="1:8" ht="15.75" customHeight="1" x14ac:dyDescent="0.15">
      <c r="A18" s="61" t="s">
        <v>148</v>
      </c>
      <c r="B18" s="60">
        <v>800</v>
      </c>
      <c r="C18" s="67">
        <v>0.05</v>
      </c>
      <c r="D18" s="70">
        <f t="shared" si="0"/>
        <v>40000</v>
      </c>
      <c r="E18" s="71">
        <v>8</v>
      </c>
      <c r="F18" s="61" t="s">
        <v>148</v>
      </c>
      <c r="G18" s="70">
        <f t="shared" si="2"/>
        <v>480000</v>
      </c>
      <c r="H18" s="70">
        <f t="shared" si="1"/>
        <v>456000</v>
      </c>
    </row>
    <row r="19" spans="1:8" ht="15.75" customHeight="1" x14ac:dyDescent="0.15">
      <c r="A19" s="59" t="s">
        <v>149</v>
      </c>
      <c r="B19" s="60">
        <v>1000</v>
      </c>
      <c r="C19" s="67">
        <v>0.1</v>
      </c>
      <c r="D19" s="68">
        <f t="shared" si="0"/>
        <v>50000</v>
      </c>
      <c r="E19" s="69">
        <v>9</v>
      </c>
      <c r="F19" s="59" t="s">
        <v>149</v>
      </c>
      <c r="G19" s="68">
        <f t="shared" si="2"/>
        <v>600000</v>
      </c>
      <c r="H19" s="68">
        <f t="shared" si="1"/>
        <v>540000</v>
      </c>
    </row>
    <row r="20" spans="1:8" ht="15.75" customHeight="1" x14ac:dyDescent="0.15">
      <c r="A20" s="61" t="s">
        <v>150</v>
      </c>
      <c r="B20" s="60">
        <v>1250</v>
      </c>
      <c r="C20" s="67">
        <v>0.15</v>
      </c>
      <c r="D20" s="70">
        <f t="shared" si="0"/>
        <v>62500</v>
      </c>
      <c r="E20" s="71">
        <v>10</v>
      </c>
      <c r="F20" s="61" t="s">
        <v>150</v>
      </c>
      <c r="G20" s="70">
        <f t="shared" si="2"/>
        <v>750000</v>
      </c>
      <c r="H20" s="70">
        <f t="shared" si="1"/>
        <v>637500</v>
      </c>
    </row>
    <row r="21" spans="1:8" ht="15.75" customHeight="1" x14ac:dyDescent="0.15">
      <c r="A21" s="59" t="s">
        <v>151</v>
      </c>
      <c r="B21" s="60">
        <v>1500</v>
      </c>
      <c r="C21" s="67">
        <v>0.2</v>
      </c>
      <c r="D21" s="68">
        <f t="shared" si="0"/>
        <v>75000</v>
      </c>
      <c r="E21" s="69">
        <v>11</v>
      </c>
      <c r="F21" s="59" t="s">
        <v>151</v>
      </c>
      <c r="G21" s="68">
        <f t="shared" si="2"/>
        <v>900000</v>
      </c>
      <c r="H21" s="68">
        <f t="shared" si="1"/>
        <v>720000</v>
      </c>
    </row>
    <row r="22" spans="1:8" ht="15.75" customHeight="1" x14ac:dyDescent="0.15">
      <c r="A22" s="61" t="s">
        <v>152</v>
      </c>
      <c r="B22" s="60">
        <v>2000</v>
      </c>
      <c r="C22" s="67">
        <v>0.22</v>
      </c>
      <c r="D22" s="70">
        <f t="shared" si="0"/>
        <v>100000</v>
      </c>
      <c r="E22" s="71">
        <v>12</v>
      </c>
      <c r="F22" s="61" t="s">
        <v>152</v>
      </c>
      <c r="G22" s="70">
        <f t="shared" si="2"/>
        <v>1200000</v>
      </c>
      <c r="H22" s="70">
        <f t="shared" si="1"/>
        <v>936000</v>
      </c>
    </row>
    <row r="23" spans="1:8" ht="15.75" customHeight="1" x14ac:dyDescent="0.15">
      <c r="A23" s="59" t="s">
        <v>153</v>
      </c>
      <c r="B23" s="60">
        <v>3000</v>
      </c>
      <c r="C23" s="67">
        <v>0.24</v>
      </c>
      <c r="D23" s="68">
        <f t="shared" si="0"/>
        <v>150000</v>
      </c>
      <c r="E23" s="69">
        <v>13</v>
      </c>
      <c r="F23" s="59" t="s">
        <v>153</v>
      </c>
      <c r="G23" s="68">
        <f t="shared" si="2"/>
        <v>1800000</v>
      </c>
      <c r="H23" s="68">
        <f t="shared" si="1"/>
        <v>1368000</v>
      </c>
    </row>
    <row r="24" spans="1:8" ht="15.75" customHeight="1" x14ac:dyDescent="0.15">
      <c r="A24" s="61" t="s">
        <v>154</v>
      </c>
      <c r="B24" s="60">
        <v>4000</v>
      </c>
      <c r="C24" s="67">
        <v>0.25</v>
      </c>
      <c r="D24" s="70">
        <f t="shared" si="0"/>
        <v>200000</v>
      </c>
      <c r="E24" s="71">
        <v>14</v>
      </c>
      <c r="F24" s="61" t="s">
        <v>154</v>
      </c>
      <c r="G24" s="70">
        <f t="shared" si="2"/>
        <v>2400000</v>
      </c>
      <c r="H24" s="70">
        <f t="shared" si="1"/>
        <v>1800000</v>
      </c>
    </row>
    <row r="25" spans="1:8" ht="15.75" customHeight="1" x14ac:dyDescent="0.15">
      <c r="A25" s="59" t="s">
        <v>155</v>
      </c>
      <c r="B25" s="60">
        <v>5000</v>
      </c>
      <c r="C25" s="67">
        <v>0.25</v>
      </c>
      <c r="D25" s="68">
        <f t="shared" si="0"/>
        <v>250000</v>
      </c>
      <c r="E25" s="69">
        <v>15</v>
      </c>
      <c r="F25" s="59" t="s">
        <v>155</v>
      </c>
      <c r="G25" s="68">
        <f t="shared" si="2"/>
        <v>3000000</v>
      </c>
      <c r="H25" s="68">
        <f t="shared" si="1"/>
        <v>2250000</v>
      </c>
    </row>
    <row r="26" spans="1:8" ht="15.75" customHeight="1" x14ac:dyDescent="0.15">
      <c r="A26" s="61" t="s">
        <v>156</v>
      </c>
      <c r="B26" s="60">
        <v>6000</v>
      </c>
      <c r="C26" s="67">
        <v>0.25</v>
      </c>
      <c r="D26" s="70">
        <f t="shared" si="0"/>
        <v>300000</v>
      </c>
      <c r="E26" s="71">
        <v>16</v>
      </c>
      <c r="F26" s="61" t="s">
        <v>156</v>
      </c>
      <c r="G26" s="70">
        <f t="shared" si="2"/>
        <v>3600000</v>
      </c>
      <c r="H26" s="70">
        <f t="shared" si="1"/>
        <v>2700000</v>
      </c>
    </row>
    <row r="27" spans="1:8" ht="15.75" customHeight="1" x14ac:dyDescent="0.15">
      <c r="A27" s="59" t="s">
        <v>157</v>
      </c>
      <c r="B27" s="60">
        <v>7000</v>
      </c>
      <c r="C27" s="67">
        <v>0.25</v>
      </c>
      <c r="D27" s="68">
        <f t="shared" si="0"/>
        <v>350000</v>
      </c>
      <c r="E27" s="69">
        <v>17</v>
      </c>
      <c r="F27" s="59" t="s">
        <v>157</v>
      </c>
      <c r="G27" s="68">
        <f t="shared" si="2"/>
        <v>4200000</v>
      </c>
      <c r="H27" s="68">
        <f t="shared" si="1"/>
        <v>3150000</v>
      </c>
    </row>
    <row r="28" spans="1:8" ht="15.75" customHeight="1" x14ac:dyDescent="0.15">
      <c r="A28" s="61" t="s">
        <v>158</v>
      </c>
      <c r="B28" s="71">
        <v>999999</v>
      </c>
      <c r="C28" s="67">
        <v>0.25</v>
      </c>
      <c r="D28" s="70">
        <f>1000*$B$4</f>
        <v>50000</v>
      </c>
      <c r="E28" s="61">
        <v>18</v>
      </c>
      <c r="F28" s="61" t="s">
        <v>159</v>
      </c>
      <c r="G28" s="70">
        <f>1000*$B$4*12</f>
        <v>600000</v>
      </c>
      <c r="H28" s="70">
        <f t="shared" si="1"/>
        <v>450000</v>
      </c>
    </row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K3" sqref="K3:M3"/>
    </sheetView>
  </sheetViews>
  <sheetFormatPr baseColWidth="10" defaultColWidth="12.6640625" defaultRowHeight="15" customHeight="1" x14ac:dyDescent="0.15"/>
  <cols>
    <col min="1" max="1" width="19.6640625" customWidth="1"/>
    <col min="2" max="5" width="12.6640625" customWidth="1"/>
    <col min="10" max="10" width="12.83203125" customWidth="1"/>
  </cols>
  <sheetData>
    <row r="1" spans="1:25" ht="15.75" customHeight="1" x14ac:dyDescent="0.15">
      <c r="A1" s="72" t="s">
        <v>160</v>
      </c>
      <c r="B1" s="72"/>
      <c r="C1" s="72"/>
      <c r="D1" s="72"/>
      <c r="E1" s="72"/>
      <c r="F1" s="72"/>
      <c r="G1" s="72"/>
      <c r="H1" s="72" t="s">
        <v>161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</row>
    <row r="2" spans="1:25" ht="15.75" customHeight="1" x14ac:dyDescent="0.15">
      <c r="A2" s="57" t="s">
        <v>10</v>
      </c>
      <c r="B2" s="57" t="s">
        <v>23</v>
      </c>
      <c r="C2" s="57" t="s">
        <v>162</v>
      </c>
      <c r="D2" s="57" t="s">
        <v>26</v>
      </c>
      <c r="E2" s="57" t="s">
        <v>1</v>
      </c>
      <c r="F2" s="57"/>
      <c r="G2" s="57"/>
      <c r="H2" s="57" t="s">
        <v>10</v>
      </c>
      <c r="I2" s="57" t="s">
        <v>13</v>
      </c>
      <c r="J2" s="57" t="s">
        <v>24</v>
      </c>
      <c r="K2" s="57" t="s">
        <v>163</v>
      </c>
      <c r="L2" s="57" t="s">
        <v>164</v>
      </c>
      <c r="M2" s="57" t="s">
        <v>165</v>
      </c>
      <c r="N2" s="57" t="s">
        <v>1</v>
      </c>
      <c r="O2" s="57" t="s">
        <v>176</v>
      </c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5.75" customHeight="1" x14ac:dyDescent="0.15">
      <c r="A3" s="4" t="s">
        <v>16</v>
      </c>
      <c r="B3" s="4" t="s">
        <v>30</v>
      </c>
      <c r="C3" s="4" t="s">
        <v>31</v>
      </c>
      <c r="D3" s="73">
        <v>1</v>
      </c>
      <c r="E3" s="74">
        <v>1</v>
      </c>
      <c r="H3" s="4" t="s">
        <v>16</v>
      </c>
      <c r="I3" s="4" t="s">
        <v>18</v>
      </c>
      <c r="J3" s="4" t="s">
        <v>166</v>
      </c>
      <c r="K3" s="74">
        <v>1</v>
      </c>
      <c r="L3" s="75" t="s">
        <v>17</v>
      </c>
      <c r="M3" s="73">
        <v>100</v>
      </c>
      <c r="N3" s="74">
        <v>1</v>
      </c>
      <c r="O3">
        <f>K3*M3</f>
        <v>100</v>
      </c>
    </row>
    <row r="4" spans="1:25" ht="15.75" customHeight="1" x14ac:dyDescent="0.15">
      <c r="A4" s="4" t="s">
        <v>16</v>
      </c>
      <c r="B4" s="4" t="s">
        <v>32</v>
      </c>
      <c r="C4" s="4" t="s">
        <v>31</v>
      </c>
      <c r="D4" s="73">
        <v>1</v>
      </c>
      <c r="E4" s="74">
        <v>2</v>
      </c>
      <c r="H4" s="4" t="s">
        <v>33</v>
      </c>
      <c r="I4" s="4" t="s">
        <v>35</v>
      </c>
      <c r="J4" s="4" t="s">
        <v>167</v>
      </c>
      <c r="K4" s="74">
        <v>1</v>
      </c>
      <c r="L4" s="75" t="s">
        <v>17</v>
      </c>
      <c r="M4" s="73">
        <v>100</v>
      </c>
      <c r="N4" s="74">
        <v>1</v>
      </c>
      <c r="O4" s="87">
        <f t="shared" ref="O4:O7" si="0">K4*M4</f>
        <v>100</v>
      </c>
    </row>
    <row r="5" spans="1:25" ht="15.75" customHeight="1" x14ac:dyDescent="0.15">
      <c r="A5" s="4" t="s">
        <v>16</v>
      </c>
      <c r="B5" s="4" t="s">
        <v>36</v>
      </c>
      <c r="C5" s="4" t="s">
        <v>37</v>
      </c>
      <c r="D5" s="73">
        <v>1</v>
      </c>
      <c r="E5" s="74">
        <v>2</v>
      </c>
      <c r="H5" s="4" t="s">
        <v>7</v>
      </c>
      <c r="I5" s="4" t="s">
        <v>20</v>
      </c>
      <c r="J5" s="4" t="s">
        <v>168</v>
      </c>
      <c r="K5" s="74">
        <v>1</v>
      </c>
      <c r="L5" s="75" t="s">
        <v>17</v>
      </c>
      <c r="M5" s="73">
        <v>400</v>
      </c>
      <c r="N5" s="74">
        <v>1</v>
      </c>
      <c r="O5" s="87">
        <f t="shared" si="0"/>
        <v>400</v>
      </c>
    </row>
    <row r="6" spans="1:25" ht="15.75" customHeight="1" x14ac:dyDescent="0.15">
      <c r="A6" s="4" t="s">
        <v>16</v>
      </c>
      <c r="B6" s="4" t="s">
        <v>39</v>
      </c>
      <c r="C6" s="4" t="s">
        <v>37</v>
      </c>
      <c r="D6" s="73">
        <v>1</v>
      </c>
      <c r="E6" s="74">
        <v>4</v>
      </c>
      <c r="H6" s="4" t="s">
        <v>117</v>
      </c>
      <c r="I6" s="4" t="s">
        <v>120</v>
      </c>
      <c r="J6" s="4" t="s">
        <v>169</v>
      </c>
      <c r="K6" s="74">
        <v>1000</v>
      </c>
      <c r="L6" s="4" t="s">
        <v>170</v>
      </c>
      <c r="M6" s="74">
        <v>150</v>
      </c>
      <c r="N6" s="74">
        <v>1</v>
      </c>
      <c r="O6" s="87">
        <f t="shared" si="0"/>
        <v>150000</v>
      </c>
    </row>
    <row r="7" spans="1:25" ht="15.75" customHeight="1" x14ac:dyDescent="0.15">
      <c r="A7" s="4" t="s">
        <v>16</v>
      </c>
      <c r="B7" s="4" t="s">
        <v>42</v>
      </c>
      <c r="C7" s="4" t="s">
        <v>43</v>
      </c>
      <c r="D7" s="73">
        <v>1</v>
      </c>
      <c r="E7" s="74">
        <v>4</v>
      </c>
      <c r="H7" s="4" t="s">
        <v>117</v>
      </c>
      <c r="I7" s="4" t="s">
        <v>124</v>
      </c>
      <c r="J7" s="4" t="s">
        <v>171</v>
      </c>
      <c r="K7" s="73">
        <v>1</v>
      </c>
      <c r="L7" s="4" t="s">
        <v>172</v>
      </c>
      <c r="M7" s="73">
        <v>120</v>
      </c>
      <c r="N7" s="74">
        <v>1</v>
      </c>
      <c r="O7" s="87">
        <f t="shared" si="0"/>
        <v>120</v>
      </c>
    </row>
    <row r="8" spans="1:25" ht="15.75" customHeight="1" x14ac:dyDescent="0.15">
      <c r="A8" s="4" t="s">
        <v>16</v>
      </c>
      <c r="B8" s="4" t="s">
        <v>46</v>
      </c>
      <c r="C8" s="4" t="s">
        <v>43</v>
      </c>
      <c r="D8" s="73">
        <v>1</v>
      </c>
      <c r="E8" s="74">
        <v>8</v>
      </c>
      <c r="H8" s="4"/>
      <c r="I8" s="4"/>
      <c r="J8" s="4"/>
      <c r="K8" s="74"/>
      <c r="L8" s="4"/>
      <c r="M8" s="73"/>
      <c r="N8" s="74"/>
    </row>
    <row r="9" spans="1:25" ht="15.75" customHeight="1" x14ac:dyDescent="0.15">
      <c r="A9" s="4" t="s">
        <v>16</v>
      </c>
      <c r="B9" s="4" t="s">
        <v>50</v>
      </c>
      <c r="C9" s="4" t="s">
        <v>51</v>
      </c>
      <c r="D9" s="73">
        <v>1</v>
      </c>
      <c r="E9" s="74">
        <v>10</v>
      </c>
    </row>
    <row r="10" spans="1:25" ht="15.75" customHeight="1" x14ac:dyDescent="0.15">
      <c r="A10" s="4" t="s">
        <v>16</v>
      </c>
      <c r="B10" s="4" t="s">
        <v>55</v>
      </c>
      <c r="C10" s="4" t="s">
        <v>51</v>
      </c>
      <c r="D10" s="73">
        <v>1</v>
      </c>
      <c r="E10" s="74">
        <v>20</v>
      </c>
    </row>
    <row r="11" spans="1:25" ht="15.75" customHeight="1" x14ac:dyDescent="0.15">
      <c r="A11" s="4" t="s">
        <v>16</v>
      </c>
      <c r="B11" s="4" t="s">
        <v>58</v>
      </c>
      <c r="C11" s="4" t="s">
        <v>51</v>
      </c>
      <c r="D11" s="73">
        <v>1</v>
      </c>
      <c r="E11" s="74">
        <v>10</v>
      </c>
      <c r="H11" s="4"/>
      <c r="I11" s="4"/>
      <c r="J11" s="4"/>
      <c r="K11" s="73"/>
      <c r="L11" s="4"/>
      <c r="M11" s="73"/>
      <c r="N11" s="74"/>
    </row>
    <row r="12" spans="1:25" ht="15.75" customHeight="1" x14ac:dyDescent="0.15">
      <c r="A12" s="4" t="s">
        <v>16</v>
      </c>
      <c r="B12" s="4" t="s">
        <v>62</v>
      </c>
      <c r="C12" s="4" t="s">
        <v>51</v>
      </c>
      <c r="D12" s="73">
        <v>1</v>
      </c>
      <c r="E12" s="74">
        <v>20</v>
      </c>
      <c r="H12" s="4"/>
      <c r="I12" s="4"/>
      <c r="J12" s="4"/>
      <c r="K12" s="73"/>
      <c r="L12" s="4"/>
      <c r="M12" s="73"/>
      <c r="N12" s="74"/>
    </row>
    <row r="13" spans="1:25" ht="15.75" customHeight="1" x14ac:dyDescent="0.15">
      <c r="A13" s="4" t="s">
        <v>16</v>
      </c>
      <c r="B13" s="4" t="s">
        <v>64</v>
      </c>
      <c r="C13" s="4" t="s">
        <v>65</v>
      </c>
      <c r="D13" s="73">
        <v>1</v>
      </c>
      <c r="E13" s="74">
        <v>20</v>
      </c>
      <c r="H13" s="4"/>
      <c r="I13" s="4"/>
      <c r="J13" s="4"/>
      <c r="K13" s="74"/>
      <c r="L13" s="4"/>
      <c r="M13" s="73"/>
      <c r="N13" s="74"/>
    </row>
    <row r="14" spans="1:25" ht="15.75" customHeight="1" x14ac:dyDescent="0.15">
      <c r="A14" s="4" t="s">
        <v>16</v>
      </c>
      <c r="B14" s="4" t="s">
        <v>68</v>
      </c>
      <c r="C14" s="4" t="s">
        <v>65</v>
      </c>
      <c r="D14" s="73">
        <v>1</v>
      </c>
      <c r="E14" s="74">
        <v>39</v>
      </c>
      <c r="H14" s="4"/>
      <c r="I14" s="4"/>
      <c r="J14" s="4"/>
      <c r="K14" s="74"/>
      <c r="L14" s="4"/>
      <c r="M14" s="73"/>
      <c r="N14" s="74"/>
    </row>
    <row r="15" spans="1:25" ht="15.75" customHeight="1" x14ac:dyDescent="0.15">
      <c r="A15" s="4" t="s">
        <v>16</v>
      </c>
      <c r="B15" s="4" t="s">
        <v>70</v>
      </c>
      <c r="C15" s="4" t="s">
        <v>71</v>
      </c>
      <c r="D15" s="73">
        <v>1</v>
      </c>
      <c r="E15" s="74">
        <v>39</v>
      </c>
      <c r="H15" s="4"/>
      <c r="I15" s="4"/>
      <c r="J15" s="4"/>
      <c r="K15" s="74"/>
      <c r="L15" s="4"/>
      <c r="M15" s="73"/>
      <c r="N15" s="74"/>
    </row>
    <row r="16" spans="1:25" ht="15.75" customHeight="1" x14ac:dyDescent="0.15">
      <c r="A16" s="4" t="s">
        <v>16</v>
      </c>
      <c r="B16" s="4" t="s">
        <v>75</v>
      </c>
      <c r="C16" s="4" t="s">
        <v>71</v>
      </c>
      <c r="D16" s="73">
        <v>1</v>
      </c>
      <c r="E16" s="74">
        <v>78</v>
      </c>
      <c r="H16" s="4"/>
      <c r="I16" s="4"/>
      <c r="J16" s="4"/>
      <c r="K16" s="74"/>
      <c r="L16" s="4"/>
      <c r="M16" s="73"/>
      <c r="N16" s="74"/>
    </row>
    <row r="17" spans="1:14" ht="15.75" customHeight="1" x14ac:dyDescent="0.15">
      <c r="A17" s="4" t="s">
        <v>16</v>
      </c>
      <c r="B17" s="4" t="s">
        <v>78</v>
      </c>
      <c r="C17" s="4" t="s">
        <v>79</v>
      </c>
      <c r="D17" s="73">
        <v>1</v>
      </c>
      <c r="E17" s="74">
        <v>17</v>
      </c>
      <c r="H17" s="4"/>
      <c r="I17" s="4"/>
      <c r="J17" s="4"/>
      <c r="K17" s="73"/>
      <c r="L17" s="4"/>
      <c r="M17" s="73"/>
      <c r="N17" s="74"/>
    </row>
    <row r="18" spans="1:14" ht="15.75" customHeight="1" x14ac:dyDescent="0.15">
      <c r="A18" s="4" t="s">
        <v>16</v>
      </c>
      <c r="B18" s="4" t="s">
        <v>84</v>
      </c>
      <c r="C18" s="4" t="s">
        <v>79</v>
      </c>
      <c r="D18" s="73">
        <v>1</v>
      </c>
      <c r="E18" s="74">
        <v>34</v>
      </c>
      <c r="H18" s="4"/>
      <c r="I18" s="4"/>
      <c r="J18" s="4"/>
      <c r="K18" s="73"/>
      <c r="L18" s="4"/>
      <c r="M18" s="73"/>
      <c r="N18" s="74"/>
    </row>
    <row r="19" spans="1:14" ht="15.75" customHeight="1" x14ac:dyDescent="0.15">
      <c r="A19" s="4" t="s">
        <v>16</v>
      </c>
      <c r="B19" s="4" t="s">
        <v>87</v>
      </c>
      <c r="C19" s="4" t="s">
        <v>31</v>
      </c>
      <c r="D19" s="73">
        <v>1</v>
      </c>
      <c r="E19" s="74">
        <v>1</v>
      </c>
      <c r="H19" s="4"/>
      <c r="I19" s="4"/>
      <c r="J19" s="4"/>
      <c r="K19" s="73"/>
      <c r="L19" s="4"/>
      <c r="M19" s="73"/>
      <c r="N19" s="74"/>
    </row>
    <row r="20" spans="1:14" ht="15.75" customHeight="1" x14ac:dyDescent="0.15">
      <c r="A20" s="4" t="s">
        <v>16</v>
      </c>
      <c r="B20" s="4" t="s">
        <v>89</v>
      </c>
      <c r="C20" s="4" t="s">
        <v>31</v>
      </c>
      <c r="D20" s="73">
        <v>1</v>
      </c>
      <c r="E20" s="74">
        <v>2</v>
      </c>
      <c r="H20" s="4"/>
      <c r="I20" s="4"/>
      <c r="J20" s="4"/>
      <c r="K20" s="73"/>
      <c r="L20" s="4"/>
      <c r="M20" s="73"/>
      <c r="N20" s="74"/>
    </row>
    <row r="21" spans="1:14" ht="15.75" customHeight="1" x14ac:dyDescent="0.15">
      <c r="A21" s="4" t="s">
        <v>16</v>
      </c>
      <c r="B21" s="4" t="s">
        <v>93</v>
      </c>
      <c r="C21" s="4" t="s">
        <v>37</v>
      </c>
      <c r="D21" s="73">
        <v>1</v>
      </c>
      <c r="E21" s="74">
        <v>2</v>
      </c>
      <c r="H21" s="4"/>
      <c r="I21" s="4"/>
      <c r="J21" s="4"/>
      <c r="K21" s="73"/>
      <c r="L21" s="4"/>
      <c r="M21" s="73"/>
      <c r="N21" s="74"/>
    </row>
    <row r="22" spans="1:14" ht="15.75" customHeight="1" x14ac:dyDescent="0.15">
      <c r="A22" s="4" t="s">
        <v>16</v>
      </c>
      <c r="B22" s="4" t="s">
        <v>95</v>
      </c>
      <c r="C22" s="4" t="s">
        <v>37</v>
      </c>
      <c r="D22" s="73">
        <v>1</v>
      </c>
      <c r="E22" s="74">
        <v>4</v>
      </c>
      <c r="H22" s="4"/>
      <c r="I22" s="4"/>
      <c r="J22" s="4"/>
      <c r="K22" s="73"/>
      <c r="L22" s="4"/>
      <c r="M22" s="73"/>
      <c r="N22" s="74"/>
    </row>
    <row r="23" spans="1:14" ht="15.75" customHeight="1" x14ac:dyDescent="0.15">
      <c r="A23" s="4" t="s">
        <v>16</v>
      </c>
      <c r="B23" s="4" t="s">
        <v>99</v>
      </c>
      <c r="C23" s="4" t="s">
        <v>43</v>
      </c>
      <c r="D23" s="73">
        <v>1</v>
      </c>
      <c r="E23" s="74">
        <v>4</v>
      </c>
    </row>
    <row r="24" spans="1:14" ht="15.75" customHeight="1" x14ac:dyDescent="0.15">
      <c r="A24" s="4" t="s">
        <v>16</v>
      </c>
      <c r="B24" s="4" t="s">
        <v>104</v>
      </c>
      <c r="C24" s="4" t="s">
        <v>43</v>
      </c>
      <c r="D24" s="73">
        <v>1</v>
      </c>
      <c r="E24" s="74">
        <v>7</v>
      </c>
    </row>
    <row r="25" spans="1:14" ht="15.75" customHeight="1" x14ac:dyDescent="0.15">
      <c r="A25" s="4" t="s">
        <v>16</v>
      </c>
      <c r="B25" s="4" t="s">
        <v>107</v>
      </c>
      <c r="C25" s="4" t="s">
        <v>51</v>
      </c>
      <c r="D25" s="73">
        <v>1</v>
      </c>
      <c r="E25" s="74">
        <v>9</v>
      </c>
    </row>
    <row r="26" spans="1:14" ht="15.75" customHeight="1" x14ac:dyDescent="0.15">
      <c r="A26" s="4" t="s">
        <v>16</v>
      </c>
      <c r="B26" s="4" t="s">
        <v>110</v>
      </c>
      <c r="C26" s="4" t="s">
        <v>51</v>
      </c>
      <c r="D26" s="73">
        <v>1</v>
      </c>
      <c r="E26" s="74">
        <v>19</v>
      </c>
    </row>
    <row r="27" spans="1:14" ht="15.75" customHeight="1" x14ac:dyDescent="0.15">
      <c r="A27" s="4" t="s">
        <v>16</v>
      </c>
      <c r="B27" s="4" t="s">
        <v>112</v>
      </c>
      <c r="C27" s="4" t="s">
        <v>51</v>
      </c>
      <c r="D27" s="73">
        <v>1</v>
      </c>
      <c r="E27" s="74">
        <v>9</v>
      </c>
    </row>
    <row r="28" spans="1:14" ht="15.75" customHeight="1" x14ac:dyDescent="0.15">
      <c r="A28" s="4" t="s">
        <v>16</v>
      </c>
      <c r="B28" s="4" t="s">
        <v>113</v>
      </c>
      <c r="C28" s="4" t="s">
        <v>51</v>
      </c>
      <c r="D28" s="73">
        <v>1</v>
      </c>
      <c r="E28" s="74">
        <v>19</v>
      </c>
    </row>
    <row r="29" spans="1:14" ht="15.75" customHeight="1" x14ac:dyDescent="0.15">
      <c r="A29" s="4" t="s">
        <v>16</v>
      </c>
      <c r="B29" s="4" t="s">
        <v>115</v>
      </c>
      <c r="C29" s="4" t="s">
        <v>65</v>
      </c>
      <c r="D29" s="73">
        <v>1</v>
      </c>
      <c r="E29" s="74">
        <v>19</v>
      </c>
    </row>
    <row r="30" spans="1:14" ht="15.75" customHeight="1" x14ac:dyDescent="0.15">
      <c r="A30" s="4" t="s">
        <v>16</v>
      </c>
      <c r="B30" s="4" t="s">
        <v>116</v>
      </c>
      <c r="C30" s="4" t="s">
        <v>65</v>
      </c>
      <c r="D30" s="73">
        <v>1</v>
      </c>
      <c r="E30" s="74">
        <v>37</v>
      </c>
    </row>
    <row r="31" spans="1:14" ht="15.75" customHeight="1" x14ac:dyDescent="0.15">
      <c r="A31" s="4" t="s">
        <v>16</v>
      </c>
      <c r="B31" s="4" t="s">
        <v>121</v>
      </c>
      <c r="C31" s="4" t="s">
        <v>43</v>
      </c>
      <c r="D31" s="73">
        <v>1</v>
      </c>
      <c r="E31" s="74">
        <v>7</v>
      </c>
    </row>
    <row r="32" spans="1:14" ht="15.75" customHeight="1" x14ac:dyDescent="0.15">
      <c r="A32" s="4" t="s">
        <v>16</v>
      </c>
      <c r="B32" s="4" t="s">
        <v>125</v>
      </c>
      <c r="C32" s="4" t="s">
        <v>51</v>
      </c>
      <c r="D32" s="73">
        <v>1</v>
      </c>
      <c r="E32" s="74">
        <v>46</v>
      </c>
    </row>
    <row r="33" spans="1:5" ht="15.75" customHeight="1" x14ac:dyDescent="0.15">
      <c r="A33" s="4" t="s">
        <v>33</v>
      </c>
      <c r="B33" s="4" t="s">
        <v>47</v>
      </c>
      <c r="C33" s="4" t="s">
        <v>48</v>
      </c>
      <c r="D33" s="73">
        <v>1</v>
      </c>
      <c r="E33" s="74">
        <v>2</v>
      </c>
    </row>
    <row r="34" spans="1:5" ht="15.75" customHeight="1" x14ac:dyDescent="0.15">
      <c r="A34" s="4" t="s">
        <v>33</v>
      </c>
      <c r="B34" s="4" t="s">
        <v>52</v>
      </c>
      <c r="C34" s="4" t="s">
        <v>53</v>
      </c>
      <c r="D34" s="73">
        <v>5</v>
      </c>
      <c r="E34" s="74">
        <v>34</v>
      </c>
    </row>
    <row r="35" spans="1:5" ht="15.75" customHeight="1" x14ac:dyDescent="0.15">
      <c r="A35" s="4" t="s">
        <v>33</v>
      </c>
      <c r="B35" s="4" t="s">
        <v>56</v>
      </c>
      <c r="C35" s="4" t="s">
        <v>53</v>
      </c>
      <c r="D35" s="73">
        <v>7</v>
      </c>
      <c r="E35" s="74">
        <v>48</v>
      </c>
    </row>
    <row r="36" spans="1:5" ht="15.75" customHeight="1" x14ac:dyDescent="0.15">
      <c r="A36" s="4" t="s">
        <v>33</v>
      </c>
      <c r="B36" s="4" t="s">
        <v>59</v>
      </c>
      <c r="C36" s="4" t="s">
        <v>60</v>
      </c>
      <c r="D36" s="73">
        <v>5</v>
      </c>
      <c r="E36" s="74">
        <v>69</v>
      </c>
    </row>
    <row r="37" spans="1:5" ht="15.75" customHeight="1" x14ac:dyDescent="0.15">
      <c r="A37" s="4" t="s">
        <v>33</v>
      </c>
      <c r="B37" s="4" t="s">
        <v>63</v>
      </c>
      <c r="C37" s="4" t="s">
        <v>60</v>
      </c>
      <c r="D37" s="73">
        <v>7</v>
      </c>
      <c r="E37" s="74">
        <v>96</v>
      </c>
    </row>
    <row r="38" spans="1:5" ht="15.75" customHeight="1" x14ac:dyDescent="0.15">
      <c r="A38" s="4" t="s">
        <v>33</v>
      </c>
      <c r="B38" s="4" t="s">
        <v>66</v>
      </c>
      <c r="C38" s="4" t="s">
        <v>67</v>
      </c>
      <c r="D38" s="73">
        <v>5</v>
      </c>
      <c r="E38" s="74">
        <v>137</v>
      </c>
    </row>
    <row r="39" spans="1:5" ht="15.75" customHeight="1" x14ac:dyDescent="0.15">
      <c r="A39" s="4" t="s">
        <v>33</v>
      </c>
      <c r="B39" s="4" t="s">
        <v>69</v>
      </c>
      <c r="C39" s="4" t="s">
        <v>67</v>
      </c>
      <c r="D39" s="73">
        <v>7</v>
      </c>
      <c r="E39" s="74">
        <v>192</v>
      </c>
    </row>
    <row r="40" spans="1:5" ht="15.75" customHeight="1" x14ac:dyDescent="0.15">
      <c r="A40" s="4" t="s">
        <v>33</v>
      </c>
      <c r="B40" s="4" t="s">
        <v>72</v>
      </c>
      <c r="C40" s="4" t="s">
        <v>73</v>
      </c>
      <c r="D40" s="73">
        <v>5</v>
      </c>
      <c r="E40" s="74">
        <v>163</v>
      </c>
    </row>
    <row r="41" spans="1:5" ht="15.75" customHeight="1" x14ac:dyDescent="0.15">
      <c r="A41" s="4" t="s">
        <v>33</v>
      </c>
      <c r="B41" s="4" t="s">
        <v>76</v>
      </c>
      <c r="C41" s="4" t="s">
        <v>73</v>
      </c>
      <c r="D41" s="73">
        <v>7</v>
      </c>
      <c r="E41" s="74">
        <v>228</v>
      </c>
    </row>
    <row r="42" spans="1:5" ht="15.75" customHeight="1" x14ac:dyDescent="0.15">
      <c r="A42" s="4" t="s">
        <v>33</v>
      </c>
      <c r="B42" s="4" t="s">
        <v>80</v>
      </c>
      <c r="C42" s="4" t="s">
        <v>81</v>
      </c>
      <c r="D42" s="73">
        <v>5</v>
      </c>
      <c r="E42" s="74">
        <v>326</v>
      </c>
    </row>
    <row r="43" spans="1:5" ht="15.75" customHeight="1" x14ac:dyDescent="0.15">
      <c r="A43" s="4" t="s">
        <v>33</v>
      </c>
      <c r="B43" s="4" t="s">
        <v>85</v>
      </c>
      <c r="C43" s="4" t="s">
        <v>81</v>
      </c>
      <c r="D43" s="73">
        <v>7</v>
      </c>
      <c r="E43" s="74">
        <v>456</v>
      </c>
    </row>
    <row r="44" spans="1:5" ht="15.75" customHeight="1" x14ac:dyDescent="0.15">
      <c r="A44" s="4" t="s">
        <v>100</v>
      </c>
      <c r="B44" s="4" t="s">
        <v>96</v>
      </c>
      <c r="C44" s="4" t="s">
        <v>97</v>
      </c>
      <c r="D44" s="73">
        <v>1</v>
      </c>
      <c r="E44" s="74">
        <v>1</v>
      </c>
    </row>
    <row r="45" spans="1:5" ht="15.75" customHeight="1" x14ac:dyDescent="0.15">
      <c r="A45" s="4" t="s">
        <v>100</v>
      </c>
      <c r="B45" s="4" t="s">
        <v>101</v>
      </c>
      <c r="C45" s="4" t="s">
        <v>97</v>
      </c>
      <c r="D45" s="73">
        <v>3</v>
      </c>
      <c r="E45" s="74">
        <v>2</v>
      </c>
    </row>
    <row r="46" spans="1:5" ht="15.75" customHeight="1" x14ac:dyDescent="0.15">
      <c r="A46" s="4" t="s">
        <v>100</v>
      </c>
      <c r="B46" s="4" t="s">
        <v>105</v>
      </c>
      <c r="C46" s="4" t="s">
        <v>97</v>
      </c>
      <c r="D46" s="73">
        <v>5</v>
      </c>
      <c r="E46" s="74">
        <v>4</v>
      </c>
    </row>
    <row r="47" spans="1:5" ht="15.75" customHeight="1" x14ac:dyDescent="0.15">
      <c r="A47" s="4" t="s">
        <v>100</v>
      </c>
      <c r="B47" s="4" t="s">
        <v>108</v>
      </c>
      <c r="C47" s="4" t="s">
        <v>109</v>
      </c>
      <c r="D47" s="73">
        <v>3</v>
      </c>
      <c r="E47" s="74">
        <v>5</v>
      </c>
    </row>
    <row r="48" spans="1:5" ht="15.75" customHeight="1" x14ac:dyDescent="0.15">
      <c r="A48" s="4" t="s">
        <v>100</v>
      </c>
      <c r="B48" s="4" t="s">
        <v>111</v>
      </c>
      <c r="C48" s="4" t="s">
        <v>109</v>
      </c>
      <c r="D48" s="73">
        <v>5</v>
      </c>
      <c r="E48" s="74">
        <v>8</v>
      </c>
    </row>
    <row r="49" spans="1:5" ht="15.75" customHeight="1" x14ac:dyDescent="0.15">
      <c r="A49" s="4" t="s">
        <v>82</v>
      </c>
      <c r="B49" s="4" t="s">
        <v>77</v>
      </c>
      <c r="C49" s="4"/>
      <c r="D49" s="4">
        <v>0</v>
      </c>
      <c r="E49" s="74">
        <v>0</v>
      </c>
    </row>
    <row r="50" spans="1:5" ht="15.75" customHeight="1" x14ac:dyDescent="0.15">
      <c r="A50" s="4" t="s">
        <v>82</v>
      </c>
      <c r="B50" s="4" t="s">
        <v>83</v>
      </c>
      <c r="C50" s="4"/>
      <c r="D50" s="4">
        <v>0</v>
      </c>
      <c r="E50" s="74">
        <v>0</v>
      </c>
    </row>
    <row r="51" spans="1:5" ht="15.75" customHeight="1" x14ac:dyDescent="0.15">
      <c r="A51" s="4" t="s">
        <v>82</v>
      </c>
      <c r="B51" s="4" t="s">
        <v>86</v>
      </c>
      <c r="C51" s="4"/>
      <c r="D51" s="4">
        <v>0</v>
      </c>
      <c r="E51" s="74">
        <v>0</v>
      </c>
    </row>
    <row r="52" spans="1:5" ht="15.75" customHeight="1" x14ac:dyDescent="0.15">
      <c r="A52" s="4" t="s">
        <v>82</v>
      </c>
      <c r="B52" s="4" t="s">
        <v>88</v>
      </c>
      <c r="C52" s="4"/>
      <c r="D52" s="4">
        <v>0</v>
      </c>
      <c r="E52" s="74">
        <v>0</v>
      </c>
    </row>
    <row r="53" spans="1:5" ht="15.75" customHeight="1" x14ac:dyDescent="0.15">
      <c r="A53" s="4" t="s">
        <v>91</v>
      </c>
      <c r="B53" s="4" t="s">
        <v>92</v>
      </c>
      <c r="C53" s="4"/>
      <c r="D53" s="4">
        <v>0</v>
      </c>
      <c r="E53" s="74">
        <v>0</v>
      </c>
    </row>
    <row r="54" spans="1:5" ht="15.75" customHeight="1" x14ac:dyDescent="0.15">
      <c r="A54" s="4" t="s">
        <v>91</v>
      </c>
      <c r="B54" s="4" t="s">
        <v>94</v>
      </c>
      <c r="C54" s="4"/>
      <c r="D54" s="4">
        <v>0</v>
      </c>
      <c r="E54" s="74">
        <v>0</v>
      </c>
    </row>
    <row r="55" spans="1:5" ht="15.75" customHeight="1" x14ac:dyDescent="0.15">
      <c r="A55" s="4" t="s">
        <v>91</v>
      </c>
      <c r="B55" s="4" t="s">
        <v>98</v>
      </c>
      <c r="C55" s="4"/>
      <c r="D55" s="4">
        <v>0</v>
      </c>
      <c r="E55" s="74">
        <v>0</v>
      </c>
    </row>
    <row r="56" spans="1:5" ht="15.75" customHeight="1" x14ac:dyDescent="0.15">
      <c r="A56" s="4" t="s">
        <v>102</v>
      </c>
      <c r="B56" s="4" t="s">
        <v>103</v>
      </c>
      <c r="C56" s="4"/>
      <c r="D56" s="4">
        <v>0</v>
      </c>
      <c r="E56" s="74">
        <v>0</v>
      </c>
    </row>
    <row r="57" spans="1:5" ht="15.75" customHeight="1" x14ac:dyDescent="0.15">
      <c r="A57" s="4"/>
      <c r="B57" s="4"/>
      <c r="C57" s="4"/>
      <c r="D57" s="73"/>
      <c r="E57" s="74"/>
    </row>
    <row r="58" spans="1:5" ht="15.75" customHeight="1" x14ac:dyDescent="0.15">
      <c r="A58" s="4"/>
      <c r="B58" s="4"/>
      <c r="C58" s="4"/>
      <c r="D58" s="73"/>
      <c r="E58" s="74"/>
    </row>
    <row r="59" spans="1:5" ht="15.75" customHeight="1" x14ac:dyDescent="0.15">
      <c r="A59" s="4"/>
      <c r="B59" s="4"/>
      <c r="C59" s="4"/>
      <c r="D59" s="73"/>
      <c r="E59" s="74"/>
    </row>
    <row r="60" spans="1:5" ht="15.75" customHeight="1" x14ac:dyDescent="0.15">
      <c r="A60" s="4"/>
      <c r="B60" s="4"/>
      <c r="C60" s="4"/>
      <c r="D60" s="73"/>
      <c r="E60" s="74"/>
    </row>
    <row r="61" spans="1:5" ht="15.75" customHeight="1" x14ac:dyDescent="0.15">
      <c r="A61" s="4"/>
      <c r="B61" s="4"/>
      <c r="C61" s="4"/>
      <c r="D61" s="73"/>
      <c r="E61" s="74"/>
    </row>
    <row r="62" spans="1:5" ht="15.75" customHeight="1" x14ac:dyDescent="0.15">
      <c r="A62" s="4"/>
      <c r="B62" s="4"/>
      <c r="C62" s="4"/>
      <c r="D62" s="73"/>
      <c r="E62" s="74"/>
    </row>
    <row r="63" spans="1:5" ht="15.75" customHeight="1" x14ac:dyDescent="0.15">
      <c r="A63" s="4"/>
      <c r="B63" s="4"/>
      <c r="C63" s="4"/>
      <c r="D63" s="73"/>
      <c r="E63" s="74"/>
    </row>
    <row r="64" spans="1:5" ht="15.75" customHeight="1" x14ac:dyDescent="0.15">
      <c r="A64" s="4"/>
      <c r="B64" s="4"/>
      <c r="C64" s="4"/>
      <c r="D64" s="73"/>
      <c r="E64" s="74"/>
    </row>
    <row r="65" spans="1:5" ht="15.75" customHeight="1" x14ac:dyDescent="0.15">
      <c r="A65" s="4"/>
      <c r="B65" s="4"/>
      <c r="C65" s="4"/>
      <c r="D65" s="73"/>
      <c r="E65" s="74"/>
    </row>
    <row r="66" spans="1:5" ht="15.75" customHeight="1" x14ac:dyDescent="0.15">
      <c r="A66" s="4"/>
      <c r="B66" s="4"/>
      <c r="C66" s="4"/>
      <c r="D66" s="73"/>
      <c r="E66" s="74"/>
    </row>
    <row r="67" spans="1:5" ht="15.75" customHeight="1" x14ac:dyDescent="0.15">
      <c r="A67" s="4"/>
      <c r="B67" s="4"/>
      <c r="C67" s="4"/>
      <c r="D67" s="73"/>
      <c r="E67" s="74"/>
    </row>
    <row r="68" spans="1:5" ht="15.75" customHeight="1" x14ac:dyDescent="0.15">
      <c r="A68" s="4"/>
      <c r="B68" s="4"/>
      <c r="C68" s="4"/>
      <c r="D68" s="73"/>
      <c r="E68" s="74"/>
    </row>
    <row r="69" spans="1:5" ht="15.75" customHeight="1" x14ac:dyDescent="0.15">
      <c r="A69" s="4"/>
      <c r="B69" s="4"/>
      <c r="C69" s="4"/>
      <c r="D69" s="73"/>
      <c r="E69" s="74"/>
    </row>
    <row r="70" spans="1:5" ht="15.75" customHeight="1" x14ac:dyDescent="0.15">
      <c r="A70" s="4"/>
      <c r="B70" s="4"/>
      <c r="C70" s="4"/>
      <c r="D70" s="73"/>
      <c r="E70" s="74"/>
    </row>
    <row r="71" spans="1:5" ht="15.75" customHeight="1" x14ac:dyDescent="0.15">
      <c r="A71" s="4"/>
      <c r="B71" s="4"/>
      <c r="C71" s="4"/>
      <c r="D71" s="73"/>
      <c r="E71" s="74"/>
    </row>
    <row r="72" spans="1:5" ht="15.75" customHeight="1" x14ac:dyDescent="0.15">
      <c r="A72" s="4"/>
      <c r="B72" s="4"/>
      <c r="C72" s="4"/>
      <c r="D72" s="73"/>
      <c r="E72" s="74"/>
    </row>
    <row r="73" spans="1:5" ht="15.75" customHeight="1" x14ac:dyDescent="0.15">
      <c r="A73" s="4"/>
      <c r="B73" s="4"/>
      <c r="C73" s="4"/>
      <c r="D73" s="73"/>
      <c r="E73" s="74"/>
    </row>
    <row r="74" spans="1:5" ht="15.75" customHeight="1" x14ac:dyDescent="0.15">
      <c r="A74" s="4"/>
      <c r="B74" s="4"/>
      <c r="C74" s="4"/>
      <c r="D74" s="73"/>
      <c r="E74" s="74"/>
    </row>
    <row r="75" spans="1:5" ht="15.75" customHeight="1" x14ac:dyDescent="0.15">
      <c r="A75" s="4"/>
      <c r="B75" s="4"/>
      <c r="C75" s="4"/>
      <c r="D75" s="73"/>
      <c r="E75" s="74"/>
    </row>
    <row r="76" spans="1:5" ht="15.75" customHeight="1" x14ac:dyDescent="0.15">
      <c r="A76" s="4"/>
      <c r="B76" s="4"/>
      <c r="C76" s="4"/>
      <c r="D76" s="73"/>
      <c r="E76" s="74"/>
    </row>
    <row r="77" spans="1:5" ht="15.75" customHeight="1" x14ac:dyDescent="0.15">
      <c r="A77" s="4"/>
      <c r="B77" s="4"/>
      <c r="C77" s="4"/>
      <c r="D77" s="73"/>
      <c r="E77" s="74"/>
    </row>
    <row r="78" spans="1:5" ht="15.75" customHeight="1" x14ac:dyDescent="0.15">
      <c r="A78" s="4"/>
      <c r="B78" s="4"/>
      <c r="C78" s="4"/>
      <c r="D78" s="73"/>
      <c r="E78" s="74"/>
    </row>
    <row r="79" spans="1:5" ht="15.75" customHeight="1" x14ac:dyDescent="0.15">
      <c r="A79" s="4"/>
      <c r="B79" s="4"/>
      <c r="C79" s="4"/>
      <c r="D79" s="73"/>
      <c r="E79" s="74"/>
    </row>
    <row r="80" spans="1:5" ht="15.75" customHeight="1" x14ac:dyDescent="0.15">
      <c r="A80" s="4"/>
      <c r="B80" s="4"/>
      <c r="C80" s="4"/>
      <c r="D80" s="73"/>
      <c r="E80" s="74"/>
    </row>
    <row r="81" spans="1:5" ht="15.75" customHeight="1" x14ac:dyDescent="0.15">
      <c r="A81" s="4"/>
      <c r="B81" s="4"/>
      <c r="C81" s="4"/>
      <c r="D81" s="73"/>
      <c r="E81" s="74"/>
    </row>
    <row r="82" spans="1:5" ht="15.75" customHeight="1" x14ac:dyDescent="0.15">
      <c r="A82" s="4"/>
      <c r="B82" s="4"/>
      <c r="C82" s="4"/>
      <c r="D82" s="73"/>
      <c r="E82" s="74"/>
    </row>
    <row r="83" spans="1:5" ht="15.75" customHeight="1" x14ac:dyDescent="0.15">
      <c r="A83" s="4"/>
      <c r="B83" s="4"/>
      <c r="C83" s="4"/>
      <c r="D83" s="73"/>
      <c r="E83" s="74"/>
    </row>
    <row r="84" spans="1:5" ht="15.75" customHeight="1" x14ac:dyDescent="0.15">
      <c r="A84" s="4"/>
      <c r="B84" s="4"/>
      <c r="C84" s="4"/>
      <c r="D84" s="73"/>
      <c r="E84" s="74"/>
    </row>
    <row r="85" spans="1:5" ht="15.75" customHeight="1" x14ac:dyDescent="0.15">
      <c r="A85" s="4"/>
      <c r="B85" s="4"/>
      <c r="C85" s="4"/>
      <c r="D85" s="73"/>
      <c r="E85" s="74"/>
    </row>
    <row r="86" spans="1:5" ht="15.75" customHeight="1" x14ac:dyDescent="0.15">
      <c r="A86" s="4"/>
      <c r="B86" s="4"/>
      <c r="C86" s="4"/>
      <c r="D86" s="73"/>
      <c r="E86" s="74"/>
    </row>
    <row r="87" spans="1:5" ht="15.75" customHeight="1" x14ac:dyDescent="0.15">
      <c r="A87" s="4"/>
      <c r="B87" s="4"/>
      <c r="C87" s="4"/>
      <c r="D87" s="73"/>
      <c r="E87" s="74"/>
    </row>
    <row r="88" spans="1:5" ht="15.75" customHeight="1" x14ac:dyDescent="0.15">
      <c r="A88" s="4"/>
      <c r="B88" s="4"/>
      <c r="C88" s="4"/>
      <c r="D88" s="73"/>
      <c r="E88" s="74"/>
    </row>
    <row r="89" spans="1:5" ht="15.75" customHeight="1" x14ac:dyDescent="0.15">
      <c r="A89" s="4"/>
      <c r="B89" s="4"/>
      <c r="C89" s="4"/>
      <c r="D89" s="73"/>
      <c r="E89" s="74"/>
    </row>
    <row r="90" spans="1:5" ht="15.75" customHeight="1" x14ac:dyDescent="0.15">
      <c r="A90" s="4"/>
      <c r="B90" s="4"/>
      <c r="C90" s="4"/>
      <c r="D90" s="73"/>
      <c r="E90" s="74"/>
    </row>
    <row r="91" spans="1:5" ht="15.75" customHeight="1" x14ac:dyDescent="0.15">
      <c r="A91" s="4"/>
      <c r="B91" s="4"/>
      <c r="C91" s="4"/>
      <c r="D91" s="73"/>
      <c r="E91" s="74"/>
    </row>
    <row r="92" spans="1:5" ht="15.75" customHeight="1" x14ac:dyDescent="0.15">
      <c r="A92" s="4"/>
      <c r="B92" s="4"/>
      <c r="C92" s="4"/>
      <c r="D92" s="73"/>
      <c r="E92" s="74"/>
    </row>
    <row r="93" spans="1:5" ht="15.75" customHeight="1" x14ac:dyDescent="0.15">
      <c r="A93" s="4"/>
      <c r="B93" s="4"/>
      <c r="C93" s="4"/>
      <c r="D93" s="73"/>
      <c r="E93" s="74"/>
    </row>
    <row r="94" spans="1:5" ht="15.75" customHeight="1" x14ac:dyDescent="0.15">
      <c r="A94" s="4"/>
      <c r="B94" s="4"/>
      <c r="C94" s="4"/>
      <c r="D94" s="73"/>
      <c r="E94" s="74"/>
    </row>
    <row r="95" spans="1:5" ht="15.75" customHeight="1" x14ac:dyDescent="0.15"/>
    <row r="96" spans="1:5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64BB-8819-134A-A622-87B69BA68B40}">
  <sheetPr>
    <tabColor rgb="FF4A86E8"/>
    <outlinePr summaryBelow="0" summaryRight="0"/>
  </sheetPr>
  <dimension ref="A1:Y1000"/>
  <sheetViews>
    <sheetView zoomScale="130" zoomScaleNormal="130" workbookViewId="0">
      <selection activeCell="J29" sqref="J29"/>
    </sheetView>
  </sheetViews>
  <sheetFormatPr baseColWidth="10" defaultColWidth="12.6640625" defaultRowHeight="15" customHeight="1" x14ac:dyDescent="0.15"/>
  <cols>
    <col min="1" max="1" width="17.1640625" style="107" customWidth="1"/>
    <col min="2" max="2" width="16.1640625" style="107" customWidth="1"/>
    <col min="3" max="3" width="16.33203125" style="107" customWidth="1"/>
    <col min="4" max="4" width="15" style="107" customWidth="1"/>
    <col min="5" max="5" width="14.5" style="107" customWidth="1"/>
    <col min="6" max="6" width="30.83203125" style="107" customWidth="1"/>
    <col min="7" max="7" width="12.6640625" style="107" customWidth="1"/>
    <col min="8" max="8" width="11.33203125" style="107" customWidth="1"/>
    <col min="9" max="9" width="12.6640625" style="107"/>
    <col min="10" max="10" width="14.6640625" style="107" customWidth="1"/>
    <col min="11" max="11" width="10.33203125" style="107" customWidth="1"/>
    <col min="12" max="12" width="10.1640625" style="107" customWidth="1"/>
    <col min="13" max="13" width="18.83203125" style="107" customWidth="1"/>
    <col min="14" max="14" width="36.6640625" style="107" customWidth="1"/>
    <col min="15" max="15" width="19.5" style="107" customWidth="1"/>
    <col min="16" max="16" width="13.6640625" style="107" customWidth="1"/>
    <col min="17" max="17" width="13.33203125" style="107" customWidth="1"/>
    <col min="18" max="18" width="11.83203125" style="107" customWidth="1"/>
    <col min="19" max="19" width="9.33203125" style="107" customWidth="1"/>
    <col min="20" max="21" width="12.6640625" style="107"/>
    <col min="22" max="22" width="15.1640625" style="107" customWidth="1"/>
    <col min="23" max="23" width="21.33203125" style="107" customWidth="1"/>
    <col min="24" max="24" width="23" style="107" customWidth="1"/>
    <col min="25" max="25" width="16.5" style="107" customWidth="1"/>
    <col min="26" max="16384" width="12.6640625" style="107"/>
  </cols>
  <sheetData>
    <row r="1" spans="1:19" ht="98.25" customHeight="1" x14ac:dyDescent="1.05">
      <c r="A1" s="125" t="s">
        <v>182</v>
      </c>
      <c r="B1" s="126"/>
      <c r="C1" s="126"/>
      <c r="D1" s="126"/>
      <c r="E1" s="126"/>
      <c r="F1" s="126"/>
      <c r="H1" s="1"/>
    </row>
    <row r="2" spans="1:19" ht="15.75" customHeight="1" x14ac:dyDescent="0.15"/>
    <row r="3" spans="1:19" ht="15" customHeight="1" x14ac:dyDescent="0.15">
      <c r="A3" s="2" t="s">
        <v>0</v>
      </c>
      <c r="B3" s="3"/>
      <c r="C3" s="4"/>
      <c r="D3" s="4"/>
      <c r="E3" s="4"/>
      <c r="F3" s="4"/>
    </row>
    <row r="4" spans="1:19" ht="31" customHeight="1" x14ac:dyDescent="0.15">
      <c r="A4" s="78" t="s">
        <v>1</v>
      </c>
      <c r="B4" s="79" t="s">
        <v>2</v>
      </c>
      <c r="C4" s="80" t="s">
        <v>173</v>
      </c>
      <c r="D4" s="80" t="s">
        <v>181</v>
      </c>
      <c r="E4" s="79" t="s">
        <v>3</v>
      </c>
      <c r="F4" s="83" t="s">
        <v>175</v>
      </c>
    </row>
    <row r="5" spans="1:19" ht="15.75" customHeight="1" x14ac:dyDescent="0.15">
      <c r="A5" s="81">
        <f>C10+SUM(B19:B23)</f>
        <v>48</v>
      </c>
      <c r="B5" s="82" t="str" cm="1">
        <f t="array" ref="B5">_xlfn.LET(_xlpm.Tier, VLOOKUP(MIN(IF('Cloud.gov Tiers'!$B$11:$B$28&gt;=A5, 'Cloud.gov Tiers'!$B$11:$B$28)), 'Cloud.gov Tiers'!$B$11:$E$28, 4, FALSE), VLOOKUP(_xlpm.Tier, 'Cloud.gov Tiers'!$E$10:$F$28, 2, FALSE))</f>
        <v>Femto</v>
      </c>
      <c r="C5" s="76">
        <f>VLOOKUP(Table_112[[#This Row],[Tier Name]], 'Cloud.gov Tiers'!A11:B27, 2,FALSE)-Table_112[[#This Row],[Credits]]</f>
        <v>2</v>
      </c>
      <c r="D5" s="77">
        <f>IF(B5="Custom", ROUNDUP(A5/1000,0)*'Cloud.gov Tiers'!$H$28, VLOOKUP(B5, 'Cloud.gov Tiers'!$F$11:$H$27, 3, FALSE))</f>
        <v>30000</v>
      </c>
      <c r="E5" s="77">
        <f>C15</f>
        <v>2500</v>
      </c>
      <c r="F5" s="84">
        <f>D5+E5</f>
        <v>32500</v>
      </c>
    </row>
    <row r="6" spans="1:19" ht="15.75" customHeight="1" x14ac:dyDescent="0.15"/>
    <row r="7" spans="1:19" ht="15.75" customHeight="1" x14ac:dyDescent="0.15"/>
    <row r="8" spans="1:19" ht="15.75" customHeight="1" x14ac:dyDescent="0.15">
      <c r="A8" s="7" t="s">
        <v>5</v>
      </c>
      <c r="B8" s="4"/>
      <c r="C8" s="4"/>
      <c r="E8" s="2" t="s">
        <v>6</v>
      </c>
      <c r="F8" s="2"/>
      <c r="M8" s="2" t="s">
        <v>7</v>
      </c>
    </row>
    <row r="9" spans="1:19" ht="15.75" customHeight="1" thickBot="1" x14ac:dyDescent="0.2">
      <c r="A9" s="8" t="s">
        <v>8</v>
      </c>
      <c r="B9" s="9" t="s">
        <v>9</v>
      </c>
      <c r="C9" s="10" t="s">
        <v>1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178</v>
      </c>
      <c r="J9" s="5" t="s">
        <v>14</v>
      </c>
      <c r="K9" s="5" t="s">
        <v>1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178</v>
      </c>
      <c r="R9" s="5" t="s">
        <v>14</v>
      </c>
      <c r="S9" s="5" t="s">
        <v>1</v>
      </c>
    </row>
    <row r="10" spans="1:19" ht="15.75" customHeight="1" thickBot="1" x14ac:dyDescent="0.2">
      <c r="A10" s="11" t="s">
        <v>15</v>
      </c>
      <c r="B10" s="85">
        <v>12</v>
      </c>
      <c r="C10" s="12">
        <f>B10*'Cloud.gov Tiers'!B3</f>
        <v>36</v>
      </c>
      <c r="E10" s="39" t="s">
        <v>16</v>
      </c>
      <c r="F10" s="40" t="s">
        <v>180</v>
      </c>
      <c r="G10" s="40" t="s">
        <v>17</v>
      </c>
      <c r="H10" s="40" t="s">
        <v>18</v>
      </c>
      <c r="I10" s="40">
        <v>100</v>
      </c>
      <c r="J10" s="85">
        <v>101</v>
      </c>
      <c r="K10" s="42">
        <f>ROUNDUP(Table_315[[#This Row],[Quantity (GB)]]/Table_315[[#This Row],[GB per credit]],0)</f>
        <v>2</v>
      </c>
      <c r="M10" s="39" t="s">
        <v>7</v>
      </c>
      <c r="N10" s="40" t="s">
        <v>19</v>
      </c>
      <c r="O10" s="40" t="s">
        <v>17</v>
      </c>
      <c r="P10" s="40" t="s">
        <v>20</v>
      </c>
      <c r="Q10" s="40">
        <f>'AWS Service Prices'!K5*'AWS Service Prices'!M5</f>
        <v>400</v>
      </c>
      <c r="R10" s="85">
        <v>401</v>
      </c>
      <c r="S10" s="42">
        <f>ROUNDUP(Table_416[[#This Row],[Quantity (GB)]]/Table_416[[#This Row],[GB per credit]],0)</f>
        <v>2</v>
      </c>
    </row>
    <row r="11" spans="1:19" ht="15.75" customHeight="1" x14ac:dyDescent="0.15">
      <c r="A11" s="4"/>
      <c r="C11" s="14"/>
    </row>
    <row r="12" spans="1:19" ht="15.75" customHeight="1" x14ac:dyDescent="0.15">
      <c r="E12" s="2" t="s">
        <v>21</v>
      </c>
      <c r="F12" s="2"/>
    </row>
    <row r="13" spans="1:19" ht="15.75" customHeight="1" thickBot="1" x14ac:dyDescent="0.2">
      <c r="A13" s="7" t="s">
        <v>22</v>
      </c>
      <c r="B13" s="4"/>
      <c r="C13" s="4"/>
      <c r="E13" s="15" t="s">
        <v>10</v>
      </c>
      <c r="F13" s="16" t="s">
        <v>23</v>
      </c>
      <c r="G13" s="16" t="s">
        <v>25</v>
      </c>
      <c r="H13" s="15" t="s">
        <v>26</v>
      </c>
      <c r="I13" s="16" t="s">
        <v>179</v>
      </c>
      <c r="J13" s="16" t="s">
        <v>9</v>
      </c>
      <c r="K13" s="15" t="s">
        <v>1</v>
      </c>
      <c r="M13" s="2" t="s">
        <v>27</v>
      </c>
    </row>
    <row r="14" spans="1:19" ht="15.75" customHeight="1" thickBot="1" x14ac:dyDescent="0.2">
      <c r="A14" s="8" t="s">
        <v>28</v>
      </c>
      <c r="B14" s="9" t="s">
        <v>29</v>
      </c>
      <c r="C14" s="17" t="s">
        <v>4</v>
      </c>
      <c r="E14" s="47" t="str">
        <f t="array" ref="E14:I43">AWSRdsServicePrices</f>
        <v>AWS RDS</v>
      </c>
      <c r="F14" s="48" t="str">
        <v>micro-psql</v>
      </c>
      <c r="G14" s="48" t="str">
        <v>db.t3.micro</v>
      </c>
      <c r="H14" s="48">
        <v>1</v>
      </c>
      <c r="I14" s="48">
        <v>1</v>
      </c>
      <c r="J14" s="20">
        <v>2</v>
      </c>
      <c r="K14" s="90">
        <f>I14*J14</f>
        <v>2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178</v>
      </c>
      <c r="R14" s="5" t="s">
        <v>14</v>
      </c>
      <c r="S14" s="5" t="s">
        <v>1</v>
      </c>
    </row>
    <row r="15" spans="1:19" ht="15.75" customHeight="1" thickBot="1" x14ac:dyDescent="0.2">
      <c r="A15" s="22">
        <v>250</v>
      </c>
      <c r="B15" s="86">
        <v>10</v>
      </c>
      <c r="C15" s="23">
        <f>A15*B15</f>
        <v>2500</v>
      </c>
      <c r="E15" s="24" t="str">
        <v>AWS RDS</v>
      </c>
      <c r="F15" s="25" t="str">
        <v>micro-psql-redundant</v>
      </c>
      <c r="G15" s="25" t="str">
        <v>db.t3.micro</v>
      </c>
      <c r="H15" s="25">
        <v>1</v>
      </c>
      <c r="I15" s="25">
        <v>2</v>
      </c>
      <c r="J15" s="35">
        <v>0</v>
      </c>
      <c r="K15" s="90">
        <f t="shared" ref="K15:K43" si="0">I15*J15</f>
        <v>0</v>
      </c>
      <c r="M15" s="39" t="s">
        <v>33</v>
      </c>
      <c r="N15" s="40" t="s">
        <v>34</v>
      </c>
      <c r="O15" s="40" t="s">
        <v>17</v>
      </c>
      <c r="P15" s="40" t="s">
        <v>35</v>
      </c>
      <c r="Q15" s="40">
        <f>'AWS Service Prices'!K4*'AWS Service Prices'!M4</f>
        <v>100</v>
      </c>
      <c r="R15" s="85">
        <v>0</v>
      </c>
      <c r="S15" s="42">
        <f>ROUNDUP(Table_618[[#This Row],[Quantity (GB)]]/Table_618[[#This Row],[GB per credit]],0)</f>
        <v>0</v>
      </c>
    </row>
    <row r="16" spans="1:19" ht="15.75" customHeight="1" x14ac:dyDescent="0.15">
      <c r="E16" s="47" t="str">
        <v>AWS RDS</v>
      </c>
      <c r="F16" s="48" t="str">
        <v>small-psql</v>
      </c>
      <c r="G16" s="48" t="str">
        <v>db.t3.small</v>
      </c>
      <c r="H16" s="48">
        <v>1</v>
      </c>
      <c r="I16" s="48">
        <v>2</v>
      </c>
      <c r="J16" s="35">
        <v>0</v>
      </c>
      <c r="K16" s="90">
        <f t="shared" si="0"/>
        <v>0</v>
      </c>
    </row>
    <row r="17" spans="1:25" ht="15.75" customHeight="1" x14ac:dyDescent="0.15">
      <c r="A17" s="28" t="s">
        <v>38</v>
      </c>
      <c r="E17" s="24" t="str">
        <v>AWS RDS</v>
      </c>
      <c r="F17" s="25" t="str">
        <v>small-psql-redundant</v>
      </c>
      <c r="G17" s="25" t="str">
        <v>db.t3.small</v>
      </c>
      <c r="H17" s="25">
        <v>1</v>
      </c>
      <c r="I17" s="25">
        <v>4</v>
      </c>
      <c r="J17" s="35">
        <v>1</v>
      </c>
      <c r="K17" s="90">
        <f t="shared" si="0"/>
        <v>4</v>
      </c>
      <c r="M17" s="2" t="s">
        <v>40</v>
      </c>
    </row>
    <row r="18" spans="1:25" ht="15.75" customHeight="1" thickBot="1" x14ac:dyDescent="0.2">
      <c r="A18" s="8" t="s">
        <v>41</v>
      </c>
      <c r="B18" s="8" t="s">
        <v>1</v>
      </c>
      <c r="E18" s="47" t="str">
        <v>AWS RDS</v>
      </c>
      <c r="F18" s="48" t="str">
        <v>medium-psql</v>
      </c>
      <c r="G18" s="48" t="str">
        <v>db.t3.medium</v>
      </c>
      <c r="H18" s="48">
        <v>1</v>
      </c>
      <c r="I18" s="48">
        <v>4</v>
      </c>
      <c r="J18" s="35">
        <v>0</v>
      </c>
      <c r="K18" s="90">
        <f t="shared" si="0"/>
        <v>0</v>
      </c>
      <c r="M18" s="46" t="s">
        <v>10</v>
      </c>
      <c r="N18" s="46" t="s">
        <v>23</v>
      </c>
      <c r="O18" s="46" t="s">
        <v>44</v>
      </c>
      <c r="P18" s="46" t="s">
        <v>26</v>
      </c>
      <c r="Q18" s="16" t="s">
        <v>179</v>
      </c>
      <c r="R18" s="46" t="s">
        <v>9</v>
      </c>
      <c r="S18" s="46" t="s">
        <v>1</v>
      </c>
    </row>
    <row r="19" spans="1:25" ht="15.75" customHeight="1" x14ac:dyDescent="0.15">
      <c r="A19" s="30" t="s">
        <v>45</v>
      </c>
      <c r="B19" s="31">
        <f t="array" ref="B19">'Example worksheet'!$S$10</f>
        <v>2</v>
      </c>
      <c r="E19" s="24" t="str">
        <v>AWS RDS</v>
      </c>
      <c r="F19" s="25" t="str">
        <v>medium-psql-redundant</v>
      </c>
      <c r="G19" s="25" t="str">
        <v>db.t3.medium</v>
      </c>
      <c r="H19" s="25">
        <v>1</v>
      </c>
      <c r="I19" s="25">
        <v>8</v>
      </c>
      <c r="J19" s="35">
        <v>0</v>
      </c>
      <c r="K19" s="90">
        <f t="shared" si="0"/>
        <v>0</v>
      </c>
      <c r="M19" s="47" t="str" cm="1">
        <f t="array" ref="M19:Q29">AwsOpensearchPrices</f>
        <v>AWS OpenSearch</v>
      </c>
      <c r="N19" s="48" t="str">
        <v>es-dev</v>
      </c>
      <c r="O19" s="48" t="str">
        <v>t3.small.search</v>
      </c>
      <c r="P19" s="48">
        <v>1</v>
      </c>
      <c r="Q19" s="48">
        <v>2</v>
      </c>
      <c r="R19" s="32">
        <v>0</v>
      </c>
      <c r="S19" s="21">
        <f>R19*Q19</f>
        <v>0</v>
      </c>
    </row>
    <row r="20" spans="1:25" ht="15.75" customHeight="1" x14ac:dyDescent="0.15">
      <c r="A20" s="33" t="s">
        <v>49</v>
      </c>
      <c r="B20" s="34">
        <f t="array" ref="B20">SUM(K14:K43) + 'Example worksheet'!$K$10</f>
        <v>8</v>
      </c>
      <c r="E20" s="47" t="str">
        <v>AWS RDS</v>
      </c>
      <c r="F20" s="48" t="str">
        <v>medium-gp-psql</v>
      </c>
      <c r="G20" s="48" t="str">
        <v>db.m5.large</v>
      </c>
      <c r="H20" s="48">
        <v>1</v>
      </c>
      <c r="I20" s="48">
        <v>10</v>
      </c>
      <c r="J20" s="35">
        <v>0</v>
      </c>
      <c r="K20" s="90">
        <f t="shared" si="0"/>
        <v>0</v>
      </c>
      <c r="M20" s="24" t="str">
        <v>AWS OpenSearch</v>
      </c>
      <c r="N20" s="25" t="str">
        <v>es-medium</v>
      </c>
      <c r="O20" s="25" t="str">
        <v>c5.large.search</v>
      </c>
      <c r="P20" s="25">
        <v>5</v>
      </c>
      <c r="Q20" s="25">
        <v>34</v>
      </c>
      <c r="R20" s="38">
        <v>0</v>
      </c>
      <c r="S20" s="21">
        <f t="shared" ref="S20:S29" si="1">R20*Q20</f>
        <v>0</v>
      </c>
    </row>
    <row r="21" spans="1:25" ht="15.75" customHeight="1" x14ac:dyDescent="0.15">
      <c r="A21" s="30" t="s">
        <v>54</v>
      </c>
      <c r="B21" s="31">
        <f>'Example worksheet'!$S$15+SUM(S19:S29)</f>
        <v>0</v>
      </c>
      <c r="E21" s="24" t="str">
        <v>AWS RDS</v>
      </c>
      <c r="F21" s="25" t="str">
        <v>medium-gp-psql-redundant</v>
      </c>
      <c r="G21" s="25" t="str">
        <v>db.m5.large</v>
      </c>
      <c r="H21" s="25">
        <v>1</v>
      </c>
      <c r="I21" s="25">
        <v>20</v>
      </c>
      <c r="J21" s="35">
        <v>0</v>
      </c>
      <c r="K21" s="90">
        <f t="shared" si="0"/>
        <v>0</v>
      </c>
      <c r="M21" s="47" t="str">
        <v>AWS OpenSearch</v>
      </c>
      <c r="N21" s="48" t="str">
        <v>es-medium-ha</v>
      </c>
      <c r="O21" s="48" t="str">
        <v>c5.large.search</v>
      </c>
      <c r="P21" s="48">
        <v>7</v>
      </c>
      <c r="Q21" s="48">
        <v>48</v>
      </c>
      <c r="R21" s="38">
        <v>0</v>
      </c>
      <c r="S21" s="21">
        <f t="shared" si="1"/>
        <v>0</v>
      </c>
    </row>
    <row r="22" spans="1:25" ht="15.75" customHeight="1" x14ac:dyDescent="0.15">
      <c r="A22" s="33" t="s">
        <v>57</v>
      </c>
      <c r="B22" s="34">
        <f>SUM(S33:S37)</f>
        <v>0</v>
      </c>
      <c r="E22" s="47" t="str">
        <v>AWS RDS</v>
      </c>
      <c r="F22" s="48" t="str">
        <v>large-gp-psql</v>
      </c>
      <c r="G22" s="48" t="str">
        <v>db.m5.large</v>
      </c>
      <c r="H22" s="48">
        <v>1</v>
      </c>
      <c r="I22" s="48">
        <v>10</v>
      </c>
      <c r="J22" s="35">
        <v>0</v>
      </c>
      <c r="K22" s="90">
        <f t="shared" si="0"/>
        <v>0</v>
      </c>
      <c r="M22" s="24" t="str">
        <v>AWS OpenSearch</v>
      </c>
      <c r="N22" s="25" t="str">
        <v>es-large</v>
      </c>
      <c r="O22" s="25" t="str">
        <v>c5.xlarge.search</v>
      </c>
      <c r="P22" s="25">
        <v>5</v>
      </c>
      <c r="Q22" s="25">
        <v>69</v>
      </c>
      <c r="R22" s="38">
        <v>0</v>
      </c>
      <c r="S22" s="21">
        <f t="shared" si="1"/>
        <v>0</v>
      </c>
    </row>
    <row r="23" spans="1:25" ht="15.75" customHeight="1" x14ac:dyDescent="0.15">
      <c r="A23" s="36" t="s">
        <v>61</v>
      </c>
      <c r="B23" s="37">
        <f>SUM(Table_820[Credits])</f>
        <v>2</v>
      </c>
      <c r="E23" s="24" t="str">
        <v>AWS RDS</v>
      </c>
      <c r="F23" s="25" t="str">
        <v>large-gp-psql-redundant</v>
      </c>
      <c r="G23" s="25" t="str">
        <v>db.m5.large</v>
      </c>
      <c r="H23" s="25">
        <v>1</v>
      </c>
      <c r="I23" s="25">
        <v>20</v>
      </c>
      <c r="J23" s="35">
        <v>0</v>
      </c>
      <c r="K23" s="90">
        <f t="shared" si="0"/>
        <v>0</v>
      </c>
      <c r="M23" s="47" t="str">
        <v>AWS OpenSearch</v>
      </c>
      <c r="N23" s="48" t="str">
        <v>es-large-ha</v>
      </c>
      <c r="O23" s="48" t="str">
        <v>c5.xlarge.search</v>
      </c>
      <c r="P23" s="48">
        <v>7</v>
      </c>
      <c r="Q23" s="48">
        <v>96</v>
      </c>
      <c r="R23" s="38">
        <v>0</v>
      </c>
      <c r="S23" s="21">
        <f t="shared" si="1"/>
        <v>0</v>
      </c>
    </row>
    <row r="24" spans="1:25" ht="15.75" customHeight="1" x14ac:dyDescent="0.15">
      <c r="E24" s="47" t="str">
        <v>AWS RDS</v>
      </c>
      <c r="F24" s="48" t="str">
        <v>xlarge-gp-psql</v>
      </c>
      <c r="G24" s="48" t="str">
        <v>db.m5.xlarge</v>
      </c>
      <c r="H24" s="48">
        <v>1</v>
      </c>
      <c r="I24" s="48">
        <v>20</v>
      </c>
      <c r="J24" s="35">
        <v>0</v>
      </c>
      <c r="K24" s="90">
        <f t="shared" si="0"/>
        <v>0</v>
      </c>
      <c r="M24" s="24" t="str">
        <v>AWS OpenSearch</v>
      </c>
      <c r="N24" s="25" t="str">
        <v>es-xlarge</v>
      </c>
      <c r="O24" s="25" t="str">
        <v>c5.2xlarge.search</v>
      </c>
      <c r="P24" s="25">
        <v>5</v>
      </c>
      <c r="Q24" s="25">
        <v>137</v>
      </c>
      <c r="R24" s="38">
        <v>0</v>
      </c>
      <c r="S24" s="21">
        <f t="shared" si="1"/>
        <v>0</v>
      </c>
    </row>
    <row r="25" spans="1:25" ht="15.75" customHeight="1" x14ac:dyDescent="0.15">
      <c r="E25" s="24" t="str">
        <v>AWS RDS</v>
      </c>
      <c r="F25" s="25" t="str">
        <v>xlarge-gp-psql-redundant</v>
      </c>
      <c r="G25" s="25" t="str">
        <v>db.m5.xlarge</v>
      </c>
      <c r="H25" s="25">
        <v>1</v>
      </c>
      <c r="I25" s="25">
        <v>39</v>
      </c>
      <c r="J25" s="35">
        <v>0</v>
      </c>
      <c r="K25" s="90">
        <f t="shared" si="0"/>
        <v>0</v>
      </c>
      <c r="M25" s="47" t="str">
        <v>AWS OpenSearch</v>
      </c>
      <c r="N25" s="48" t="str">
        <v>es-xlarge-ha</v>
      </c>
      <c r="O25" s="48" t="str">
        <v>c5.2xlarge.search</v>
      </c>
      <c r="P25" s="48">
        <v>7</v>
      </c>
      <c r="Q25" s="48">
        <v>192</v>
      </c>
      <c r="R25" s="38">
        <v>0</v>
      </c>
      <c r="S25" s="21">
        <f t="shared" si="1"/>
        <v>0</v>
      </c>
    </row>
    <row r="26" spans="1:25" ht="15.75" customHeight="1" x14ac:dyDescent="0.15">
      <c r="A26" s="28" t="s">
        <v>174</v>
      </c>
      <c r="E26" s="47" t="str">
        <v>AWS RDS</v>
      </c>
      <c r="F26" s="48" t="str">
        <v>2xlarge-gp-psql</v>
      </c>
      <c r="G26" s="48" t="str">
        <v>db.m5.2xlarge</v>
      </c>
      <c r="H26" s="48">
        <v>1</v>
      </c>
      <c r="I26" s="48">
        <v>39</v>
      </c>
      <c r="J26" s="35">
        <v>0</v>
      </c>
      <c r="K26" s="90">
        <f t="shared" si="0"/>
        <v>0</v>
      </c>
      <c r="M26" s="24" t="str">
        <v>AWS OpenSearch</v>
      </c>
      <c r="N26" s="25" t="str">
        <v>es-2xlarge-gp</v>
      </c>
      <c r="O26" s="25" t="str">
        <v>m5.2xlarge.search</v>
      </c>
      <c r="P26" s="25">
        <v>5</v>
      </c>
      <c r="Q26" s="25">
        <v>163</v>
      </c>
      <c r="R26" s="38">
        <v>0</v>
      </c>
      <c r="S26" s="21">
        <f t="shared" si="1"/>
        <v>0</v>
      </c>
    </row>
    <row r="27" spans="1:25" ht="15.75" customHeight="1" x14ac:dyDescent="0.15">
      <c r="A27" s="28" t="s">
        <v>74</v>
      </c>
      <c r="B27" s="28" t="s">
        <v>23</v>
      </c>
      <c r="E27" s="24" t="str">
        <v>AWS RDS</v>
      </c>
      <c r="F27" s="25" t="str">
        <v>2xlarge-gp-psql-redundant</v>
      </c>
      <c r="G27" s="25" t="str">
        <v>db.m5.2xlarge</v>
      </c>
      <c r="H27" s="25">
        <v>1</v>
      </c>
      <c r="I27" s="25">
        <v>78</v>
      </c>
      <c r="J27" s="35">
        <v>0</v>
      </c>
      <c r="K27" s="90">
        <f t="shared" si="0"/>
        <v>0</v>
      </c>
      <c r="M27" s="47" t="str">
        <v>AWS OpenSearch</v>
      </c>
      <c r="N27" s="48" t="str">
        <v>es-2xlarge-gp-ha</v>
      </c>
      <c r="O27" s="48" t="str">
        <v>m5.2xlarge.search</v>
      </c>
      <c r="P27" s="48">
        <v>7</v>
      </c>
      <c r="Q27" s="48">
        <v>228</v>
      </c>
      <c r="R27" s="38">
        <v>0</v>
      </c>
      <c r="S27" s="21">
        <f t="shared" si="1"/>
        <v>0</v>
      </c>
    </row>
    <row r="28" spans="1:25" ht="15.75" customHeight="1" x14ac:dyDescent="0.15">
      <c r="A28" s="47" t="str">
        <f t="array" ref="A28:B35">CloudGovNoCostServices</f>
        <v>External Domain</v>
      </c>
      <c r="B28" s="21" t="str">
        <v>cdn-route</v>
      </c>
      <c r="E28" s="47" t="str">
        <v>AWS RDS</v>
      </c>
      <c r="F28" s="48" t="str">
        <v>xlarge-gp-psql-m6</v>
      </c>
      <c r="G28" s="48" t="str">
        <v>db.m6g.xlarge</v>
      </c>
      <c r="H28" s="48">
        <v>1</v>
      </c>
      <c r="I28" s="48">
        <v>17</v>
      </c>
      <c r="J28" s="35">
        <v>0</v>
      </c>
      <c r="K28" s="90">
        <f t="shared" si="0"/>
        <v>0</v>
      </c>
      <c r="M28" s="24" t="str">
        <v>AWS OpenSearch</v>
      </c>
      <c r="N28" s="25" t="str">
        <v>es-4xlarge-gp</v>
      </c>
      <c r="O28" s="25" t="str">
        <v>m5.4xlarge.search</v>
      </c>
      <c r="P28" s="25">
        <v>5</v>
      </c>
      <c r="Q28" s="25">
        <v>326</v>
      </c>
      <c r="R28" s="38">
        <v>0</v>
      </c>
      <c r="S28" s="21">
        <f t="shared" si="1"/>
        <v>0</v>
      </c>
    </row>
    <row r="29" spans="1:25" ht="15.75" customHeight="1" thickBot="1" x14ac:dyDescent="0.2">
      <c r="A29" s="24" t="str">
        <v>External Domain</v>
      </c>
      <c r="B29" s="27" t="str">
        <v>custom-domain</v>
      </c>
      <c r="E29" s="24" t="str">
        <v>AWS RDS</v>
      </c>
      <c r="F29" s="25" t="str">
        <v>xlarge-gp-psql-m6-redundant</v>
      </c>
      <c r="G29" s="25" t="str">
        <v>db.m6g.xlarge</v>
      </c>
      <c r="H29" s="25">
        <v>1</v>
      </c>
      <c r="I29" s="25">
        <v>34</v>
      </c>
      <c r="J29" s="35">
        <v>0</v>
      </c>
      <c r="K29" s="90">
        <f t="shared" si="0"/>
        <v>0</v>
      </c>
      <c r="M29" s="39" t="str">
        <v>AWS OpenSearch</v>
      </c>
      <c r="N29" s="40" t="str">
        <v>es-4xlarge-gp-ha</v>
      </c>
      <c r="O29" s="40" t="str">
        <v>m5.4xlarge.search</v>
      </c>
      <c r="P29" s="40">
        <v>7</v>
      </c>
      <c r="Q29" s="40">
        <v>456</v>
      </c>
      <c r="R29" s="41">
        <v>0</v>
      </c>
      <c r="S29" s="91">
        <f t="shared" si="1"/>
        <v>0</v>
      </c>
      <c r="T29" s="92"/>
    </row>
    <row r="30" spans="1:25" ht="15.75" customHeight="1" x14ac:dyDescent="0.15">
      <c r="A30" s="47" t="str">
        <v>External Domain</v>
      </c>
      <c r="B30" s="21" t="str">
        <v>domain</v>
      </c>
      <c r="E30" s="47" t="str">
        <v>AWS RDS</v>
      </c>
      <c r="F30" s="48" t="str">
        <v>micro-mysql</v>
      </c>
      <c r="G30" s="48" t="str">
        <v>db.t3.micro</v>
      </c>
      <c r="H30" s="48">
        <v>1</v>
      </c>
      <c r="I30" s="48">
        <v>1</v>
      </c>
      <c r="J30" s="43">
        <v>0</v>
      </c>
      <c r="K30" s="90">
        <f t="shared" si="0"/>
        <v>0</v>
      </c>
      <c r="Y30" s="29"/>
    </row>
    <row r="31" spans="1:25" ht="15.75" customHeight="1" x14ac:dyDescent="0.15">
      <c r="A31" s="24" t="str">
        <v>External Domain</v>
      </c>
      <c r="B31" s="27" t="str">
        <v>domain-with-cdn</v>
      </c>
      <c r="E31" s="24" t="str">
        <v>AWS RDS</v>
      </c>
      <c r="F31" s="25" t="str">
        <v>micro-mysql-redundant</v>
      </c>
      <c r="G31" s="25" t="str">
        <v>db.t3.micro</v>
      </c>
      <c r="H31" s="25">
        <v>1</v>
      </c>
      <c r="I31" s="25">
        <v>2</v>
      </c>
      <c r="J31" s="35">
        <v>0</v>
      </c>
      <c r="K31" s="90">
        <f t="shared" si="0"/>
        <v>0</v>
      </c>
      <c r="M31" s="2" t="s">
        <v>90</v>
      </c>
    </row>
    <row r="32" spans="1:25" ht="15.75" customHeight="1" thickBot="1" x14ac:dyDescent="0.2">
      <c r="A32" s="47" t="str">
        <v>UAA Service Account</v>
      </c>
      <c r="B32" s="21" t="str">
        <v>oauth-client</v>
      </c>
      <c r="E32" s="47" t="str">
        <v>AWS RDS</v>
      </c>
      <c r="F32" s="48" t="str">
        <v>small-mysql</v>
      </c>
      <c r="G32" s="48" t="str">
        <v>db.t3.small</v>
      </c>
      <c r="H32" s="48">
        <v>1</v>
      </c>
      <c r="I32" s="48">
        <v>2</v>
      </c>
      <c r="J32" s="35">
        <v>0</v>
      </c>
      <c r="K32" s="90">
        <f t="shared" si="0"/>
        <v>0</v>
      </c>
      <c r="M32" s="46" t="s">
        <v>10</v>
      </c>
      <c r="N32" s="46" t="s">
        <v>23</v>
      </c>
      <c r="O32" s="46" t="s">
        <v>44</v>
      </c>
      <c r="P32" s="46" t="s">
        <v>26</v>
      </c>
      <c r="Q32" s="16" t="s">
        <v>179</v>
      </c>
      <c r="R32" s="46" t="s">
        <v>9</v>
      </c>
      <c r="S32" s="46" t="s">
        <v>1</v>
      </c>
    </row>
    <row r="33" spans="1:19" ht="15.75" customHeight="1" x14ac:dyDescent="0.15">
      <c r="A33" s="24" t="str">
        <v>UAA Service Account</v>
      </c>
      <c r="B33" s="27" t="str">
        <v>space-auditor</v>
      </c>
      <c r="E33" s="24" t="str">
        <v>AWS RDS</v>
      </c>
      <c r="F33" s="25" t="str">
        <v>small-mysql-redundant</v>
      </c>
      <c r="G33" s="25" t="str">
        <v>db.t3.small</v>
      </c>
      <c r="H33" s="25">
        <v>1</v>
      </c>
      <c r="I33" s="25">
        <v>4</v>
      </c>
      <c r="J33" s="35">
        <v>0</v>
      </c>
      <c r="K33" s="90">
        <f t="shared" si="0"/>
        <v>0</v>
      </c>
      <c r="M33" s="47" t="str" cm="1">
        <f t="array" ref="M33:Q37">AwsElasticCachePrices</f>
        <v>AWS ElastiCache</v>
      </c>
      <c r="N33" s="48" t="str">
        <v>redis-dev</v>
      </c>
      <c r="O33" s="48" t="str">
        <v>cache.t3.micro</v>
      </c>
      <c r="P33" s="48">
        <v>1</v>
      </c>
      <c r="Q33" s="88">
        <v>1</v>
      </c>
      <c r="R33" s="50">
        <v>0</v>
      </c>
      <c r="S33" s="21">
        <f>R33*Q33</f>
        <v>0</v>
      </c>
    </row>
    <row r="34" spans="1:19" ht="15.75" customHeight="1" x14ac:dyDescent="0.15">
      <c r="A34" s="47" t="str">
        <v>UAA Service Account</v>
      </c>
      <c r="B34" s="21" t="str">
        <v>space-deployer</v>
      </c>
      <c r="E34" s="47" t="str">
        <v>AWS RDS</v>
      </c>
      <c r="F34" s="48" t="str">
        <v>medium-mysql</v>
      </c>
      <c r="G34" s="48" t="str">
        <v>db.t3.medium</v>
      </c>
      <c r="H34" s="48">
        <v>1</v>
      </c>
      <c r="I34" s="48">
        <v>4</v>
      </c>
      <c r="J34" s="35">
        <v>0</v>
      </c>
      <c r="K34" s="90">
        <f t="shared" si="0"/>
        <v>0</v>
      </c>
      <c r="M34" s="24" t="str">
        <v>AWS ElastiCache</v>
      </c>
      <c r="N34" s="25" t="str">
        <v>redis-3node</v>
      </c>
      <c r="O34" s="25" t="str">
        <v>cache.t3.micro</v>
      </c>
      <c r="P34" s="25">
        <v>3</v>
      </c>
      <c r="Q34" s="88">
        <v>2</v>
      </c>
      <c r="R34" s="38">
        <v>0</v>
      </c>
      <c r="S34" s="21">
        <f t="shared" ref="S34:S37" si="2">R34*Q34</f>
        <v>0</v>
      </c>
    </row>
    <row r="35" spans="1:19" ht="15.75" customHeight="1" x14ac:dyDescent="0.15">
      <c r="A35" s="24" t="str">
        <v>Autoscaler</v>
      </c>
      <c r="B35" s="27" t="str">
        <v>autoscaler-free-plan</v>
      </c>
      <c r="E35" s="24" t="str">
        <v>AWS RDS</v>
      </c>
      <c r="F35" s="25" t="str">
        <v>medium-mysql-redundant</v>
      </c>
      <c r="G35" s="25" t="str">
        <v>db.t3.medium</v>
      </c>
      <c r="H35" s="25">
        <v>1</v>
      </c>
      <c r="I35" s="25">
        <v>7</v>
      </c>
      <c r="J35" s="35">
        <v>0</v>
      </c>
      <c r="K35" s="90">
        <f t="shared" si="0"/>
        <v>0</v>
      </c>
      <c r="M35" s="47" t="str">
        <v>AWS ElastiCache</v>
      </c>
      <c r="N35" s="48" t="str">
        <v>redis-5node</v>
      </c>
      <c r="O35" s="48" t="str">
        <v>cache.t3.micro</v>
      </c>
      <c r="P35" s="48">
        <v>5</v>
      </c>
      <c r="Q35" s="88">
        <v>4</v>
      </c>
      <c r="R35" s="38">
        <v>0</v>
      </c>
      <c r="S35" s="21">
        <f t="shared" si="2"/>
        <v>0</v>
      </c>
    </row>
    <row r="36" spans="1:19" ht="15.75" customHeight="1" x14ac:dyDescent="0.15">
      <c r="A36" s="44" t="s">
        <v>106</v>
      </c>
      <c r="B36" s="44"/>
      <c r="E36" s="47" t="str">
        <v>AWS RDS</v>
      </c>
      <c r="F36" s="48" t="str">
        <v>medium-gp-mysql</v>
      </c>
      <c r="G36" s="48" t="str">
        <v>db.m5.large</v>
      </c>
      <c r="H36" s="48">
        <v>1</v>
      </c>
      <c r="I36" s="48">
        <v>9</v>
      </c>
      <c r="J36" s="35">
        <v>0</v>
      </c>
      <c r="K36" s="90">
        <f t="shared" si="0"/>
        <v>0</v>
      </c>
      <c r="M36" s="24" t="str">
        <v>AWS ElastiCache</v>
      </c>
      <c r="N36" s="25" t="str">
        <v>redis-3node-large</v>
      </c>
      <c r="O36" s="25" t="str">
        <v>cache.t3.small</v>
      </c>
      <c r="P36" s="25">
        <v>3</v>
      </c>
      <c r="Q36" s="88">
        <v>5</v>
      </c>
      <c r="R36" s="38">
        <v>0</v>
      </c>
      <c r="S36" s="21">
        <f t="shared" si="2"/>
        <v>0</v>
      </c>
    </row>
    <row r="37" spans="1:19" ht="15.75" customHeight="1" x14ac:dyDescent="0.15">
      <c r="E37" s="24" t="str">
        <v>AWS RDS</v>
      </c>
      <c r="F37" s="25" t="str">
        <v>medium-gp-mysql-redundant</v>
      </c>
      <c r="G37" s="25" t="str">
        <v>db.m5.large</v>
      </c>
      <c r="H37" s="25">
        <v>1</v>
      </c>
      <c r="I37" s="25">
        <v>19</v>
      </c>
      <c r="J37" s="35">
        <v>0</v>
      </c>
      <c r="K37" s="90">
        <f t="shared" si="0"/>
        <v>0</v>
      </c>
      <c r="M37" s="39" t="str">
        <v>AWS ElastiCache</v>
      </c>
      <c r="N37" s="40" t="str">
        <v>redis-5node-large</v>
      </c>
      <c r="O37" s="40" t="str">
        <v>cache.t3.small</v>
      </c>
      <c r="P37" s="40">
        <v>5</v>
      </c>
      <c r="Q37" s="89">
        <v>8</v>
      </c>
      <c r="R37" s="45">
        <v>0</v>
      </c>
      <c r="S37" s="91">
        <f t="shared" si="2"/>
        <v>0</v>
      </c>
    </row>
    <row r="38" spans="1:19" ht="15.75" customHeight="1" x14ac:dyDescent="0.15">
      <c r="E38" s="47" t="str">
        <v>AWS RDS</v>
      </c>
      <c r="F38" s="48" t="str">
        <v>large-gp-mysql</v>
      </c>
      <c r="G38" s="48" t="str">
        <v>db.m5.large</v>
      </c>
      <c r="H38" s="48">
        <v>1</v>
      </c>
      <c r="I38" s="48">
        <v>9</v>
      </c>
      <c r="J38" s="35">
        <v>0</v>
      </c>
      <c r="K38" s="90">
        <f t="shared" si="0"/>
        <v>0</v>
      </c>
    </row>
    <row r="39" spans="1:19" ht="15.75" customHeight="1" x14ac:dyDescent="0.15">
      <c r="A39" s="102" t="s">
        <v>183</v>
      </c>
      <c r="B39" s="103" t="s">
        <v>184</v>
      </c>
      <c r="C39" s="104" t="s">
        <v>185</v>
      </c>
      <c r="E39" s="24" t="str">
        <v>AWS RDS</v>
      </c>
      <c r="F39" s="25" t="str">
        <v>large-gp-mysql-redundant</v>
      </c>
      <c r="G39" s="25" t="str">
        <v>db.m5.large</v>
      </c>
      <c r="H39" s="25">
        <v>1</v>
      </c>
      <c r="I39" s="25">
        <v>19</v>
      </c>
      <c r="J39" s="35">
        <v>0</v>
      </c>
      <c r="K39" s="90">
        <f t="shared" si="0"/>
        <v>0</v>
      </c>
      <c r="M39" s="2" t="s">
        <v>114</v>
      </c>
    </row>
    <row r="40" spans="1:19" ht="15.75" customHeight="1" thickBot="1" x14ac:dyDescent="0.2">
      <c r="A40" s="105">
        <v>1</v>
      </c>
      <c r="B40" s="101">
        <v>45748</v>
      </c>
      <c r="C40" s="100" t="s">
        <v>189</v>
      </c>
      <c r="E40" s="47" t="str">
        <v>AWS RDS</v>
      </c>
      <c r="F40" s="48" t="str">
        <v>xlarge-gp-mysql</v>
      </c>
      <c r="G40" s="48" t="str">
        <v>db.m5.xlarge</v>
      </c>
      <c r="H40" s="48">
        <v>1</v>
      </c>
      <c r="I40" s="48">
        <v>19</v>
      </c>
      <c r="J40" s="35">
        <v>0</v>
      </c>
      <c r="K40" s="90">
        <f t="shared" si="0"/>
        <v>0</v>
      </c>
      <c r="M40" s="46" t="s">
        <v>10</v>
      </c>
      <c r="N40" s="46" t="s">
        <v>11</v>
      </c>
      <c r="O40" s="46" t="s">
        <v>12</v>
      </c>
      <c r="P40" s="46" t="s">
        <v>13</v>
      </c>
      <c r="Q40" s="46" t="s">
        <v>177</v>
      </c>
      <c r="R40" s="46" t="s">
        <v>9</v>
      </c>
      <c r="S40" s="95" t="s">
        <v>1</v>
      </c>
    </row>
    <row r="41" spans="1:19" ht="15.75" customHeight="1" thickBot="1" x14ac:dyDescent="0.2">
      <c r="A41" s="105">
        <v>1.1000000000000001</v>
      </c>
      <c r="B41" s="101">
        <v>45749</v>
      </c>
      <c r="C41" s="100" t="s">
        <v>186</v>
      </c>
      <c r="E41" s="24" t="str">
        <v>AWS RDS</v>
      </c>
      <c r="F41" s="25" t="str">
        <v>xlarge-gp-mysql-redundant</v>
      </c>
      <c r="G41" s="25" t="str">
        <v>db.m5.xlarge</v>
      </c>
      <c r="H41" s="25">
        <v>1</v>
      </c>
      <c r="I41" s="25">
        <v>37</v>
      </c>
      <c r="J41" s="35">
        <v>0</v>
      </c>
      <c r="K41" s="90">
        <f t="shared" si="0"/>
        <v>0</v>
      </c>
      <c r="M41" s="47" t="s">
        <v>117</v>
      </c>
      <c r="N41" s="48" t="s">
        <v>118</v>
      </c>
      <c r="O41" s="49" t="s">
        <v>119</v>
      </c>
      <c r="P41" s="48" t="s">
        <v>120</v>
      </c>
      <c r="Q41" s="88">
        <f>'AWS Service Prices'!K6*'AWS Service Prices'!M6</f>
        <v>150000</v>
      </c>
      <c r="R41" s="93">
        <v>1000</v>
      </c>
      <c r="S41" s="97">
        <f>ROUNDUP(Table_820[[#This Row],[Quantity]]/Table_820[[#This Row],[Units/Credit]],0)</f>
        <v>1</v>
      </c>
    </row>
    <row r="42" spans="1:19" ht="15.75" customHeight="1" thickBot="1" x14ac:dyDescent="0.2">
      <c r="A42" s="105"/>
      <c r="C42" s="100" t="s">
        <v>187</v>
      </c>
      <c r="E42" s="47" t="str">
        <v>AWS RDS</v>
      </c>
      <c r="F42" s="48" t="str">
        <v>medium-oracle-se2</v>
      </c>
      <c r="G42" s="48" t="str">
        <v>db.t3.medium</v>
      </c>
      <c r="H42" s="48">
        <v>1</v>
      </c>
      <c r="I42" s="48">
        <v>7</v>
      </c>
      <c r="J42" s="35">
        <v>0</v>
      </c>
      <c r="K42" s="90">
        <f t="shared" si="0"/>
        <v>0</v>
      </c>
      <c r="M42" s="54" t="s">
        <v>117</v>
      </c>
      <c r="N42" s="55" t="s">
        <v>122</v>
      </c>
      <c r="O42" s="53" t="s">
        <v>123</v>
      </c>
      <c r="P42" s="55" t="s">
        <v>124</v>
      </c>
      <c r="Q42" s="88">
        <f>'AWS Service Prices'!K7*'AWS Service Prices'!M7</f>
        <v>120</v>
      </c>
      <c r="R42" s="94">
        <v>2</v>
      </c>
      <c r="S42" s="96">
        <f>ROUNDUP(Table_820[[#This Row],[Quantity]]/Table_820[[#This Row],[Units/Credit]],0)</f>
        <v>1</v>
      </c>
    </row>
    <row r="43" spans="1:19" ht="15.75" customHeight="1" thickBot="1" x14ac:dyDescent="0.2">
      <c r="A43" s="105"/>
      <c r="C43" s="100" t="s">
        <v>188</v>
      </c>
      <c r="E43" s="54" t="str">
        <v>AWS RDS</v>
      </c>
      <c r="F43" s="55" t="str">
        <v>large-gp-sqlserver-se</v>
      </c>
      <c r="G43" s="55" t="str">
        <v>db.m5.large</v>
      </c>
      <c r="H43" s="55">
        <v>1</v>
      </c>
      <c r="I43" s="55">
        <v>46</v>
      </c>
      <c r="J43" s="56">
        <v>0</v>
      </c>
      <c r="K43" s="99">
        <f t="shared" si="0"/>
        <v>0</v>
      </c>
      <c r="Q43" s="98"/>
    </row>
    <row r="44" spans="1:19" ht="15.75" customHeight="1" x14ac:dyDescent="0.15">
      <c r="A44" s="105">
        <v>1.2</v>
      </c>
      <c r="B44" s="101">
        <v>45756</v>
      </c>
      <c r="C44" s="106" t="s">
        <v>190</v>
      </c>
      <c r="J44" s="4"/>
    </row>
    <row r="45" spans="1:19" ht="15.75" customHeight="1" x14ac:dyDescent="0.15">
      <c r="A45" s="105">
        <v>1.3</v>
      </c>
      <c r="B45" s="101">
        <v>45757</v>
      </c>
      <c r="C45" s="106" t="s">
        <v>191</v>
      </c>
      <c r="J45" s="4"/>
    </row>
    <row r="46" spans="1:19" ht="15.75" customHeight="1" x14ac:dyDescent="0.15">
      <c r="A46" s="105"/>
      <c r="J46" s="4"/>
    </row>
    <row r="47" spans="1:19" ht="15.75" customHeight="1" x14ac:dyDescent="0.15">
      <c r="A47" s="105"/>
      <c r="J47" s="4"/>
    </row>
    <row r="48" spans="1:19" ht="15.75" customHeight="1" x14ac:dyDescent="0.15">
      <c r="A48" s="105"/>
      <c r="J48" s="4"/>
    </row>
    <row r="49" spans="1:10" ht="15.75" customHeight="1" x14ac:dyDescent="0.15">
      <c r="A49" s="105"/>
      <c r="J49" s="4"/>
    </row>
    <row r="50" spans="1:10" ht="15.75" customHeight="1" x14ac:dyDescent="0.15">
      <c r="A50" s="105"/>
      <c r="J50" s="4"/>
    </row>
    <row r="51" spans="1:10" ht="15.75" customHeight="1" x14ac:dyDescent="0.15">
      <c r="J51" s="4"/>
    </row>
    <row r="52" spans="1:10" ht="15.75" customHeight="1" x14ac:dyDescent="0.15">
      <c r="J52" s="4"/>
    </row>
    <row r="53" spans="1:10" ht="15.75" customHeight="1" x14ac:dyDescent="0.15">
      <c r="J53" s="4"/>
    </row>
    <row r="54" spans="1:10" ht="15.75" customHeight="1" x14ac:dyDescent="0.15">
      <c r="J54" s="4"/>
    </row>
    <row r="55" spans="1:10" ht="15.75" customHeight="1" x14ac:dyDescent="0.15">
      <c r="J55" s="4"/>
    </row>
    <row r="56" spans="1:10" ht="15.75" customHeight="1" x14ac:dyDescent="0.15">
      <c r="J56" s="4"/>
    </row>
    <row r="57" spans="1:10" ht="15.75" customHeight="1" x14ac:dyDescent="0.15">
      <c r="J57" s="4"/>
    </row>
    <row r="58" spans="1:10" ht="15.75" customHeight="1" x14ac:dyDescent="0.15">
      <c r="J58" s="4"/>
    </row>
    <row r="59" spans="1:10" ht="15.75" customHeight="1" x14ac:dyDescent="0.15">
      <c r="J59" s="4"/>
    </row>
    <row r="60" spans="1:10" ht="15.75" customHeight="1" x14ac:dyDescent="0.15">
      <c r="J60" s="4"/>
    </row>
    <row r="61" spans="1:10" ht="15.75" customHeight="1" x14ac:dyDescent="0.15">
      <c r="J61" s="4"/>
    </row>
    <row r="62" spans="1:10" ht="15.75" customHeight="1" x14ac:dyDescent="0.15">
      <c r="J62" s="4"/>
    </row>
    <row r="63" spans="1:10" ht="15.75" customHeight="1" x14ac:dyDescent="0.15">
      <c r="J63" s="4"/>
    </row>
    <row r="64" spans="1:10" ht="15.75" customHeight="1" x14ac:dyDescent="0.15">
      <c r="J64" s="4"/>
    </row>
    <row r="65" spans="10:10" ht="15.75" customHeight="1" x14ac:dyDescent="0.15">
      <c r="J65" s="4"/>
    </row>
    <row r="66" spans="10:10" ht="15.75" customHeight="1" x14ac:dyDescent="0.15">
      <c r="J66" s="4"/>
    </row>
    <row r="67" spans="10:10" ht="15.75" customHeight="1" x14ac:dyDescent="0.15">
      <c r="J67" s="4"/>
    </row>
    <row r="68" spans="10:10" ht="15.75" customHeight="1" x14ac:dyDescent="0.15">
      <c r="J68" s="4"/>
    </row>
    <row r="69" spans="10:10" ht="15.75" customHeight="1" x14ac:dyDescent="0.15">
      <c r="J69" s="4"/>
    </row>
    <row r="70" spans="10:10" ht="15.75" customHeight="1" x14ac:dyDescent="0.15">
      <c r="J70" s="4"/>
    </row>
    <row r="71" spans="10:10" ht="15.75" customHeight="1" x14ac:dyDescent="0.15">
      <c r="J71" s="4"/>
    </row>
    <row r="72" spans="10:10" ht="15.75" customHeight="1" x14ac:dyDescent="0.15">
      <c r="J72" s="4"/>
    </row>
    <row r="73" spans="10:10" ht="15.75" customHeight="1" x14ac:dyDescent="0.15">
      <c r="J73" s="4"/>
    </row>
    <row r="74" spans="10:10" ht="15.75" customHeight="1" x14ac:dyDescent="0.15">
      <c r="J74" s="4"/>
    </row>
    <row r="75" spans="10:10" ht="15.75" customHeight="1" x14ac:dyDescent="0.15">
      <c r="J75" s="4"/>
    </row>
    <row r="76" spans="10:10" ht="15.75" customHeight="1" x14ac:dyDescent="0.15">
      <c r="J76" s="4"/>
    </row>
    <row r="77" spans="10:10" ht="15.75" customHeight="1" x14ac:dyDescent="0.15">
      <c r="J77" s="4"/>
    </row>
    <row r="78" spans="10:10" ht="15.75" customHeight="1" x14ac:dyDescent="0.15">
      <c r="J78" s="4"/>
    </row>
    <row r="79" spans="10:10" ht="15.75" customHeight="1" x14ac:dyDescent="0.15"/>
    <row r="80" spans="10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F1"/>
  </mergeCells>
  <conditionalFormatting sqref="B10 J14:J43 B15">
    <cfRule type="cellIs" dxfId="13" priority="14" operator="notEqual">
      <formula>0</formula>
    </cfRule>
  </conditionalFormatting>
  <conditionalFormatting sqref="F10">
    <cfRule type="expression" dxfId="12" priority="6">
      <formula>$J$10&gt;0</formula>
    </cfRule>
  </conditionalFormatting>
  <conditionalFormatting sqref="F14:F43">
    <cfRule type="expression" dxfId="11" priority="7">
      <formula>$J14&gt;0</formula>
    </cfRule>
  </conditionalFormatting>
  <conditionalFormatting sqref="J10">
    <cfRule type="cellIs" dxfId="10" priority="8" operator="notEqual">
      <formula>0</formula>
    </cfRule>
  </conditionalFormatting>
  <conditionalFormatting sqref="N10">
    <cfRule type="expression" dxfId="9" priority="4">
      <formula>$R10&gt;0</formula>
    </cfRule>
  </conditionalFormatting>
  <conditionalFormatting sqref="N15">
    <cfRule type="expression" dxfId="8" priority="5">
      <formula>$R15&gt;0</formula>
    </cfRule>
  </conditionalFormatting>
  <conditionalFormatting sqref="N19:N29">
    <cfRule type="expression" dxfId="7" priority="3">
      <formula>$R19&gt;0</formula>
    </cfRule>
  </conditionalFormatting>
  <conditionalFormatting sqref="N33:N37">
    <cfRule type="expression" dxfId="6" priority="2">
      <formula>$R33&gt;0</formula>
    </cfRule>
  </conditionalFormatting>
  <conditionalFormatting sqref="N41:N42">
    <cfRule type="expression" dxfId="5" priority="1">
      <formula>$R41&gt;0</formula>
    </cfRule>
  </conditionalFormatting>
  <conditionalFormatting sqref="R10">
    <cfRule type="cellIs" dxfId="4" priority="10" operator="notEqual">
      <formula>0</formula>
    </cfRule>
  </conditionalFormatting>
  <conditionalFormatting sqref="R15">
    <cfRule type="cellIs" dxfId="3" priority="9" operator="notEqual">
      <formula>0</formula>
    </cfRule>
  </conditionalFormatting>
  <conditionalFormatting sqref="R19:R29">
    <cfRule type="cellIs" dxfId="2" priority="12" operator="notEqual">
      <formula>0</formula>
    </cfRule>
  </conditionalFormatting>
  <conditionalFormatting sqref="R33:R37">
    <cfRule type="cellIs" dxfId="1" priority="11" operator="notEqual">
      <formula>0</formula>
    </cfRule>
  </conditionalFormatting>
  <conditionalFormatting sqref="R41:R42">
    <cfRule type="cellIs" dxfId="0" priority="13" operator="notEqual">
      <formula>0</formula>
    </cfRule>
  </conditionalFormatting>
  <pageMargins left="0.7" right="0.7" top="0.75" bottom="0.75" header="0" footer="0"/>
  <pageSetup orientation="landscape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Worksheet</vt:lpstr>
      <vt:lpstr>Cloud.gov Tiers</vt:lpstr>
      <vt:lpstr>AWS Service Prices</vt:lpstr>
      <vt:lpstr>Example worksheet</vt:lpstr>
      <vt:lpstr>'Example worksheet'!AWS_RDS_Instances</vt:lpstr>
      <vt:lpstr>AWS_RDS_Instances</vt:lpstr>
      <vt:lpstr>AwsElasticCachePrices</vt:lpstr>
      <vt:lpstr>AwsOpensearchPrices</vt:lpstr>
      <vt:lpstr>AWSRdsServicePrices</vt:lpstr>
      <vt:lpstr>CloudGovNoCostServices</vt:lpstr>
      <vt:lpstr>MeteredServices</vt:lpstr>
      <vt:lpstr>PricePerCredit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MarkDBoyd</cp:lastModifiedBy>
  <dcterms:created xsi:type="dcterms:W3CDTF">2025-03-12T20:18:36Z</dcterms:created>
  <dcterms:modified xsi:type="dcterms:W3CDTF">2025-07-02T14:22:40Z</dcterms:modified>
</cp:coreProperties>
</file>