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R:\Merchandising\Multiples\COMMERCIAL MANAGEMENT\WEEKLY REPORTING - BOARD &amp; FINANCE\MARGIN UPDATE REPORT\08 AUG 2021\"/>
    </mc:Choice>
  </mc:AlternateContent>
  <xr:revisionPtr revIDLastSave="0" documentId="13_ncr:1_{A15A53B2-26EE-48E4-A6CB-BD04DF567A30}" xr6:coauthVersionLast="47" xr6:coauthVersionMax="47" xr10:uidLastSave="{00000000-0000-0000-0000-000000000000}"/>
  <bookViews>
    <workbookView xWindow="28680" yWindow="-120" windowWidth="29040" windowHeight="15840" xr2:uid="{C1F18092-E976-413D-9BCF-1D15338C1A1C}"/>
  </bookViews>
  <sheets>
    <sheet name="Exec Summary" sheetId="19" r:id="rId1"/>
    <sheet name="Focus" sheetId="21" r:id="rId2"/>
    <sheet name="2021_2022" sheetId="18" r:id="rId3"/>
    <sheet name="Margins_Workings" sheetId="20" state="hidden" r:id="rId4"/>
    <sheet name="FQM 21_22" sheetId="2" r:id="rId5"/>
  </sheets>
  <definedNames>
    <definedName name="_xlnm._FilterDatabase" localSheetId="2" hidden="1">'2021_2022'!$N$24:$V$29</definedName>
    <definedName name="_xlcn.WorksheetConnection_16.08.2021MarginUpdate.xlsxTable11" hidden="1">Table1[]</definedName>
    <definedName name="_xlcn.WorksheetConnection_19.07.2021MarginUpdate.xlsxTable181" hidden="1">Table18[]</definedName>
    <definedName name="_xlcn.WorksheetConnection_25.01.2021MarginUpdate.xlsxTable21" hidden="1">CompletedJobs[]</definedName>
    <definedName name="ExternalData_1" localSheetId="2" hidden="1">'2021_2022'!$C$1:$H$1</definedName>
    <definedName name="Weekly_Data">Table18[#All]</definedName>
    <definedName name="Z_2F1BB094_22AA_4369_918D_49871A137985_.wvu.Cols" localSheetId="2" hidden="1">'2021_2022'!$I:$K,'2021_2022'!#REF!</definedName>
    <definedName name="Z_2F1BB094_22AA_4369_918D_49871A137985_.wvu.FilterData" localSheetId="2" hidden="1">'2021_2022'!$C$1:$K$1</definedName>
    <definedName name="Z_E88EB3B6_C869_4132_A555_2BC045752423_.wvu.Cols" localSheetId="2" hidden="1">'2021_2022'!$D:$E</definedName>
    <definedName name="Z_E88EB3B6_C869_4132_A555_2BC045752423_.wvu.FilterData" localSheetId="2" hidden="1">'2021_2022'!$C$1:$K$1</definedName>
  </definedNames>
  <calcPr calcId="191029"/>
  <customWorkbookViews>
    <customWorkbookView name="Jon Bethel (MIL-HO) - Personal View" guid="{E88EB3B6-C869-4132-A555-2BC045752423}" mergeInterval="0" personalView="1" maximized="1" xWindow="-8" yWindow="-8" windowWidth="1616" windowHeight="876" activeSheetId="1"/>
    <customWorkbookView name="Catherine Taylor (MIL-HO) - Personal View" guid="{2F1BB094-22AA-4369-918D-49871A137985}" mergeInterval="0" personalView="1" maximized="1" xWindow="-11" yWindow="-11" windowWidth="1942" windowHeight="1042" activeSheetId="2"/>
  </customWorkbookViews>
  <pivotCaches>
    <pivotCache cacheId="156" r:id="rId6"/>
    <pivotCache cacheId="157" r:id="rId7"/>
    <pivotCache cacheId="158" r:id="rId8"/>
    <pivotCache cacheId="159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25.01.2021 Margin Update.xlsx!Table2"/>
          <x15:modelTable id="Table18" name="Table18" connection="WorksheetConnection_19.07.2021 Margin Update.xlsx!Table18"/>
          <x15:modelTable id="Table1" name="Table1" connection="WorksheetConnection_16.08.2021 Margin Update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0" l="1"/>
  <c r="I2" i="20"/>
  <c r="C3" i="20"/>
  <c r="C2" i="20"/>
  <c r="A3" i="20"/>
  <c r="A2" i="20"/>
  <c r="H144" i="18"/>
  <c r="H145" i="18"/>
  <c r="H146" i="18"/>
  <c r="H147" i="18"/>
  <c r="H148" i="18"/>
  <c r="H149" i="18"/>
  <c r="H150" i="18"/>
  <c r="L150" i="2" s="1"/>
  <c r="H47" i="18"/>
  <c r="H22" i="18"/>
  <c r="H23" i="18"/>
  <c r="H24" i="18"/>
  <c r="H25" i="18"/>
  <c r="H26" i="18"/>
  <c r="H27" i="18"/>
  <c r="H28" i="18"/>
  <c r="H29" i="18"/>
  <c r="H30" i="18"/>
  <c r="H31" i="18"/>
  <c r="H32" i="18"/>
  <c r="L144" i="2"/>
  <c r="L146" i="2"/>
  <c r="L151" i="2"/>
  <c r="K131" i="18"/>
  <c r="K132" i="18"/>
  <c r="K133" i="18"/>
  <c r="K134" i="18"/>
  <c r="K135" i="18"/>
  <c r="K136" i="18"/>
  <c r="K137" i="18"/>
  <c r="K138" i="18"/>
  <c r="K139" i="18"/>
  <c r="K140" i="18"/>
  <c r="K141" i="18"/>
  <c r="K142" i="18"/>
  <c r="K143" i="18"/>
  <c r="K71" i="18"/>
  <c r="K44" i="18"/>
  <c r="K45" i="18"/>
  <c r="K46" i="18"/>
  <c r="E3" i="20"/>
  <c r="E2" i="20"/>
  <c r="H131" i="18"/>
  <c r="L131" i="18" s="1"/>
  <c r="H132" i="18"/>
  <c r="H133" i="18"/>
  <c r="H134" i="18"/>
  <c r="H135" i="18"/>
  <c r="L135" i="18" s="1"/>
  <c r="H136" i="18"/>
  <c r="H137" i="18"/>
  <c r="H138" i="18"/>
  <c r="H139" i="18"/>
  <c r="L139" i="18" s="1"/>
  <c r="H140" i="18"/>
  <c r="H141" i="18"/>
  <c r="L140" i="2" s="1"/>
  <c r="H142" i="18"/>
  <c r="H143" i="18"/>
  <c r="H71" i="18"/>
  <c r="H44" i="18"/>
  <c r="H45" i="18"/>
  <c r="H46" i="18"/>
  <c r="L46" i="18" s="1"/>
  <c r="K129" i="18"/>
  <c r="K130" i="18"/>
  <c r="K68" i="18"/>
  <c r="K69" i="18"/>
  <c r="K70" i="18"/>
  <c r="K20" i="18"/>
  <c r="K21" i="18"/>
  <c r="H68" i="18"/>
  <c r="H69" i="18"/>
  <c r="H70" i="18"/>
  <c r="H20" i="18"/>
  <c r="H21" i="18"/>
  <c r="H129" i="18"/>
  <c r="H130" i="18"/>
  <c r="L129" i="2" s="1"/>
  <c r="K126" i="18"/>
  <c r="K127" i="18"/>
  <c r="K128" i="18"/>
  <c r="K66" i="18"/>
  <c r="K67" i="18"/>
  <c r="H126" i="18"/>
  <c r="H127" i="18"/>
  <c r="H128" i="18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L133" i="2"/>
  <c r="L135" i="2"/>
  <c r="L149" i="2"/>
  <c r="L152" i="2"/>
  <c r="L154" i="2"/>
  <c r="L155" i="2"/>
  <c r="L156" i="2"/>
  <c r="L157" i="2"/>
  <c r="L158" i="2"/>
  <c r="L159" i="2"/>
  <c r="L160" i="2"/>
  <c r="L161" i="2"/>
  <c r="L162" i="2"/>
  <c r="L163" i="2"/>
  <c r="H66" i="18"/>
  <c r="H67" i="18"/>
  <c r="K117" i="18"/>
  <c r="K118" i="18"/>
  <c r="K119" i="18"/>
  <c r="K120" i="18"/>
  <c r="K121" i="18"/>
  <c r="K122" i="18"/>
  <c r="K123" i="18"/>
  <c r="K124" i="18"/>
  <c r="K125" i="18"/>
  <c r="K65" i="18"/>
  <c r="K43" i="18"/>
  <c r="G3" i="20"/>
  <c r="G2" i="20"/>
  <c r="L134" i="18" l="1"/>
  <c r="L147" i="2"/>
  <c r="L142" i="18"/>
  <c r="L141" i="2"/>
  <c r="L139" i="2"/>
  <c r="L142" i="2"/>
  <c r="L138" i="18"/>
  <c r="L137" i="18"/>
  <c r="L148" i="2"/>
  <c r="L153" i="2"/>
  <c r="L145" i="2"/>
  <c r="L134" i="2"/>
  <c r="L129" i="18"/>
  <c r="L143" i="2"/>
  <c r="L143" i="18"/>
  <c r="L136" i="18"/>
  <c r="L130" i="2"/>
  <c r="L132" i="2"/>
  <c r="L126" i="18"/>
  <c r="L132" i="18"/>
  <c r="L45" i="18"/>
  <c r="L138" i="2"/>
  <c r="L140" i="18"/>
  <c r="L137" i="2"/>
  <c r="L44" i="18"/>
  <c r="L136" i="2"/>
  <c r="L128" i="18"/>
  <c r="L131" i="2"/>
  <c r="L71" i="18"/>
  <c r="L127" i="18"/>
  <c r="L130" i="18"/>
  <c r="L133" i="18"/>
  <c r="L126" i="2"/>
  <c r="L141" i="18"/>
  <c r="L127" i="2"/>
  <c r="L128" i="2"/>
  <c r="L69" i="18"/>
  <c r="L21" i="18"/>
  <c r="L66" i="18"/>
  <c r="L20" i="18"/>
  <c r="L70" i="18"/>
  <c r="L68" i="18"/>
  <c r="L67" i="18"/>
  <c r="G4" i="20"/>
  <c r="G5" i="20" s="1"/>
  <c r="O36" i="18" s="1"/>
  <c r="I4" i="20"/>
  <c r="I5" i="20" s="1"/>
  <c r="O37" i="18" s="1"/>
  <c r="K3" i="20"/>
  <c r="C4" i="20"/>
  <c r="C5" i="20" s="1"/>
  <c r="O34" i="18" s="1"/>
  <c r="E4" i="20"/>
  <c r="E5" i="20" s="1"/>
  <c r="O35" i="18" s="1"/>
  <c r="A4" i="20"/>
  <c r="A5" i="20" s="1"/>
  <c r="O33" i="18" s="1"/>
  <c r="K2" i="20"/>
  <c r="K4" i="20" l="1"/>
  <c r="K5" i="20" s="1"/>
  <c r="S33" i="18"/>
  <c r="S32" i="18"/>
  <c r="H117" i="18"/>
  <c r="H118" i="18"/>
  <c r="L117" i="2" s="1"/>
  <c r="H119" i="18"/>
  <c r="L118" i="2" s="1"/>
  <c r="H120" i="18"/>
  <c r="H121" i="18"/>
  <c r="H122" i="18"/>
  <c r="L121" i="2" s="1"/>
  <c r="H123" i="18"/>
  <c r="H124" i="18"/>
  <c r="H125" i="18"/>
  <c r="H65" i="18"/>
  <c r="H43" i="18"/>
  <c r="U4" i="2"/>
  <c r="U3" i="2"/>
  <c r="I18" i="2"/>
  <c r="I31" i="2"/>
  <c r="I32" i="2"/>
  <c r="I6" i="2"/>
  <c r="I10" i="2"/>
  <c r="L120" i="2" l="1"/>
  <c r="L119" i="2"/>
  <c r="L124" i="2"/>
  <c r="L125" i="2"/>
  <c r="L122" i="2"/>
  <c r="L123" i="2"/>
  <c r="L125" i="18"/>
  <c r="L124" i="18"/>
  <c r="L123" i="18"/>
  <c r="L122" i="18"/>
  <c r="L121" i="18"/>
  <c r="L120" i="18"/>
  <c r="L119" i="18"/>
  <c r="L117" i="18"/>
  <c r="L43" i="18"/>
  <c r="L65" i="18"/>
  <c r="L118" i="18"/>
  <c r="S34" i="18"/>
  <c r="S35" i="18" s="1"/>
  <c r="R32" i="18" s="1"/>
  <c r="K16" i="18"/>
  <c r="K17" i="18"/>
  <c r="K18" i="18"/>
  <c r="K19" i="18"/>
  <c r="K33" i="18"/>
  <c r="K34" i="18"/>
  <c r="K35" i="18"/>
  <c r="K36" i="18"/>
  <c r="K37" i="18"/>
  <c r="K38" i="18"/>
  <c r="K39" i="18"/>
  <c r="K40" i="18"/>
  <c r="K41" i="18"/>
  <c r="K42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4" i="18"/>
  <c r="K63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106" i="18"/>
  <c r="K107" i="18"/>
  <c r="K108" i="18"/>
  <c r="K109" i="18"/>
  <c r="K110" i="18"/>
  <c r="K111" i="18"/>
  <c r="K112" i="18"/>
  <c r="K113" i="18"/>
  <c r="K114" i="18"/>
  <c r="K115" i="18"/>
  <c r="K116" i="18"/>
  <c r="H114" i="18" l="1"/>
  <c r="H115" i="18"/>
  <c r="H116" i="18"/>
  <c r="H64" i="18"/>
  <c r="H63" i="18"/>
  <c r="H61" i="18"/>
  <c r="V15" i="18"/>
  <c r="V14" i="18"/>
  <c r="V16" i="18"/>
  <c r="V18" i="18"/>
  <c r="V17" i="18"/>
  <c r="V19" i="18"/>
  <c r="V5" i="18"/>
  <c r="V4" i="18"/>
  <c r="V6" i="18"/>
  <c r="V8" i="18"/>
  <c r="V7" i="18"/>
  <c r="V9" i="18"/>
  <c r="U27" i="18"/>
  <c r="U28" i="18"/>
  <c r="U29" i="18"/>
  <c r="U24" i="18"/>
  <c r="U25" i="18"/>
  <c r="U26" i="18"/>
  <c r="U20" i="18"/>
  <c r="U10" i="18"/>
  <c r="T27" i="18"/>
  <c r="T28" i="18"/>
  <c r="T29" i="18"/>
  <c r="T24" i="18"/>
  <c r="T25" i="18"/>
  <c r="T26" i="18"/>
  <c r="T20" i="18"/>
  <c r="T10" i="18"/>
  <c r="H110" i="18"/>
  <c r="H111" i="18"/>
  <c r="H112" i="18"/>
  <c r="L111" i="2" s="1"/>
  <c r="H113" i="18"/>
  <c r="L112" i="2" s="1"/>
  <c r="H74" i="18"/>
  <c r="H16" i="18"/>
  <c r="H17" i="18"/>
  <c r="H18" i="18"/>
  <c r="H19" i="18"/>
  <c r="I25" i="2"/>
  <c r="I26" i="2"/>
  <c r="L113" i="2" l="1"/>
  <c r="L110" i="2"/>
  <c r="L115" i="2"/>
  <c r="L116" i="2"/>
  <c r="L114" i="2"/>
  <c r="L19" i="18"/>
  <c r="L19" i="2"/>
  <c r="L18" i="18"/>
  <c r="L18" i="2"/>
  <c r="L74" i="18"/>
  <c r="L110" i="18"/>
  <c r="L116" i="18"/>
  <c r="L17" i="18"/>
  <c r="L17" i="2"/>
  <c r="L114" i="18"/>
  <c r="L113" i="18"/>
  <c r="L61" i="18"/>
  <c r="L111" i="18"/>
  <c r="L64" i="18"/>
  <c r="L115" i="18"/>
  <c r="L16" i="18"/>
  <c r="L16" i="2"/>
  <c r="L112" i="18"/>
  <c r="L63" i="18"/>
  <c r="U30" i="18"/>
  <c r="T30" i="18"/>
  <c r="I3" i="2"/>
  <c r="I4" i="2"/>
  <c r="I5" i="2"/>
  <c r="I7" i="2"/>
  <c r="I8" i="2"/>
  <c r="I9" i="2"/>
  <c r="I11" i="2"/>
  <c r="I12" i="2"/>
  <c r="I13" i="2"/>
  <c r="I14" i="2"/>
  <c r="I15" i="2"/>
  <c r="I16" i="2"/>
  <c r="I17" i="2"/>
  <c r="I19" i="2"/>
  <c r="I20" i="2"/>
  <c r="I21" i="2"/>
  <c r="I22" i="2"/>
  <c r="I23" i="2"/>
  <c r="I24" i="2"/>
  <c r="I27" i="2"/>
  <c r="I28" i="2"/>
  <c r="I29" i="2"/>
  <c r="I30" i="2"/>
  <c r="I33" i="2"/>
  <c r="I34" i="2"/>
  <c r="I35" i="2"/>
  <c r="I36" i="2"/>
  <c r="I2" i="2" l="1"/>
  <c r="R3" i="2" s="1"/>
  <c r="H109" i="18"/>
  <c r="H108" i="18"/>
  <c r="L107" i="2" s="1"/>
  <c r="H107" i="18"/>
  <c r="H106" i="18"/>
  <c r="H105" i="18"/>
  <c r="H104" i="18"/>
  <c r="H103" i="18"/>
  <c r="H102" i="18"/>
  <c r="H101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3" i="18"/>
  <c r="H72" i="18"/>
  <c r="H62" i="18"/>
  <c r="H59" i="18"/>
  <c r="H60" i="18"/>
  <c r="H58" i="18"/>
  <c r="L46" i="2" s="1"/>
  <c r="H57" i="18"/>
  <c r="H56" i="18"/>
  <c r="H55" i="18"/>
  <c r="H54" i="18"/>
  <c r="H53" i="18"/>
  <c r="H52" i="18"/>
  <c r="H51" i="18"/>
  <c r="H50" i="18"/>
  <c r="S29" i="18"/>
  <c r="R29" i="18"/>
  <c r="Q29" i="18"/>
  <c r="P29" i="18"/>
  <c r="O29" i="18"/>
  <c r="H49" i="18"/>
  <c r="S28" i="18"/>
  <c r="R28" i="18"/>
  <c r="Q28" i="18"/>
  <c r="P28" i="18"/>
  <c r="S27" i="18"/>
  <c r="R27" i="18"/>
  <c r="Q27" i="18"/>
  <c r="P27" i="18"/>
  <c r="O27" i="18"/>
  <c r="H48" i="18"/>
  <c r="S26" i="18"/>
  <c r="R26" i="18"/>
  <c r="Q26" i="18"/>
  <c r="P26" i="18"/>
  <c r="O26" i="18"/>
  <c r="H42" i="18"/>
  <c r="S25" i="18"/>
  <c r="R25" i="18"/>
  <c r="Q25" i="18"/>
  <c r="P25" i="18"/>
  <c r="O25" i="18"/>
  <c r="H41" i="18"/>
  <c r="S24" i="18"/>
  <c r="R24" i="18"/>
  <c r="Q24" i="18"/>
  <c r="P24" i="18"/>
  <c r="O24" i="18"/>
  <c r="H40" i="18"/>
  <c r="H39" i="18"/>
  <c r="H38" i="18"/>
  <c r="S20" i="18"/>
  <c r="R20" i="18"/>
  <c r="Q20" i="18"/>
  <c r="P20" i="18"/>
  <c r="O20" i="18"/>
  <c r="H37" i="18"/>
  <c r="H36" i="18"/>
  <c r="H35" i="18"/>
  <c r="H34" i="18"/>
  <c r="H33" i="18"/>
  <c r="K15" i="18"/>
  <c r="H15" i="18"/>
  <c r="K14" i="18"/>
  <c r="H14" i="18"/>
  <c r="K13" i="18"/>
  <c r="H13" i="18"/>
  <c r="K12" i="18"/>
  <c r="H12" i="18"/>
  <c r="K11" i="18"/>
  <c r="H11" i="18"/>
  <c r="S10" i="18"/>
  <c r="R10" i="18"/>
  <c r="Q10" i="18"/>
  <c r="P10" i="18"/>
  <c r="O10" i="18"/>
  <c r="K10" i="18"/>
  <c r="H10" i="18"/>
  <c r="K9" i="18"/>
  <c r="H9" i="18"/>
  <c r="K8" i="18"/>
  <c r="H8" i="18"/>
  <c r="K7" i="18"/>
  <c r="H7" i="18"/>
  <c r="K6" i="18"/>
  <c r="H6" i="18"/>
  <c r="K5" i="18"/>
  <c r="H5" i="18"/>
  <c r="K4" i="18"/>
  <c r="H4" i="18"/>
  <c r="K3" i="18"/>
  <c r="H3" i="18"/>
  <c r="K2" i="18"/>
  <c r="H2" i="18"/>
  <c r="L104" i="2" l="1"/>
  <c r="L98" i="2"/>
  <c r="L101" i="2"/>
  <c r="L51" i="2"/>
  <c r="L102" i="2"/>
  <c r="L103" i="2"/>
  <c r="L105" i="2"/>
  <c r="L106" i="2"/>
  <c r="L99" i="2"/>
  <c r="L49" i="2"/>
  <c r="L100" i="2"/>
  <c r="L108" i="2"/>
  <c r="L109" i="2"/>
  <c r="L48" i="2"/>
  <c r="L95" i="2"/>
  <c r="L96" i="2"/>
  <c r="L97" i="2"/>
  <c r="L92" i="2"/>
  <c r="L47" i="2"/>
  <c r="L50" i="2"/>
  <c r="L56" i="2"/>
  <c r="L11" i="2"/>
  <c r="L13" i="2"/>
  <c r="L90" i="2"/>
  <c r="L93" i="2"/>
  <c r="L91" i="2"/>
  <c r="L94" i="2"/>
  <c r="L37" i="2"/>
  <c r="L52" i="2"/>
  <c r="L54" i="2"/>
  <c r="L2" i="2"/>
  <c r="L6" i="2"/>
  <c r="L44" i="2"/>
  <c r="L4" i="2"/>
  <c r="L8" i="2"/>
  <c r="L12" i="2"/>
  <c r="L32" i="2"/>
  <c r="L31" i="2"/>
  <c r="L10" i="2"/>
  <c r="L3" i="2"/>
  <c r="L7" i="2"/>
  <c r="L5" i="2"/>
  <c r="L9" i="2"/>
  <c r="L77" i="18"/>
  <c r="L57" i="2"/>
  <c r="L93" i="18"/>
  <c r="L73" i="2"/>
  <c r="L52" i="18"/>
  <c r="L36" i="2"/>
  <c r="L59" i="18"/>
  <c r="L43" i="2"/>
  <c r="L87" i="18"/>
  <c r="L67" i="2"/>
  <c r="L103" i="18"/>
  <c r="L83" i="2"/>
  <c r="L35" i="18"/>
  <c r="L22" i="2"/>
  <c r="L53" i="18"/>
  <c r="L80" i="18"/>
  <c r="L60" i="2"/>
  <c r="L88" i="18"/>
  <c r="L68" i="2"/>
  <c r="L96" i="18"/>
  <c r="L76" i="2"/>
  <c r="L36" i="18"/>
  <c r="L23" i="2"/>
  <c r="L39" i="18"/>
  <c r="L26" i="2"/>
  <c r="L41" i="18"/>
  <c r="L29" i="2"/>
  <c r="L54" i="18"/>
  <c r="L38" i="2"/>
  <c r="L81" i="18"/>
  <c r="L61" i="2"/>
  <c r="L89" i="18"/>
  <c r="L69" i="2"/>
  <c r="L97" i="18"/>
  <c r="L77" i="2"/>
  <c r="L105" i="18"/>
  <c r="L85" i="2"/>
  <c r="L75" i="18"/>
  <c r="L55" i="2"/>
  <c r="L99" i="18"/>
  <c r="L79" i="2"/>
  <c r="L58" i="18"/>
  <c r="L42" i="2"/>
  <c r="L109" i="18"/>
  <c r="L89" i="2"/>
  <c r="L78" i="18"/>
  <c r="L58" i="2"/>
  <c r="L86" i="18"/>
  <c r="L66" i="2"/>
  <c r="L102" i="18"/>
  <c r="L82" i="2"/>
  <c r="L34" i="18"/>
  <c r="L21" i="2"/>
  <c r="L42" i="18"/>
  <c r="L30" i="2"/>
  <c r="L49" i="18"/>
  <c r="L33" i="2"/>
  <c r="L79" i="18"/>
  <c r="L59" i="2"/>
  <c r="L95" i="18"/>
  <c r="L75" i="2"/>
  <c r="L38" i="18"/>
  <c r="L25" i="2"/>
  <c r="L62" i="18"/>
  <c r="L45" i="2"/>
  <c r="L104" i="18"/>
  <c r="L84" i="2"/>
  <c r="L14" i="2"/>
  <c r="L37" i="18"/>
  <c r="L24" i="2"/>
  <c r="L27" i="2"/>
  <c r="L55" i="18"/>
  <c r="L39" i="2"/>
  <c r="L73" i="18"/>
  <c r="L53" i="2"/>
  <c r="L82" i="18"/>
  <c r="L62" i="2"/>
  <c r="L90" i="18"/>
  <c r="L70" i="2"/>
  <c r="L98" i="18"/>
  <c r="L78" i="2"/>
  <c r="L106" i="18"/>
  <c r="L86" i="2"/>
  <c r="L40" i="18"/>
  <c r="L28" i="2"/>
  <c r="L83" i="18"/>
  <c r="L63" i="2"/>
  <c r="L107" i="18"/>
  <c r="L87" i="2"/>
  <c r="L15" i="2"/>
  <c r="L57" i="18"/>
  <c r="L41" i="2"/>
  <c r="L84" i="18"/>
  <c r="L64" i="2"/>
  <c r="L92" i="18"/>
  <c r="L72" i="2"/>
  <c r="L100" i="18"/>
  <c r="L80" i="2"/>
  <c r="L108" i="18"/>
  <c r="L88" i="2"/>
  <c r="L56" i="18"/>
  <c r="L40" i="2"/>
  <c r="L91" i="18"/>
  <c r="L71" i="2"/>
  <c r="L50" i="18"/>
  <c r="L34" i="2"/>
  <c r="L85" i="18"/>
  <c r="L65" i="2"/>
  <c r="L101" i="18"/>
  <c r="L81" i="2"/>
  <c r="L33" i="18"/>
  <c r="L20" i="2"/>
  <c r="L51" i="18"/>
  <c r="L35" i="2"/>
  <c r="L94" i="18"/>
  <c r="L74" i="2"/>
  <c r="L60" i="18"/>
  <c r="L72" i="18"/>
  <c r="L48" i="18"/>
  <c r="L76" i="18"/>
  <c r="V10" i="18"/>
  <c r="V20" i="18"/>
  <c r="Q30" i="18"/>
  <c r="V25" i="18"/>
  <c r="V28" i="18"/>
  <c r="L11" i="18"/>
  <c r="L15" i="18"/>
  <c r="U5" i="2"/>
  <c r="R8" i="2" s="1"/>
  <c r="V29" i="18"/>
  <c r="R30" i="18"/>
  <c r="S30" i="18"/>
  <c r="V26" i="18"/>
  <c r="P30" i="18"/>
  <c r="V24" i="18"/>
  <c r="V27" i="18"/>
  <c r="L3" i="18"/>
  <c r="L6" i="18"/>
  <c r="L13" i="18"/>
  <c r="O30" i="18"/>
  <c r="L12" i="18"/>
  <c r="L9" i="18"/>
  <c r="L14" i="18"/>
  <c r="L2" i="18"/>
  <c r="L5" i="18"/>
  <c r="L8" i="18"/>
  <c r="L4" i="18"/>
  <c r="L7" i="18"/>
  <c r="L10" i="18"/>
  <c r="V30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Taylor (MIL-HO)</author>
  </authors>
  <commentList>
    <comment ref="K21" authorId="0" shapeId="0" xr:uid="{9CDAEED0-0B62-40B5-921D-FBB8A451D74B}">
      <text>
        <r>
          <rPr>
            <b/>
            <sz val="9"/>
            <color indexed="81"/>
            <rFont val="Tahoma"/>
            <family val="2"/>
          </rPr>
          <t>Catherine Taylor (MIL-HO):  Last minute job, taken to help out RMS - also had a drop out and needed to replace.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31241A-B83C-487A-9615-20B49E30D575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42C05A38-79D4-4264-AB19-98BA6A6EF1F8}" keepAlive="1" name="Query - Parameter1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FF2AD680-446A-47A5-B08A-0E617BC206D9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4" xr16:uid="{E1C9435D-8E6F-4F32-A4FD-BC44CC823BD6}" keepAlive="1" name="Query - QMDL" description="Connection to the 'QMDL' query in the workbook." type="5" refreshedVersion="7" background="1" saveData="1">
    <dbPr connection="Provider=Microsoft.Mashup.OleDb.1;Data Source=$Workbook$;Location=QMDL;Extended Properties=&quot;&quot;" command="SELECT * FROM [QMDL]"/>
  </connection>
  <connection id="5" xr16:uid="{F54C5E2B-A454-4BC1-81B7-9E98F58ECD3D}" keepAlive="1" name="Query - Sainsburys" description="Connection to the 'Sainsburys' query in the workbook." type="5" refreshedVersion="6" background="1" saveData="1">
    <dbPr connection="Provider=Microsoft.Mashup.OleDb.1;Data Source=$Workbook$;Location=Sainsburys;Extended Properties=&quot;&quot;" command="SELECT * FROM [Sainsburys]"/>
  </connection>
  <connection id="6" xr16:uid="{A409F944-95B0-45E9-95B7-6B75D5170E69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7" xr16:uid="{55765BEE-AA2B-4845-90D3-668AFE1C9E0C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8" xr16:uid="{1E222787-210D-4FB9-BE72-6A182B64C610}" keepAlive="1" name="Query - Sample File1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9" xr16:uid="{42130121-CD53-48DA-8F4D-B12F11B8CEDD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0" xr16:uid="{39436110-53E4-4236-9461-10FD62D6E753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11" xr16:uid="{C874E47F-E0B1-453F-B9AB-23EE50CFB460}" keepAlive="1" name="Query - Transform File1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2" xr16:uid="{C297241A-C58B-4972-BB6F-AC45BA3B0032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3" xr16:uid="{E8957192-3F89-4EC6-B9D9-351F93BEC36B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  <connection id="14" xr16:uid="{D9FC0CE1-D9A6-434F-B173-909DBDCA925F}" keepAlive="1" name="Query - Transform Sample File1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5" xr16:uid="{AF9DC247-7CE1-44C9-9572-95E48AE1C264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6" xr16:uid="{6CF3591F-F984-4B9A-8963-CA10D9205198}" name="WorksheetConnection_16.08.2021 Margin Update.xlsx!Table1" type="102" refreshedVersion="7" minRefreshableVersion="5">
    <extLst>
      <ext xmlns:x15="http://schemas.microsoft.com/office/spreadsheetml/2010/11/main" uri="{DE250136-89BD-433C-8126-D09CA5730AF9}">
        <x15:connection id="Table1">
          <x15:rangePr sourceName="_xlcn.WorksheetConnection_16.08.2021MarginUpdate.xlsxTable11"/>
        </x15:connection>
      </ext>
    </extLst>
  </connection>
  <connection id="17" xr16:uid="{21D4914B-B986-46EF-BBCA-149B23E8B828}" name="WorksheetConnection_19.07.2021 Margin Update.xlsx!Table18" type="102" refreshedVersion="7" minRefreshableVersion="5">
    <extLst>
      <ext xmlns:x15="http://schemas.microsoft.com/office/spreadsheetml/2010/11/main" uri="{DE250136-89BD-433C-8126-D09CA5730AF9}">
        <x15:connection id="Table18">
          <x15:rangePr sourceName="_xlcn.WorksheetConnection_19.07.2021MarginUpdate.xlsxTable181"/>
        </x15:connection>
      </ext>
    </extLst>
  </connection>
  <connection id="18" xr16:uid="{0B2AD0CA-8491-4A89-B7E4-1DA2AEA08898}" name="WorksheetConnection_25.01.2021 Margin Update.xlsx!Table2" type="102" refreshedVersion="7" minRefreshableVersion="5">
    <extLst>
      <ext xmlns:x15="http://schemas.microsoft.com/office/spreadsheetml/2010/11/main" uri="{DE250136-89BD-433C-8126-D09CA5730AF9}">
        <x15:connection id="Table2">
          <x15:rangePr sourceName="_xlcn.WorksheetConnection_25.01.2021MarginUpdate.xlsxTable21"/>
        </x15:connection>
      </ext>
    </extLst>
  </connection>
</connections>
</file>

<file path=xl/sharedStrings.xml><?xml version="1.0" encoding="utf-8"?>
<sst xmlns="http://schemas.openxmlformats.org/spreadsheetml/2006/main" count="653" uniqueCount="424">
  <si>
    <t>Store</t>
  </si>
  <si>
    <t>Job Code</t>
  </si>
  <si>
    <t>Start Date</t>
  </si>
  <si>
    <t>End Date</t>
  </si>
  <si>
    <t>Billings</t>
  </si>
  <si>
    <t>Cost</t>
  </si>
  <si>
    <t>Margin</t>
  </si>
  <si>
    <t>Fosse Park</t>
  </si>
  <si>
    <t>Maypole</t>
  </si>
  <si>
    <t>Bybrook</t>
  </si>
  <si>
    <t>Beckton</t>
  </si>
  <si>
    <t>Prev. Billings</t>
  </si>
  <si>
    <t>Prev. Cost</t>
  </si>
  <si>
    <t>Prev. Margin</t>
  </si>
  <si>
    <t>JOB NAME</t>
  </si>
  <si>
    <t>JOB CODE</t>
  </si>
  <si>
    <t>START</t>
  </si>
  <si>
    <t>END</t>
  </si>
  <si>
    <t>BILLINGS</t>
  </si>
  <si>
    <t>COST</t>
  </si>
  <si>
    <t>ACTUAL MARGIN</t>
  </si>
  <si>
    <t>Variance</t>
  </si>
  <si>
    <t>ASDA</t>
  </si>
  <si>
    <t>CO-OP</t>
  </si>
  <si>
    <t>HOTEL OCCUPANCY</t>
  </si>
  <si>
    <t>Halifax</t>
  </si>
  <si>
    <t>CAR HIRE DAYS</t>
  </si>
  <si>
    <t>ABSENT DAYS</t>
  </si>
  <si>
    <t>BOOTS</t>
  </si>
  <si>
    <t>COOP</t>
  </si>
  <si>
    <t>SAINSBURYS</t>
  </si>
  <si>
    <t>CLIENT</t>
  </si>
  <si>
    <t>SAI05/312</t>
  </si>
  <si>
    <t>Melton Mowbray</t>
  </si>
  <si>
    <t>Live Margin</t>
  </si>
  <si>
    <t xml:space="preserve">ARGOS </t>
  </si>
  <si>
    <t>MARGIN</t>
  </si>
  <si>
    <t>Dalgety Bay</t>
  </si>
  <si>
    <t>ASD02/082</t>
  </si>
  <si>
    <t>SAI05/326</t>
  </si>
  <si>
    <t>Average Margin Variance</t>
  </si>
  <si>
    <t>Description</t>
  </si>
  <si>
    <t>Average</t>
  </si>
  <si>
    <t>Hitchin</t>
  </si>
  <si>
    <t>SAI05/329</t>
  </si>
  <si>
    <t>Woolwich SAS Closure</t>
  </si>
  <si>
    <t>ARG01/514</t>
  </si>
  <si>
    <t>Woolwich SIS Opening</t>
  </si>
  <si>
    <t>ARG01/515</t>
  </si>
  <si>
    <t>SAI05/333</t>
  </si>
  <si>
    <t>Oswestry</t>
  </si>
  <si>
    <t>SAI05/334</t>
  </si>
  <si>
    <t>Bromley by Bow</t>
  </si>
  <si>
    <t>Ellenbrook</t>
  </si>
  <si>
    <t>COO01/175</t>
  </si>
  <si>
    <t>Pentwortham Local</t>
  </si>
  <si>
    <t>SAI05/336</t>
  </si>
  <si>
    <t>ASD02/084</t>
  </si>
  <si>
    <t>Dunstable</t>
  </si>
  <si>
    <t>Birmingham Fort Parkway</t>
  </si>
  <si>
    <t>SAI05/338</t>
  </si>
  <si>
    <t>Lytham St Anne's</t>
  </si>
  <si>
    <t>SAI05/341</t>
  </si>
  <si>
    <t>BOO02/1096</t>
  </si>
  <si>
    <t>ARG01/517</t>
  </si>
  <si>
    <t>ARG01/518</t>
  </si>
  <si>
    <t>Lewisham SAS Closure</t>
  </si>
  <si>
    <t>Lewisham SIS</t>
  </si>
  <si>
    <t>Welshpool</t>
  </si>
  <si>
    <t>SAI05/342</t>
  </si>
  <si>
    <t>SAI05/344</t>
  </si>
  <si>
    <t>ASD02/085</t>
  </si>
  <si>
    <t>Leith</t>
  </si>
  <si>
    <t>SAI05/346</t>
  </si>
  <si>
    <t>SAI05/347</t>
  </si>
  <si>
    <t>Northwich</t>
  </si>
  <si>
    <t>SAI05/348</t>
  </si>
  <si>
    <t>Dept. Avg</t>
  </si>
  <si>
    <t>SAI05/349</t>
  </si>
  <si>
    <t>SAI05/350</t>
  </si>
  <si>
    <t>Ellesmere Port</t>
  </si>
  <si>
    <t>BOO02/1100</t>
  </si>
  <si>
    <t>BOO02/1102</t>
  </si>
  <si>
    <t>Peterlee</t>
  </si>
  <si>
    <t>Pershore</t>
  </si>
  <si>
    <t>MERCH DEPT.</t>
  </si>
  <si>
    <t>FORECAST BILLINGS 2021-2022 FY - CONFIRMED REQUIREMENTS</t>
  </si>
  <si>
    <t>FORECAST COSTS 2021-2022 FY - CONFIRMED REQUIREMENTS</t>
  </si>
  <si>
    <t>FORECAST MARGIN 2021-2022 FY - CONFIRMED REQUIREMENTS</t>
  </si>
  <si>
    <t>ARGOS</t>
  </si>
  <si>
    <t>SAINSBURY'S</t>
  </si>
  <si>
    <t>JUNE</t>
  </si>
  <si>
    <t>JULY</t>
  </si>
  <si>
    <t>AUGUST</t>
  </si>
  <si>
    <t>SEPTEMBER</t>
  </si>
  <si>
    <t>YTD</t>
  </si>
  <si>
    <t>SAI05/351</t>
  </si>
  <si>
    <t>SAI05/352</t>
  </si>
  <si>
    <t>Marble Arch</t>
  </si>
  <si>
    <t>Leven</t>
  </si>
  <si>
    <t>ARG01/519</t>
  </si>
  <si>
    <t>ARG01/520</t>
  </si>
  <si>
    <t>ARG01/521</t>
  </si>
  <si>
    <t>ARG01/522</t>
  </si>
  <si>
    <t>Oswestry SIS</t>
  </si>
  <si>
    <t xml:space="preserve">Pepper Hill </t>
  </si>
  <si>
    <t>SAI05/353</t>
  </si>
  <si>
    <t>Altrincham</t>
  </si>
  <si>
    <t>SAI05/354</t>
  </si>
  <si>
    <t>ARG01/523</t>
  </si>
  <si>
    <t>Dudley</t>
  </si>
  <si>
    <t>ASD02/086</t>
  </si>
  <si>
    <t>Grange Over Sands</t>
  </si>
  <si>
    <t>SAI05/355</t>
  </si>
  <si>
    <t>ARG01/508</t>
  </si>
  <si>
    <t>Marshall Lake SIS</t>
  </si>
  <si>
    <t>Solihull Sears Sis Hub</t>
  </si>
  <si>
    <t>ARG01/512</t>
  </si>
  <si>
    <t>Willenhall</t>
  </si>
  <si>
    <t>BOO02/1080</t>
  </si>
  <si>
    <t>Clapham Junction</t>
  </si>
  <si>
    <t>ASD02/083</t>
  </si>
  <si>
    <t>Parr Lane, Bury</t>
  </si>
  <si>
    <t>COO01/172</t>
  </si>
  <si>
    <t>Hackney Lower Clapton Rd Local</t>
  </si>
  <si>
    <t>SAI05/313</t>
  </si>
  <si>
    <t>Wantage</t>
  </si>
  <si>
    <t>SAI05/324</t>
  </si>
  <si>
    <t>Cranleigh</t>
  </si>
  <si>
    <t>SAI05/332</t>
  </si>
  <si>
    <t>SAI05/335</t>
  </si>
  <si>
    <t>BOO02/1092</t>
  </si>
  <si>
    <t>Kingston Upon Thames</t>
  </si>
  <si>
    <t>BOO02/1093</t>
  </si>
  <si>
    <t>High Street, Birmingham</t>
  </si>
  <si>
    <t>BOO02/1095</t>
  </si>
  <si>
    <t>COO01/176</t>
  </si>
  <si>
    <t>ARG01/524</t>
  </si>
  <si>
    <t>ARG01/525</t>
  </si>
  <si>
    <t>The Moor</t>
  </si>
  <si>
    <t>KEY GROUP</t>
  </si>
  <si>
    <t>ARG01/526</t>
  </si>
  <si>
    <t>Blackpool Squires Gate</t>
  </si>
  <si>
    <t>ASD02/087</t>
  </si>
  <si>
    <t>Winsford</t>
  </si>
  <si>
    <t>BOO02/1107</t>
  </si>
  <si>
    <t>Sheffield Waitrose</t>
  </si>
  <si>
    <t>SAI05/356</t>
  </si>
  <si>
    <t>Kenton</t>
  </si>
  <si>
    <t>ARG01/527</t>
  </si>
  <si>
    <t>ARG01/528</t>
  </si>
  <si>
    <t>East Retford</t>
  </si>
  <si>
    <t>South Shields</t>
  </si>
  <si>
    <t>ASD02/089</t>
  </si>
  <si>
    <t>Trowbridge</t>
  </si>
  <si>
    <t>BOO02/1108</t>
  </si>
  <si>
    <t>Brentwood</t>
  </si>
  <si>
    <t>BOO02/1109</t>
  </si>
  <si>
    <t>Bournemouth Royal Hospital</t>
  </si>
  <si>
    <t>BOO02/1110</t>
  </si>
  <si>
    <t>Orpington</t>
  </si>
  <si>
    <t>BOO02/1111</t>
  </si>
  <si>
    <t>Barkingside</t>
  </si>
  <si>
    <t>Oxted</t>
  </si>
  <si>
    <t>Dunstable ASDA</t>
  </si>
  <si>
    <t>KEY01/003</t>
  </si>
  <si>
    <t>SAI05/357</t>
  </si>
  <si>
    <t>Worksop</t>
  </si>
  <si>
    <t>SAI05/358</t>
  </si>
  <si>
    <t>ASD02/088</t>
  </si>
  <si>
    <t>OCTOBER</t>
  </si>
  <si>
    <t>ARG01/507</t>
  </si>
  <si>
    <t>ARG01/509</t>
  </si>
  <si>
    <t>Shorehead</t>
  </si>
  <si>
    <t>ARG01/513</t>
  </si>
  <si>
    <t>Leeds Road Huddersfield</t>
  </si>
  <si>
    <t>BOO02/1091</t>
  </si>
  <si>
    <t>Blackburn</t>
  </si>
  <si>
    <t>COO01/173</t>
  </si>
  <si>
    <t>Rainford</t>
  </si>
  <si>
    <t>BOO02/1085</t>
  </si>
  <si>
    <t>SAI05/302</t>
  </si>
  <si>
    <t>SAI05/320</t>
  </si>
  <si>
    <t xml:space="preserve">Hampden Park </t>
  </si>
  <si>
    <t>SAI05/325</t>
  </si>
  <si>
    <t>Bromley</t>
  </si>
  <si>
    <t>SAI05/330</t>
  </si>
  <si>
    <t>Lewisham</t>
  </si>
  <si>
    <t>SAI05/340</t>
  </si>
  <si>
    <t>Dorking</t>
  </si>
  <si>
    <t>Final Quote Model - Departmental AVG Margin</t>
  </si>
  <si>
    <t>ASD02/091</t>
  </si>
  <si>
    <t>ASD02/092</t>
  </si>
  <si>
    <t>ASD02/093</t>
  </si>
  <si>
    <t>Dumbarton</t>
  </si>
  <si>
    <t>Barnsley</t>
  </si>
  <si>
    <t>BOO02/1112</t>
  </si>
  <si>
    <t>BOO02/1114</t>
  </si>
  <si>
    <t>Watford</t>
  </si>
  <si>
    <t>BOO02/1113</t>
  </si>
  <si>
    <t>Heacham</t>
  </si>
  <si>
    <t>Bexleyheath</t>
  </si>
  <si>
    <t>Harrow Sudbury</t>
  </si>
  <si>
    <t>Norwich Longwater Retail Park</t>
  </si>
  <si>
    <t>BOO02/1115</t>
  </si>
  <si>
    <t>SAI05/359</t>
  </si>
  <si>
    <t>Wilmslow</t>
  </si>
  <si>
    <t>SAI05/360</t>
  </si>
  <si>
    <t>Whitchurch Bargates</t>
  </si>
  <si>
    <t>SAI05/361</t>
  </si>
  <si>
    <t>London Colney</t>
  </si>
  <si>
    <t>SAI05/362</t>
  </si>
  <si>
    <t>Wakefield Marsh Way</t>
  </si>
  <si>
    <t>SAI05/363</t>
  </si>
  <si>
    <t>Harpenden</t>
  </si>
  <si>
    <t>SAI05/364</t>
  </si>
  <si>
    <t>Colne</t>
  </si>
  <si>
    <t>SAI05/365</t>
  </si>
  <si>
    <t>Ringwood</t>
  </si>
  <si>
    <t>SAI05/366</t>
  </si>
  <si>
    <t>Thorley</t>
  </si>
  <si>
    <t>SAI05/367</t>
  </si>
  <si>
    <t>Colwick</t>
  </si>
  <si>
    <t>SAI05/368</t>
  </si>
  <si>
    <t>East Prescot Road</t>
  </si>
  <si>
    <t>SAI05/369</t>
  </si>
  <si>
    <t>Aylesbury Gatehouse</t>
  </si>
  <si>
    <t>SAI05/370</t>
  </si>
  <si>
    <t>Upton</t>
  </si>
  <si>
    <t>Sum of Billings</t>
  </si>
  <si>
    <t>Sum of Cost</t>
  </si>
  <si>
    <t>Row Labels</t>
  </si>
  <si>
    <t>Sum of Revenue</t>
  </si>
  <si>
    <t>Sum of Margin</t>
  </si>
  <si>
    <t>Job Ref</t>
  </si>
  <si>
    <t>Billings Total</t>
  </si>
  <si>
    <t>Cost Total</t>
  </si>
  <si>
    <t>Total Revenue</t>
  </si>
  <si>
    <t>Margin %</t>
  </si>
  <si>
    <t>Top 10 Current Jobs - Revenue</t>
  </si>
  <si>
    <t>Top 10 Current Jobs - Margin</t>
  </si>
  <si>
    <t>BOO02/1117</t>
  </si>
  <si>
    <t>BOO02/1116</t>
  </si>
  <si>
    <t>Target</t>
  </si>
  <si>
    <t>ARG01/510</t>
  </si>
  <si>
    <t>Thanet West Wood Cross SiS</t>
  </si>
  <si>
    <t>ARG01/516</t>
  </si>
  <si>
    <t>Derby Kingsway SIS</t>
  </si>
  <si>
    <t>COO01/174</t>
  </si>
  <si>
    <t>The Gables</t>
  </si>
  <si>
    <t>SAI05/321</t>
  </si>
  <si>
    <t>White Rose</t>
  </si>
  <si>
    <t>SAI05/316</t>
  </si>
  <si>
    <t>Thanet</t>
  </si>
  <si>
    <t>SAI05/315</t>
  </si>
  <si>
    <t>Bletchley</t>
  </si>
  <si>
    <t>ARG01/529</t>
  </si>
  <si>
    <t>ARG01/530</t>
  </si>
  <si>
    <t>ARG01/531</t>
  </si>
  <si>
    <t>ARG01/532</t>
  </si>
  <si>
    <t>Trowbridge Closure</t>
  </si>
  <si>
    <t>Braintree SIS</t>
  </si>
  <si>
    <t>Braintree SAS Closure</t>
  </si>
  <si>
    <t>BOO02/1118</t>
  </si>
  <si>
    <t>COO01/177</t>
  </si>
  <si>
    <t>Meal Solutions Revisit</t>
  </si>
  <si>
    <t>SAI05/371</t>
  </si>
  <si>
    <t>SAI05/372</t>
  </si>
  <si>
    <t>SAI05/373</t>
  </si>
  <si>
    <t>SAI05/374</t>
  </si>
  <si>
    <t>Scarborough</t>
  </si>
  <si>
    <t>Sutton Old Gas Works</t>
  </si>
  <si>
    <t>Braintree</t>
  </si>
  <si>
    <t>Penrith</t>
  </si>
  <si>
    <t>NOVEMBER</t>
  </si>
  <si>
    <t>DECEMBER</t>
  </si>
  <si>
    <t>Lytham St Annes</t>
  </si>
  <si>
    <t>Llandudno Hub 2063 new store</t>
  </si>
  <si>
    <t>Llandudno Hub Closure 0387</t>
  </si>
  <si>
    <t>Trowbrige SIS</t>
  </si>
  <si>
    <t>BOO02/1119</t>
  </si>
  <si>
    <t>Bexhill on Sea (6467)</t>
  </si>
  <si>
    <t>Worthing Lyons Farm (6473)</t>
  </si>
  <si>
    <t>Denton (886)</t>
  </si>
  <si>
    <t>Edgware (515)</t>
  </si>
  <si>
    <t>Wakefield Marsh Way (2258)</t>
  </si>
  <si>
    <t>SAI05/377</t>
  </si>
  <si>
    <t>SAI05/375</t>
  </si>
  <si>
    <t>SAI05/376</t>
  </si>
  <si>
    <t>Bottom 10 Current Jobs - Revenue</t>
  </si>
  <si>
    <t>Bottom 10 Current Jobs - Margin</t>
  </si>
  <si>
    <t>Grand Total</t>
  </si>
  <si>
    <t>Sum of Total Revenue</t>
  </si>
  <si>
    <t>Sum of Sum of Margin</t>
  </si>
  <si>
    <t>High Revenue - Low Margin</t>
  </si>
  <si>
    <t>ASD02/081</t>
  </si>
  <si>
    <t>ARG01/511</t>
  </si>
  <si>
    <t>Thanet West Wood Cross Closure</t>
  </si>
  <si>
    <t>BOO02/1097</t>
  </si>
  <si>
    <t>Bristol Beam Street</t>
  </si>
  <si>
    <t>SAI05/327</t>
  </si>
  <si>
    <t>Bromley Gas Cooler Replacement</t>
  </si>
  <si>
    <t>SAI05/328</t>
  </si>
  <si>
    <t>Bolton</t>
  </si>
  <si>
    <t>ASD02/094</t>
  </si>
  <si>
    <t>Lowestoft</t>
  </si>
  <si>
    <t>BOO02/1121</t>
  </si>
  <si>
    <t>BOO02/1120</t>
  </si>
  <si>
    <t>Oldham (6490)</t>
  </si>
  <si>
    <t>SAI05/378</t>
  </si>
  <si>
    <t>SAI05/379</t>
  </si>
  <si>
    <t>SAI05/380</t>
  </si>
  <si>
    <t>SAI05/381</t>
  </si>
  <si>
    <t>SAI05/382</t>
  </si>
  <si>
    <t>SAI05/383</t>
  </si>
  <si>
    <t>SAI05/384</t>
  </si>
  <si>
    <t>SAI05/385</t>
  </si>
  <si>
    <t>SAI05/386</t>
  </si>
  <si>
    <t>Penrith (2153)</t>
  </si>
  <si>
    <t>Chafford Hundred (2071)</t>
  </si>
  <si>
    <t>North Cheam (38)</t>
  </si>
  <si>
    <t>Bishops Stortford (2151)</t>
  </si>
  <si>
    <t>East Grinstead (15)</t>
  </si>
  <si>
    <t>Marsh Mills (0691)</t>
  </si>
  <si>
    <t>Hampstead High Street (6270)</t>
  </si>
  <si>
    <t>Woolton (834)</t>
  </si>
  <si>
    <t>Merton (566)</t>
  </si>
  <si>
    <t>BOO02/1123</t>
  </si>
  <si>
    <t>BOO02/1124</t>
  </si>
  <si>
    <t>BOO02/1125</t>
  </si>
  <si>
    <t>West Bridgeford (95)</t>
  </si>
  <si>
    <t>Welling (1021)</t>
  </si>
  <si>
    <t>SAI05/387</t>
  </si>
  <si>
    <t>SAI05/388</t>
  </si>
  <si>
    <t>SAI05/389</t>
  </si>
  <si>
    <t>Wednesfield (2040)</t>
  </si>
  <si>
    <t>Morden (2126)</t>
  </si>
  <si>
    <t>Wandsworth (69)</t>
  </si>
  <si>
    <t>SAI05/391</t>
  </si>
  <si>
    <t>SAI05/392</t>
  </si>
  <si>
    <t>Bicester (2243)</t>
  </si>
  <si>
    <t>Emersons Green (677)</t>
  </si>
  <si>
    <t>ARG01/533</t>
  </si>
  <si>
    <t>ARG01/534</t>
  </si>
  <si>
    <t>Thurrock Retail Park (504) Closure</t>
  </si>
  <si>
    <t>Chafford Hundred SIS</t>
  </si>
  <si>
    <t>BOO02/1126</t>
  </si>
  <si>
    <t>BOO02/1127</t>
  </si>
  <si>
    <t>BOO02/1128</t>
  </si>
  <si>
    <t>Yeovil (6584)</t>
  </si>
  <si>
    <t>Bristol Beam Street (5519)</t>
  </si>
  <si>
    <t>Cambridge Newmarket Road (6492)</t>
  </si>
  <si>
    <t>Merchandising Department</t>
  </si>
  <si>
    <t>ASD02/095</t>
  </si>
  <si>
    <t>ASD02/096</t>
  </si>
  <si>
    <t>ASD02/097</t>
  </si>
  <si>
    <t>Birchwood</t>
  </si>
  <si>
    <t>Bedminster</t>
  </si>
  <si>
    <t>BOO02/1129</t>
  </si>
  <si>
    <t>Rochester Strood</t>
  </si>
  <si>
    <t>SAI05/393</t>
  </si>
  <si>
    <t>SAI05/394</t>
  </si>
  <si>
    <t>SAI05/395</t>
  </si>
  <si>
    <t>SAI05/396</t>
  </si>
  <si>
    <t>SAI05/397</t>
  </si>
  <si>
    <t>SAI05/398</t>
  </si>
  <si>
    <t>SAI05/399</t>
  </si>
  <si>
    <t>SAI05/400</t>
  </si>
  <si>
    <t>SAI05/401</t>
  </si>
  <si>
    <t>SAI05/402</t>
  </si>
  <si>
    <t>SAI05/403</t>
  </si>
  <si>
    <t>SAI05/404</t>
  </si>
  <si>
    <t>SAI05/405</t>
  </si>
  <si>
    <t>Paignton (801)</t>
  </si>
  <si>
    <t>Dalston (539)</t>
  </si>
  <si>
    <t>Bramingham Park (505)</t>
  </si>
  <si>
    <t>Chesterfield (849)</t>
  </si>
  <si>
    <t>Dronfield (2112)</t>
  </si>
  <si>
    <t>Sedgefield (2303)</t>
  </si>
  <si>
    <t>Slough Uxbridge (2242)</t>
  </si>
  <si>
    <t>Weedon Road (648)</t>
  </si>
  <si>
    <t>Chester le Street (4619)</t>
  </si>
  <si>
    <t>Bybrook (59)</t>
  </si>
  <si>
    <t>Edenthorpe (732)</t>
  </si>
  <si>
    <t>Ludlow (2355)</t>
  </si>
  <si>
    <t>Variance in Billings Projection</t>
  </si>
  <si>
    <t>Sum of Focus</t>
  </si>
  <si>
    <t>SAI05/406</t>
  </si>
  <si>
    <t>SAI05/407</t>
  </si>
  <si>
    <t>SAI05/408</t>
  </si>
  <si>
    <t>SAI05/409</t>
  </si>
  <si>
    <t>SAI05/410</t>
  </si>
  <si>
    <t>SAI05/411</t>
  </si>
  <si>
    <t>SAI05/412</t>
  </si>
  <si>
    <t>ARG01/535</t>
  </si>
  <si>
    <t>ARG01/536</t>
  </si>
  <si>
    <t>ARG01/537</t>
  </si>
  <si>
    <t>ARG01/538</t>
  </si>
  <si>
    <t>ARG01/539</t>
  </si>
  <si>
    <t>ARG01/540</t>
  </si>
  <si>
    <t>ARG01/541</t>
  </si>
  <si>
    <t>ARG01/542</t>
  </si>
  <si>
    <t>ARG01/543</t>
  </si>
  <si>
    <t>ARG01/544</t>
  </si>
  <si>
    <t>ARG01/545</t>
  </si>
  <si>
    <t>Colne SIS</t>
  </si>
  <si>
    <t>Colne SAS Closure</t>
  </si>
  <si>
    <t>Wakefield Marsh Way SIS</t>
  </si>
  <si>
    <t>Wakefield Cathedral Closure SAS</t>
  </si>
  <si>
    <t>Llandudno SIS</t>
  </si>
  <si>
    <t>Upton SIS</t>
  </si>
  <si>
    <t>Upton Closure</t>
  </si>
  <si>
    <t>Colwick SIS</t>
  </si>
  <si>
    <t>Nottingham Netherfield Closure</t>
  </si>
  <si>
    <t>Edgeware SIS</t>
  </si>
  <si>
    <t>Edgeware SAS Closure</t>
  </si>
  <si>
    <t>ASD02/098</t>
  </si>
  <si>
    <t>Burton on Trent (527)</t>
  </si>
  <si>
    <t>Fulwell (2144)</t>
  </si>
  <si>
    <t>Scarborough (2080)</t>
  </si>
  <si>
    <t>Kempston (757)</t>
  </si>
  <si>
    <t>North Walsham (2046)</t>
  </si>
  <si>
    <t>Drumchapel (523)</t>
  </si>
  <si>
    <t>Chippenham (664)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</si>
</sst>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64" formatCode="_-[$£-809]* #,##0.00_-;\-[$£-809]* #,##0.00_-;_-[$£-809]* &quot;-&quot;??_-;_-@_-"/>
    <numFmt numFmtId="165" formatCode=";;;"/>
    <numFmt numFmtId="166" formatCode="&quot;£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454545"/>
      <name val="Courier New"/>
      <family val="3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40"/>
      <color theme="1"/>
      <name val="Anthroops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10" fontId="0" fillId="0" borderId="0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/>
    <xf numFmtId="9" fontId="0" fillId="0" borderId="0" xfId="1" applyFont="1" applyFill="1" applyBorder="1" applyAlignment="1">
      <alignment horizontal="left"/>
    </xf>
    <xf numFmtId="0" fontId="0" fillId="0" borderId="0" xfId="0" applyFont="1" applyFill="1" applyBorder="1"/>
    <xf numFmtId="14" fontId="0" fillId="0" borderId="0" xfId="0" applyNumberFormat="1" applyFont="1" applyFill="1" applyBorder="1"/>
    <xf numFmtId="10" fontId="0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NumberFormat="1" applyFont="1" applyFill="1" applyBorder="1"/>
    <xf numFmtId="0" fontId="0" fillId="0" borderId="0" xfId="1" applyNumberFormat="1" applyFont="1" applyFill="1" applyBorder="1"/>
    <xf numFmtId="9" fontId="0" fillId="0" borderId="0" xfId="1" applyFont="1" applyFill="1" applyBorder="1"/>
    <xf numFmtId="1" fontId="0" fillId="0" borderId="0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2" applyNumberFormat="1" applyFont="1" applyFill="1" applyBorder="1"/>
    <xf numFmtId="10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/>
    <xf numFmtId="0" fontId="0" fillId="0" borderId="0" xfId="0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4" fontId="0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vertical="center"/>
    </xf>
    <xf numFmtId="9" fontId="0" fillId="0" borderId="0" xfId="1" applyFont="1" applyFill="1" applyBorder="1" applyAlignment="1">
      <alignment vertical="center"/>
    </xf>
    <xf numFmtId="10" fontId="6" fillId="0" borderId="0" xfId="0" applyNumberFormat="1" applyFont="1" applyFill="1" applyBorder="1" applyAlignment="1">
      <alignment horizontal="left" vertical="center" wrapText="1"/>
    </xf>
    <xf numFmtId="0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2" fontId="6" fillId="0" borderId="0" xfId="0" applyNumberFormat="1" applyFont="1" applyFill="1" applyBorder="1" applyAlignment="1">
      <alignment horizontal="center" vertical="center" wrapText="1"/>
    </xf>
    <xf numFmtId="10" fontId="6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horizontal="center" vertical="center"/>
    </xf>
    <xf numFmtId="44" fontId="0" fillId="0" borderId="0" xfId="2" applyFont="1" applyFill="1"/>
    <xf numFmtId="14" fontId="0" fillId="0" borderId="0" xfId="0" applyNumberFormat="1" applyFont="1" applyFill="1" applyAlignment="1">
      <alignment horizontal="center" vertical="center"/>
    </xf>
    <xf numFmtId="164" fontId="0" fillId="0" borderId="0" xfId="2" applyNumberFormat="1" applyFont="1" applyFill="1"/>
    <xf numFmtId="164" fontId="0" fillId="0" borderId="0" xfId="0" applyNumberFormat="1" applyFill="1" applyAlignment="1">
      <alignment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44" fontId="0" fillId="0" borderId="0" xfId="2" applyNumberFormat="1" applyFont="1" applyBorder="1" applyAlignment="1">
      <alignment horizontal="center"/>
    </xf>
    <xf numFmtId="44" fontId="0" fillId="0" borderId="5" xfId="2" applyFont="1" applyBorder="1" applyAlignment="1">
      <alignment horizontal="center"/>
    </xf>
    <xf numFmtId="44" fontId="4" fillId="0" borderId="7" xfId="2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10" fontId="0" fillId="0" borderId="0" xfId="0" applyNumberFormat="1" applyFont="1" applyBorder="1" applyAlignment="1">
      <alignment horizontal="center"/>
    </xf>
    <xf numFmtId="10" fontId="0" fillId="0" borderId="5" xfId="1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4" fillId="3" borderId="1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0" fillId="0" borderId="4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5" borderId="4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14" fontId="0" fillId="0" borderId="0" xfId="0" applyNumberForma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3" fillId="7" borderId="9" xfId="0" applyNumberFormat="1" applyFont="1" applyFill="1" applyBorder="1" applyAlignment="1">
      <alignment horizontal="left"/>
    </xf>
    <xf numFmtId="0" fontId="3" fillId="7" borderId="0" xfId="0" applyFont="1" applyFill="1" applyBorder="1" applyAlignment="1">
      <alignment horizontal="left"/>
    </xf>
    <xf numFmtId="14" fontId="3" fillId="7" borderId="0" xfId="0" applyNumberFormat="1" applyFont="1" applyFill="1" applyBorder="1" applyAlignment="1">
      <alignment horizontal="left" vertical="center"/>
    </xf>
    <xf numFmtId="44" fontId="3" fillId="7" borderId="0" xfId="2" applyFont="1" applyFill="1" applyBorder="1" applyAlignment="1">
      <alignment horizontal="left"/>
    </xf>
    <xf numFmtId="44" fontId="3" fillId="7" borderId="0" xfId="2" applyFont="1" applyFill="1" applyAlignment="1">
      <alignment horizontal="left"/>
    </xf>
    <xf numFmtId="0" fontId="3" fillId="7" borderId="0" xfId="0" applyFont="1" applyFill="1" applyAlignment="1">
      <alignment horizontal="left"/>
    </xf>
    <xf numFmtId="44" fontId="0" fillId="0" borderId="0" xfId="2" applyFont="1" applyAlignment="1">
      <alignment horizontal="left"/>
    </xf>
    <xf numFmtId="14" fontId="0" fillId="0" borderId="0" xfId="0" applyNumberFormat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8" fillId="8" borderId="14" xfId="0" applyFont="1" applyFill="1" applyBorder="1" applyAlignment="1">
      <alignment horizontal="center" vertical="center"/>
    </xf>
    <xf numFmtId="10" fontId="8" fillId="8" borderId="15" xfId="1" applyNumberFormat="1" applyFont="1" applyFill="1" applyBorder="1" applyAlignment="1">
      <alignment horizontal="center" vertical="center"/>
    </xf>
    <xf numFmtId="44" fontId="4" fillId="0" borderId="8" xfId="2" applyFont="1" applyBorder="1" applyAlignment="1">
      <alignment horizontal="center"/>
    </xf>
    <xf numFmtId="14" fontId="0" fillId="0" borderId="0" xfId="0" applyNumberFormat="1" applyFill="1" applyBorder="1" applyAlignment="1">
      <alignment horizontal="center" vertical="center"/>
    </xf>
    <xf numFmtId="44" fontId="0" fillId="0" borderId="0" xfId="2" applyFont="1" applyFill="1" applyBorder="1"/>
    <xf numFmtId="164" fontId="0" fillId="0" borderId="0" xfId="0" applyNumberFormat="1" applyFill="1" applyBorder="1" applyAlignment="1">
      <alignment vertical="center"/>
    </xf>
    <xf numFmtId="0" fontId="0" fillId="0" borderId="10" xfId="0" applyFont="1" applyFill="1" applyBorder="1"/>
    <xf numFmtId="164" fontId="0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10" fontId="7" fillId="0" borderId="0" xfId="0" applyNumberFormat="1" applyFont="1" applyFill="1" applyBorder="1" applyAlignment="1">
      <alignment horizontal="center" vertical="center"/>
    </xf>
    <xf numFmtId="44" fontId="0" fillId="10" borderId="0" xfId="2" applyNumberFormat="1" applyFont="1" applyFill="1" applyBorder="1" applyAlignment="1">
      <alignment horizontal="center"/>
    </xf>
    <xf numFmtId="44" fontId="4" fillId="10" borderId="7" xfId="2" applyFont="1" applyFill="1" applyBorder="1" applyAlignment="1">
      <alignment horizontal="center"/>
    </xf>
    <xf numFmtId="164" fontId="0" fillId="10" borderId="0" xfId="0" applyNumberFormat="1" applyFont="1" applyFill="1" applyBorder="1" applyAlignment="1">
      <alignment horizontal="center"/>
    </xf>
    <xf numFmtId="10" fontId="0" fillId="10" borderId="0" xfId="0" applyNumberFormat="1" applyFont="1" applyFill="1" applyBorder="1" applyAlignment="1">
      <alignment horizontal="center"/>
    </xf>
    <xf numFmtId="0" fontId="0" fillId="0" borderId="0" xfId="0" pivotButton="1"/>
    <xf numFmtId="44" fontId="0" fillId="0" borderId="0" xfId="0" applyNumberFormat="1"/>
    <xf numFmtId="10" fontId="0" fillId="0" borderId="0" xfId="0" applyNumberFormat="1" applyAlignment="1">
      <alignment horizontal="center"/>
    </xf>
    <xf numFmtId="10" fontId="0" fillId="0" borderId="0" xfId="1" applyNumberFormat="1" applyFont="1" applyFill="1" applyBorder="1" applyAlignment="1">
      <alignment horizontal="center"/>
    </xf>
    <xf numFmtId="10" fontId="6" fillId="0" borderId="0" xfId="0" applyNumberFormat="1" applyFont="1" applyFill="1" applyBorder="1" applyAlignment="1">
      <alignment vertical="center" wrapText="1"/>
    </xf>
    <xf numFmtId="0" fontId="4" fillId="12" borderId="6" xfId="0" applyFont="1" applyFill="1" applyBorder="1" applyAlignment="1">
      <alignment horizontal="left"/>
    </xf>
    <xf numFmtId="10" fontId="4" fillId="12" borderId="7" xfId="0" applyNumberFormat="1" applyFont="1" applyFill="1" applyBorder="1" applyAlignment="1">
      <alignment horizontal="center"/>
    </xf>
    <xf numFmtId="10" fontId="4" fillId="12" borderId="8" xfId="1" applyNumberFormat="1" applyFont="1" applyFill="1" applyBorder="1" applyAlignment="1">
      <alignment horizontal="center"/>
    </xf>
    <xf numFmtId="44" fontId="0" fillId="0" borderId="0" xfId="2" applyFont="1" applyAlignment="1">
      <alignment vertical="center"/>
    </xf>
    <xf numFmtId="10" fontId="0" fillId="0" borderId="0" xfId="1" applyNumberFormat="1" applyFont="1" applyFill="1" applyBorder="1" applyAlignment="1">
      <alignment horizontal="left" vertical="center"/>
    </xf>
    <xf numFmtId="44" fontId="0" fillId="0" borderId="0" xfId="2" applyFont="1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14" fontId="0" fillId="0" borderId="0" xfId="0" applyNumberFormat="1" applyFill="1" applyAlignment="1">
      <alignment horizontal="left" vertical="center"/>
    </xf>
    <xf numFmtId="0" fontId="0" fillId="0" borderId="0" xfId="0" applyNumberFormat="1" applyFill="1" applyAlignment="1">
      <alignment horizontal="left" vertical="center"/>
    </xf>
    <xf numFmtId="0" fontId="0" fillId="0" borderId="0" xfId="0" applyNumberFormat="1" applyAlignment="1">
      <alignment vertical="center"/>
    </xf>
    <xf numFmtId="44" fontId="0" fillId="0" borderId="0" xfId="2" applyFont="1" applyAlignment="1">
      <alignment horizontal="left" vertical="center"/>
    </xf>
    <xf numFmtId="44" fontId="0" fillId="0" borderId="0" xfId="2" applyFont="1" applyFill="1" applyBorder="1" applyAlignment="1">
      <alignment vertical="center"/>
    </xf>
    <xf numFmtId="0" fontId="0" fillId="0" borderId="11" xfId="0" applyFill="1" applyBorder="1" applyAlignment="1">
      <alignment horizontal="left" vertical="center"/>
    </xf>
    <xf numFmtId="14" fontId="0" fillId="0" borderId="11" xfId="0" applyNumberFormat="1" applyFill="1" applyBorder="1" applyAlignment="1">
      <alignment horizontal="left" vertical="center"/>
    </xf>
    <xf numFmtId="10" fontId="0" fillId="0" borderId="11" xfId="1" applyNumberFormat="1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14" fontId="0" fillId="0" borderId="12" xfId="0" applyNumberFormat="1" applyFill="1" applyBorder="1" applyAlignment="1">
      <alignment horizontal="left" vertical="center"/>
    </xf>
    <xf numFmtId="10" fontId="0" fillId="0" borderId="12" xfId="1" applyNumberFormat="1" applyFont="1" applyFill="1" applyBorder="1" applyAlignment="1">
      <alignment horizontal="left" vertical="center"/>
    </xf>
    <xf numFmtId="10" fontId="0" fillId="0" borderId="0" xfId="1" applyNumberFormat="1" applyFont="1" applyFill="1" applyAlignment="1">
      <alignment horizontal="left" vertical="center"/>
    </xf>
    <xf numFmtId="44" fontId="0" fillId="0" borderId="0" xfId="2" applyFont="1"/>
    <xf numFmtId="44" fontId="0" fillId="2" borderId="0" xfId="2" applyFont="1" applyFill="1" applyBorder="1" applyAlignment="1">
      <alignment horizontal="center"/>
    </xf>
    <xf numFmtId="44" fontId="0" fillId="0" borderId="0" xfId="2" applyFont="1" applyAlignment="1">
      <alignment horizontal="center"/>
    </xf>
    <xf numFmtId="44" fontId="0" fillId="0" borderId="0" xfId="2" applyFont="1" applyFill="1" applyBorder="1" applyAlignment="1">
      <alignment horizontal="center"/>
    </xf>
    <xf numFmtId="44" fontId="0" fillId="2" borderId="0" xfId="2" applyFont="1" applyFill="1" applyBorder="1" applyAlignment="1">
      <alignment vertical="center"/>
    </xf>
    <xf numFmtId="10" fontId="0" fillId="0" borderId="0" xfId="1" applyNumberFormat="1" applyFont="1"/>
    <xf numFmtId="10" fontId="0" fillId="0" borderId="0" xfId="0" applyNumberFormat="1"/>
    <xf numFmtId="0" fontId="0" fillId="0" borderId="0" xfId="0" applyNumberFormat="1"/>
    <xf numFmtId="0" fontId="12" fillId="0" borderId="0" xfId="0" applyFont="1" applyFill="1" applyBorder="1" applyAlignment="1">
      <alignment vertical="center"/>
    </xf>
    <xf numFmtId="0" fontId="12" fillId="0" borderId="0" xfId="0" applyFont="1" applyFill="1" applyBorder="1"/>
    <xf numFmtId="165" fontId="12" fillId="0" borderId="0" xfId="0" applyNumberFormat="1" applyFont="1" applyFill="1" applyBorder="1"/>
    <xf numFmtId="165" fontId="12" fillId="0" borderId="0" xfId="1" applyNumberFormat="1" applyFont="1" applyFill="1" applyBorder="1"/>
    <xf numFmtId="165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2" fontId="0" fillId="0" borderId="0" xfId="0" applyNumberFormat="1"/>
    <xf numFmtId="164" fontId="3" fillId="7" borderId="0" xfId="0" applyNumberFormat="1" applyFont="1" applyFill="1" applyAlignment="1">
      <alignment horizontal="right"/>
    </xf>
    <xf numFmtId="10" fontId="4" fillId="0" borderId="0" xfId="1" applyNumberFormat="1" applyFont="1" applyFill="1" applyBorder="1" applyAlignment="1">
      <alignment horizontal="right" vertical="center"/>
    </xf>
    <xf numFmtId="0" fontId="4" fillId="0" borderId="0" xfId="0" applyFont="1" applyFill="1" applyAlignment="1">
      <alignment horizontal="right"/>
    </xf>
    <xf numFmtId="0" fontId="0" fillId="0" borderId="13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right" vertical="center"/>
    </xf>
    <xf numFmtId="10" fontId="4" fillId="0" borderId="0" xfId="0" applyNumberFormat="1" applyFont="1" applyFill="1" applyBorder="1" applyAlignment="1">
      <alignment horizontal="right" vertical="center"/>
    </xf>
    <xf numFmtId="44" fontId="0" fillId="0" borderId="0" xfId="2" applyFont="1" applyFill="1" applyBorder="1" applyAlignment="1">
      <alignment horizontal="left" vertical="center"/>
    </xf>
    <xf numFmtId="10" fontId="0" fillId="0" borderId="0" xfId="0" applyNumberFormat="1" applyFont="1" applyFill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10" fontId="4" fillId="0" borderId="0" xfId="1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10" fontId="4" fillId="0" borderId="0" xfId="0" applyNumberFormat="1" applyFont="1" applyFill="1" applyAlignment="1">
      <alignment horizontal="right" vertical="center"/>
    </xf>
    <xf numFmtId="10" fontId="4" fillId="13" borderId="0" xfId="0" applyNumberFormat="1" applyFont="1" applyFill="1" applyBorder="1" applyAlignment="1">
      <alignment horizontal="center" vertical="center"/>
    </xf>
    <xf numFmtId="10" fontId="4" fillId="13" borderId="0" xfId="1" applyNumberFormat="1" applyFont="1" applyFill="1" applyBorder="1" applyAlignment="1">
      <alignment horizontal="center" vertical="center"/>
    </xf>
    <xf numFmtId="10" fontId="3" fillId="0" borderId="0" xfId="0" applyNumberFormat="1" applyFont="1" applyFill="1" applyBorder="1" applyAlignment="1">
      <alignment horizontal="center" vertical="center" wrapText="1"/>
    </xf>
    <xf numFmtId="0" fontId="0" fillId="14" borderId="0" xfId="0" applyFill="1"/>
    <xf numFmtId="0" fontId="4" fillId="0" borderId="0" xfId="0" applyFont="1"/>
    <xf numFmtId="166" fontId="0" fillId="0" borderId="0" xfId="0" applyNumberFormat="1"/>
    <xf numFmtId="1" fontId="0" fillId="0" borderId="0" xfId="0" applyNumberFormat="1"/>
    <xf numFmtId="44" fontId="0" fillId="0" borderId="11" xfId="2" applyFont="1" applyFill="1" applyBorder="1" applyAlignment="1">
      <alignment horizontal="left" vertical="center"/>
    </xf>
    <xf numFmtId="44" fontId="0" fillId="0" borderId="12" xfId="2" applyFont="1" applyFill="1" applyBorder="1" applyAlignment="1">
      <alignment horizontal="left" vertical="center"/>
    </xf>
    <xf numFmtId="44" fontId="0" fillId="0" borderId="0" xfId="2" applyFont="1" applyAlignment="1">
      <alignment horizontal="center" vertical="center"/>
    </xf>
    <xf numFmtId="14" fontId="0" fillId="0" borderId="0" xfId="0" applyNumberFormat="1"/>
    <xf numFmtId="0" fontId="13" fillId="0" borderId="0" xfId="0" applyFont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0" fillId="9" borderId="1" xfId="0" applyFill="1" applyBorder="1" applyAlignment="1">
      <alignment horizontal="center" wrapText="1"/>
    </xf>
    <xf numFmtId="0" fontId="0" fillId="9" borderId="6" xfId="0" applyFill="1" applyBorder="1" applyAlignment="1">
      <alignment horizontal="center" wrapText="1"/>
    </xf>
    <xf numFmtId="10" fontId="9" fillId="9" borderId="3" xfId="1" applyNumberFormat="1" applyFont="1" applyFill="1" applyBorder="1" applyAlignment="1">
      <alignment horizontal="center" vertical="center"/>
    </xf>
    <xf numFmtId="10" fontId="9" fillId="9" borderId="8" xfId="1" applyNumberFormat="1" applyFont="1" applyFill="1" applyBorder="1" applyAlignment="1">
      <alignment horizontal="center" vertical="center"/>
    </xf>
  </cellXfs>
  <cellStyles count="3">
    <cellStyle name="Currency" xfId="2" builtinId="4"/>
    <cellStyle name="Normal" xfId="0" builtinId="0"/>
    <cellStyle name="Percent" xfId="1" builtinId="5"/>
  </cellStyles>
  <dxfs count="74">
    <dxf>
      <numFmt numFmtId="14" formatCode="0.00%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numFmt numFmtId="1" formatCode="0"/>
    </dxf>
    <dxf>
      <numFmt numFmtId="166" formatCode="&quot;£&quot;#,##0.00"/>
    </dxf>
    <dxf>
      <numFmt numFmtId="14" formatCode="0.00%"/>
    </dxf>
    <dxf>
      <numFmt numFmtId="14" formatCode="0.00%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</font>
      <numFmt numFmtId="14" formatCode="0.00%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164" formatCode="_-[$£-809]* #,##0.00_-;\-[$£-809]* #,##0.00_-;_-[$£-809]* &quot;-&quot;??_-;_-@_-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solid">
          <fgColor indexed="64"/>
          <bgColor theme="1"/>
        </patternFill>
      </fill>
      <alignment horizontal="left" textRotation="0" wrapText="0" indent="0" justifyLastLine="0" shrinkToFit="0" readingOrder="0"/>
    </dxf>
    <dxf>
      <numFmt numFmtId="32" formatCode="_-&quot;£&quot;* #,##0_-;\-&quot;£&quot;* #,##0_-;_-&quot;£&quot;* &quot;-&quot;_-;_-@_-"/>
    </dxf>
    <dxf>
      <numFmt numFmtId="34" formatCode="_-&quot;£&quot;* #,##0.00_-;\-&quot;£&quot;* #,##0.00_-;_-&quot;£&quot;* &quot;-&quot;??_-;_-@_-"/>
    </dxf>
    <dxf>
      <alignment horizontal="center"/>
    </dxf>
    <dxf>
      <alignment horizontal="center"/>
    </dxf>
    <dxf>
      <numFmt numFmtId="14" formatCode="0.00%"/>
    </dxf>
    <dxf>
      <numFmt numFmtId="14" formatCode="0.00%"/>
    </dxf>
    <dxf>
      <numFmt numFmtId="14" formatCode="0.00%"/>
    </dxf>
    <dxf>
      <numFmt numFmtId="34" formatCode="_-&quot;£&quot;* #,##0.00_-;\-&quot;£&quot;* #,##0.00_-;_-&quot;£&quot;* &quot;-&quot;??_-;_-@_-"/>
    </dxf>
    <dxf>
      <alignment horizontal="center"/>
    </dxf>
    <dxf>
      <alignment horizontal="center"/>
    </dxf>
    <dxf>
      <numFmt numFmtId="14" formatCode="0.00%"/>
    </dxf>
    <dxf>
      <numFmt numFmtId="14" formatCode="0.00%"/>
    </dxf>
    <dxf>
      <numFmt numFmtId="14" formatCode="0.00%"/>
    </dxf>
    <dxf>
      <numFmt numFmtId="34" formatCode="_-&quot;£&quot;* #,##0.00_-;\-&quot;£&quot;* #,##0.00_-;_-&quot;£&quot;* &quot;-&quot;??_-;_-@_-"/>
    </dxf>
    <dxf>
      <alignment horizontal="center"/>
    </dxf>
    <dxf>
      <alignment horizontal="center"/>
    </dxf>
    <dxf>
      <numFmt numFmtId="14" formatCode="0.00%"/>
    </dxf>
    <dxf>
      <numFmt numFmtId="14" formatCode="0.00%"/>
    </dxf>
    <dxf>
      <numFmt numFmtId="14" formatCode="0.00%"/>
    </dxf>
    <dxf>
      <numFmt numFmtId="34" formatCode="_-&quot;£&quot;* #,##0.00_-;\-&quot;£&quot;* #,##0.00_-;_-&quot;£&quot;* &quot;-&quot;??_-;_-@_-"/>
    </dxf>
    <dxf>
      <alignment horizontal="center"/>
    </dxf>
    <dxf>
      <alignment horizontal="center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34" formatCode="_-&quot;£&quot;* #,##0.00_-;\-&quot;£&quot;* #,##0.00_-;_-&quot;£&quot;* &quot;-&quot;??_-;_-@_-"/>
    </dxf>
    <dxf>
      <alignment horizontal="center"/>
    </dxf>
    <dxf>
      <alignment horizontal="center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colors>
    <mruColors>
      <color rgb="FFDDDDDD"/>
      <color rgb="FFFFFF71"/>
      <color rgb="FFF5FD58"/>
      <color rgb="FFBFFFD9"/>
      <color rgb="FFA6FCD1"/>
      <color rgb="FFBDFFBD"/>
      <color rgb="FFCCFFCC"/>
      <color rgb="FFFF9900"/>
      <color rgb="FFFF9999"/>
      <color rgb="FFF477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200" b="1" i="0" u="none" strike="noStrike" kern="1200" spc="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HelveticaNeueLT Pro 55 Roman" panose="020B0804020202020204" pitchFamily="34" charset="0"/>
                <a:ea typeface="+mn-ea"/>
                <a:cs typeface="+mn-cs"/>
              </a:defRPr>
            </a:pPr>
            <a:r>
              <a:rPr lang="en-GB" sz="1200" b="1" i="0" u="none" strike="noStrike" kern="1200" spc="0" baseline="0">
                <a:solidFill>
                  <a:sysClr val="windowText" lastClr="000000"/>
                </a:solidFill>
                <a:effectLst/>
                <a:latin typeface="HelveticaNeueLT Pro 55 Roman" panose="020B0804020202020204" pitchFamily="34" charset="0"/>
                <a:ea typeface="+mn-ea"/>
                <a:cs typeface="+mn-cs"/>
              </a:rPr>
              <a:t>Forecast Billings by Client</a:t>
            </a:r>
          </a:p>
        </c:rich>
      </c:tx>
      <c:overlay val="0"/>
      <c:spPr>
        <a:solidFill>
          <a:srgbClr val="DDDDDD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200" b="1" i="0" u="none" strike="noStrike" kern="1200" spc="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HelveticaNeueLT Pro 55 Roman" panose="020B08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'2021_2022'!$N$4</c:f>
              <c:strCache>
                <c:ptCount val="1"/>
                <c:pt idx="0">
                  <c:v>ARGOS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'2021_2022'!$O$3:$U$3</c15:sqref>
                  </c15:fullRef>
                </c:ext>
              </c:extLst>
              <c:f>'2021_2022'!$O$3:$U$3</c:f>
              <c:strCache>
                <c:ptCount val="7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'2021_2022'!$O$4:$V$4</c15:sqref>
                  </c15:fullRef>
                </c:ext>
              </c:extLst>
              <c:f>'2021_2022'!$O$4:$U$4</c:f>
              <c:numCache>
                <c:formatCode>_("£"* #,##0.00_);_("£"* \(#,##0.00\);_("£"* "-"??_);_(@_)</c:formatCode>
                <c:ptCount val="7"/>
                <c:pt idx="0">
                  <c:v>4622</c:v>
                </c:pt>
                <c:pt idx="1">
                  <c:v>28297</c:v>
                </c:pt>
                <c:pt idx="2">
                  <c:v>33007</c:v>
                </c:pt>
                <c:pt idx="3">
                  <c:v>31568</c:v>
                </c:pt>
                <c:pt idx="4">
                  <c:v>51382</c:v>
                </c:pt>
                <c:pt idx="5">
                  <c:v>29788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6-4955-B01C-9F0B60F3135E}"/>
            </c:ext>
          </c:extLst>
        </c:ser>
        <c:ser>
          <c:idx val="1"/>
          <c:order val="1"/>
          <c:tx>
            <c:strRef>
              <c:f>'2021_2022'!$N$5</c:f>
              <c:strCache>
                <c:ptCount val="1"/>
                <c:pt idx="0">
                  <c:v>ASDA</c:v>
                </c:pt>
              </c:strCache>
            </c:strRef>
          </c:tx>
          <c:spPr>
            <a:solidFill>
              <a:srgbClr val="BFFFD9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'2021_2022'!$O$3:$U$3</c15:sqref>
                  </c15:fullRef>
                </c:ext>
              </c:extLst>
              <c:f>'2021_2022'!$O$3:$U$3</c:f>
              <c:strCache>
                <c:ptCount val="7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'2021_2022'!$O$5:$V$5</c15:sqref>
                  </c15:fullRef>
                </c:ext>
              </c:extLst>
              <c:f>'2021_2022'!$O$5:$U$5</c:f>
              <c:numCache>
                <c:formatCode>_("£"* #,##0.00_);_("£"* \(#,##0.00\);_("£"* "-"??_);_(@_)</c:formatCode>
                <c:ptCount val="7"/>
                <c:pt idx="0">
                  <c:v>121597</c:v>
                </c:pt>
                <c:pt idx="1">
                  <c:v>144592</c:v>
                </c:pt>
                <c:pt idx="2">
                  <c:v>144477</c:v>
                </c:pt>
                <c:pt idx="3">
                  <c:v>169189</c:v>
                </c:pt>
                <c:pt idx="4">
                  <c:v>47968</c:v>
                </c:pt>
                <c:pt idx="5">
                  <c:v>8937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C6-4955-B01C-9F0B60F3135E}"/>
            </c:ext>
          </c:extLst>
        </c:ser>
        <c:ser>
          <c:idx val="2"/>
          <c:order val="2"/>
          <c:tx>
            <c:strRef>
              <c:f>'2021_2022'!$N$6</c:f>
              <c:strCache>
                <c:ptCount val="1"/>
                <c:pt idx="0">
                  <c:v>BOOTS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'2021_2022'!$O$3:$U$3</c15:sqref>
                  </c15:fullRef>
                </c:ext>
              </c:extLst>
              <c:f>'2021_2022'!$O$3:$U$3</c:f>
              <c:strCache>
                <c:ptCount val="7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'2021_2022'!$O$6:$V$6</c15:sqref>
                  </c15:fullRef>
                </c:ext>
              </c:extLst>
              <c:f>'2021_2022'!$O$6:$U$6</c:f>
              <c:numCache>
                <c:formatCode>_("£"* #,##0.00_);_("£"* \(#,##0.00\);_("£"* "-"??_);_(@_)</c:formatCode>
                <c:ptCount val="7"/>
                <c:pt idx="0">
                  <c:v>2703</c:v>
                </c:pt>
                <c:pt idx="1">
                  <c:v>13423</c:v>
                </c:pt>
                <c:pt idx="2">
                  <c:v>25070</c:v>
                </c:pt>
                <c:pt idx="3">
                  <c:v>39835</c:v>
                </c:pt>
                <c:pt idx="4">
                  <c:v>1732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C6-4955-B01C-9F0B60F3135E}"/>
            </c:ext>
          </c:extLst>
        </c:ser>
        <c:ser>
          <c:idx val="3"/>
          <c:order val="3"/>
          <c:tx>
            <c:strRef>
              <c:f>'2021_2022'!$N$7</c:f>
              <c:strCache>
                <c:ptCount val="1"/>
                <c:pt idx="0">
                  <c:v>CO-OP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'2021_2022'!$O$3:$U$3</c15:sqref>
                  </c15:fullRef>
                </c:ext>
              </c:extLst>
              <c:f>'2021_2022'!$O$3:$U$3</c:f>
              <c:strCache>
                <c:ptCount val="7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'2021_2022'!$O$7:$V$7</c15:sqref>
                  </c15:fullRef>
                </c:ext>
              </c:extLst>
              <c:f>'2021_2022'!$O$7:$U$7</c:f>
              <c:numCache>
                <c:formatCode>_("£"* #,##0.00_);_("£"* \(#,##0.00\);_("£"* "-"??_);_(@_)</c:formatCode>
                <c:ptCount val="7"/>
                <c:pt idx="0">
                  <c:v>3398</c:v>
                </c:pt>
                <c:pt idx="1">
                  <c:v>745</c:v>
                </c:pt>
                <c:pt idx="2">
                  <c:v>6237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C6-4955-B01C-9F0B60F3135E}"/>
            </c:ext>
          </c:extLst>
        </c:ser>
        <c:ser>
          <c:idx val="4"/>
          <c:order val="4"/>
          <c:tx>
            <c:strRef>
              <c:f>'2021_2022'!$N$9</c:f>
              <c:strCache>
                <c:ptCount val="1"/>
                <c:pt idx="0">
                  <c:v>SAINSBURY'S</c:v>
                </c:pt>
              </c:strCache>
            </c:strRef>
          </c:tx>
          <c:spPr>
            <a:solidFill>
              <a:srgbClr val="F5FD58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'2021_2022'!$O$3:$U$3</c15:sqref>
                  </c15:fullRef>
                </c:ext>
              </c:extLst>
              <c:f>'2021_2022'!$O$3:$U$3</c:f>
              <c:strCache>
                <c:ptCount val="7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'2021_2022'!$O$9:$V$9</c15:sqref>
                  </c15:fullRef>
                </c:ext>
              </c:extLst>
              <c:f>'2021_2022'!$O$9:$U$9</c:f>
              <c:numCache>
                <c:formatCode>_("£"* #,##0.00_);_("£"* \(#,##0.00\);_("£"* "-"??_);_(@_)</c:formatCode>
                <c:ptCount val="7"/>
                <c:pt idx="0">
                  <c:v>176891</c:v>
                </c:pt>
                <c:pt idx="1">
                  <c:v>132701</c:v>
                </c:pt>
                <c:pt idx="2">
                  <c:v>290908</c:v>
                </c:pt>
                <c:pt idx="3">
                  <c:v>366526</c:v>
                </c:pt>
                <c:pt idx="4">
                  <c:v>215099</c:v>
                </c:pt>
                <c:pt idx="5">
                  <c:v>277925</c:v>
                </c:pt>
                <c:pt idx="6">
                  <c:v>121557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C6-4955-B01C-9F0B60F31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2311232"/>
        <c:axId val="962314976"/>
      </c:barChart>
      <c:catAx>
        <c:axId val="96231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800" b="1" i="0" u="none" strike="noStrike" kern="1200" baseline="0">
                <a:solidFill>
                  <a:sysClr val="windowText" lastClr="000000"/>
                </a:solidFill>
                <a:latin typeface="HelveticaNeueLT Pro 35 Th" panose="020B0403020202020204" pitchFamily="34" charset="0"/>
                <a:ea typeface="+mn-ea"/>
                <a:cs typeface="+mn-cs"/>
              </a:defRPr>
            </a:pPr>
            <a:endParaRPr lang="en-US"/>
          </a:p>
        </c:txPr>
        <c:crossAx val="962314976"/>
        <c:crosses val="autoZero"/>
        <c:auto val="1"/>
        <c:lblAlgn val="ctr"/>
        <c:lblOffset val="100"/>
        <c:noMultiLvlLbl val="0"/>
      </c:catAx>
      <c:valAx>
        <c:axId val="9623149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£&quot;* #,##0.00_);_(&quot;£&quot;* \(#,##0.00\);_(&quot;£&quot;* &quot;-&quot;??_);_(@_)" sourceLinked="1"/>
        <c:majorTickMark val="none"/>
        <c:minorTickMark val="none"/>
        <c:tickLblPos val="nextTo"/>
        <c:crossAx val="96231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800" b="1" i="0" u="none" strike="noStrike" kern="1200" baseline="0">
              <a:solidFill>
                <a:sysClr val="windowText" lastClr="000000"/>
              </a:solidFill>
              <a:latin typeface="HelveticaNeueLT Pro 35 Th" panose="020B0403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HelveticaNeueLT Pro 65 Md" panose="020B0604020202020204" pitchFamily="34" charset="0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  <a:latin typeface="HelveticaNeueLT Pro 55 Roman" panose="020B0804020202020204" pitchFamily="34" charset="0"/>
              </a:rPr>
              <a:t>Top 10 Current Jobs - Revenue</a:t>
            </a:r>
          </a:p>
        </c:rich>
      </c:tx>
      <c:overlay val="0"/>
      <c:spPr>
        <a:solidFill>
          <a:srgbClr val="DDDDDD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HelveticaNeueLT Pro 65 Md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'2021_2022'!$AG$2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rgbClr val="BFFFD9"/>
            </a:solidFill>
            <a:ln>
              <a:noFill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NeueLT Pro 35 Th" panose="020B04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'2021_2022'!$AF$3:$AF$12</c:f>
              <c:strCache>
                <c:ptCount val="10"/>
                <c:pt idx="0">
                  <c:v>ASD02/086</c:v>
                </c:pt>
                <c:pt idx="1">
                  <c:v>SAI05/341</c:v>
                </c:pt>
                <c:pt idx="2">
                  <c:v>ASD02/085</c:v>
                </c:pt>
                <c:pt idx="3">
                  <c:v>ASD02/088</c:v>
                </c:pt>
                <c:pt idx="4">
                  <c:v>SAI05/367</c:v>
                </c:pt>
                <c:pt idx="5">
                  <c:v>ASD02/084</c:v>
                </c:pt>
                <c:pt idx="6">
                  <c:v>SAI05/326</c:v>
                </c:pt>
                <c:pt idx="7">
                  <c:v>ASD02/082</c:v>
                </c:pt>
                <c:pt idx="8">
                  <c:v>SAI05/349</c:v>
                </c:pt>
                <c:pt idx="9">
                  <c:v>ASD02/091</c:v>
                </c:pt>
              </c:strCache>
            </c:strRef>
          </c:cat>
          <c:val>
            <c:numRef>
              <c:f>'2021_2022'!$AG$3:$AG$12</c:f>
              <c:numCache>
                <c:formatCode>_("£"* #,##0_);_("£"* \(#,##0\);_("£"* "-"_);_(@_)</c:formatCode>
                <c:ptCount val="10"/>
                <c:pt idx="0">
                  <c:v>59459.97</c:v>
                </c:pt>
                <c:pt idx="1">
                  <c:v>22860.449999999953</c:v>
                </c:pt>
                <c:pt idx="2">
                  <c:v>22526.999999999753</c:v>
                </c:pt>
                <c:pt idx="3">
                  <c:v>19259.269999999917</c:v>
                </c:pt>
                <c:pt idx="4">
                  <c:v>16778.350000000064</c:v>
                </c:pt>
                <c:pt idx="5">
                  <c:v>16605.01545454537</c:v>
                </c:pt>
                <c:pt idx="6">
                  <c:v>15389.514999999912</c:v>
                </c:pt>
                <c:pt idx="7">
                  <c:v>13220.119999999995</c:v>
                </c:pt>
                <c:pt idx="8">
                  <c:v>10855.360000000022</c:v>
                </c:pt>
                <c:pt idx="9">
                  <c:v>10648.199999999822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3E-4D6C-9297-DCF562A04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4"/>
        <c:axId val="1753278559"/>
        <c:axId val="1753279391"/>
      </c:barChart>
      <c:catAx>
        <c:axId val="17532785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bg1"/>
                </a:solidFill>
                <a:latin typeface="HelveticaNeueLT Pro 35 Th" panose="020B0403020202020204" pitchFamily="34" charset="0"/>
                <a:ea typeface="+mn-ea"/>
                <a:cs typeface="+mn-cs"/>
              </a:defRPr>
            </a:pPr>
            <a:endParaRPr lang="en-US"/>
          </a:p>
        </c:txPr>
        <c:crossAx val="1753279391"/>
        <c:crosses val="autoZero"/>
        <c:auto val="1"/>
        <c:lblAlgn val="ctr"/>
        <c:lblOffset val="100"/>
        <c:noMultiLvlLbl val="0"/>
      </c:catAx>
      <c:valAx>
        <c:axId val="1753279391"/>
        <c:scaling>
          <c:orientation val="minMax"/>
          <c:min val="10000"/>
        </c:scaling>
        <c:delete val="1"/>
        <c:axPos val="t"/>
        <c:numFmt formatCode="_(&quot;£&quot;* #,##0_);_(&quot;£&quot;* \(#,##0\);_(&quot;£&quot;* &quot;-&quot;_);_(@_)" sourceLinked="1"/>
        <c:majorTickMark val="none"/>
        <c:minorTickMark val="none"/>
        <c:tickLblPos val="nextTo"/>
        <c:crossAx val="175327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alpha val="83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ysClr val="windowText" lastClr="000000"/>
                </a:solidFill>
                <a:latin typeface="HelveticaNeueLT Pro 55 Roman" panose="020B0804020202020204" pitchFamily="34" charset="0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ysClr val="windowText" lastClr="000000"/>
                </a:solidFill>
                <a:latin typeface="HelveticaNeueLT Pro 55 Roman" panose="020B0804020202020204" pitchFamily="34" charset="0"/>
                <a:ea typeface="+mn-ea"/>
                <a:cs typeface="+mn-cs"/>
              </a:rPr>
              <a:t>Top 10 Current Jobs - Margin</a:t>
            </a:r>
          </a:p>
        </c:rich>
      </c:tx>
      <c:overlay val="0"/>
      <c:spPr>
        <a:solidFill>
          <a:srgbClr val="DDDDDD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none" strike="noStrike" kern="1200" spc="0" baseline="0">
              <a:solidFill>
                <a:sysClr val="windowText" lastClr="000000"/>
              </a:solidFill>
              <a:latin typeface="HelveticaNeueLT Pro 55 Roman" panose="020B08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'2021_2022'!$AJ$15</c:f>
              <c:strCache>
                <c:ptCount val="1"/>
                <c:pt idx="0">
                  <c:v>Sum of Margin</c:v>
                </c:pt>
              </c:strCache>
            </c:strRef>
          </c:tx>
          <c:spPr>
            <a:solidFill>
              <a:srgbClr val="BFFFD9"/>
            </a:soli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solidFill>
                <a:srgbClr val="5B9BD5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800" b="1" i="0" u="none" strike="noStrike" kern="1200" baseline="0">
                    <a:solidFill>
                      <a:sysClr val="windowText" lastClr="000000"/>
                    </a:solidFill>
                    <a:latin typeface="HelveticaNeueLT Pro 35 Th" panose="020B04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'2021_2022'!$AF$16:$AF$25</c:f>
              <c:strCache>
                <c:ptCount val="10"/>
                <c:pt idx="0">
                  <c:v>ASD02/086</c:v>
                </c:pt>
                <c:pt idx="1">
                  <c:v>SAI05/363</c:v>
                </c:pt>
                <c:pt idx="2">
                  <c:v>BOO02/1116</c:v>
                </c:pt>
                <c:pt idx="3">
                  <c:v>SAI05/380</c:v>
                </c:pt>
                <c:pt idx="4">
                  <c:v>COO01/176</c:v>
                </c:pt>
                <c:pt idx="5">
                  <c:v>ARG01/521</c:v>
                </c:pt>
                <c:pt idx="6">
                  <c:v>BOO02/1124</c:v>
                </c:pt>
                <c:pt idx="7">
                  <c:v>COO01/177</c:v>
                </c:pt>
                <c:pt idx="8">
                  <c:v>BOO02/1118</c:v>
                </c:pt>
                <c:pt idx="9">
                  <c:v>BOO02/1108</c:v>
                </c:pt>
              </c:strCache>
            </c:strRef>
          </c:cat>
          <c:val>
            <c:numRef>
              <c:f>'2021_2022'!$AJ$16:$AJ$25</c:f>
              <c:numCache>
                <c:formatCode>0.00%</c:formatCode>
                <c:ptCount val="10"/>
                <c:pt idx="0">
                  <c:v>0.38987534014935782</c:v>
                </c:pt>
                <c:pt idx="1">
                  <c:v>0.35541805710048197</c:v>
                </c:pt>
                <c:pt idx="2">
                  <c:v>0.32799287939474853</c:v>
                </c:pt>
                <c:pt idx="3">
                  <c:v>0.30538203190596142</c:v>
                </c:pt>
                <c:pt idx="4">
                  <c:v>0.28669761700300567</c:v>
                </c:pt>
                <c:pt idx="5">
                  <c:v>0.28057654631961937</c:v>
                </c:pt>
                <c:pt idx="6">
                  <c:v>0.27817629232574842</c:v>
                </c:pt>
                <c:pt idx="7">
                  <c:v>0.2778531345198012</c:v>
                </c:pt>
                <c:pt idx="8">
                  <c:v>0.27540264388385383</c:v>
                </c:pt>
                <c:pt idx="9">
                  <c:v>0.27107938435057893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D-4DE4-8B71-D591535C7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axId val="69063631"/>
        <c:axId val="69064879"/>
      </c:barChart>
      <c:catAx>
        <c:axId val="690636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800" b="1" i="0" u="none" strike="noStrike" kern="1200" baseline="0">
                <a:solidFill>
                  <a:schemeClr val="bg1"/>
                </a:solidFill>
                <a:latin typeface="HelveticaNeueLT Pro 35 Th" panose="020B0403020202020204" pitchFamily="34" charset="0"/>
                <a:ea typeface="+mn-ea"/>
                <a:cs typeface="+mn-cs"/>
              </a:defRPr>
            </a:pPr>
            <a:endParaRPr lang="en-US"/>
          </a:p>
        </c:txPr>
        <c:crossAx val="69064879"/>
        <c:crosses val="autoZero"/>
        <c:auto val="1"/>
        <c:lblAlgn val="ctr"/>
        <c:lblOffset val="100"/>
        <c:noMultiLvlLbl val="0"/>
      </c:catAx>
      <c:valAx>
        <c:axId val="69064879"/>
        <c:scaling>
          <c:orientation val="minMax"/>
        </c:scaling>
        <c:delete val="1"/>
        <c:axPos val="t"/>
        <c:numFmt formatCode="0.00%" sourceLinked="1"/>
        <c:majorTickMark val="none"/>
        <c:minorTickMark val="none"/>
        <c:tickLblPos val="nextTo"/>
        <c:crossAx val="6906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Text" lastClr="000000">
        <a:alpha val="84000"/>
      </a:sys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ysClr val="windowText" lastClr="000000"/>
                </a:solidFill>
                <a:latin typeface="HelveticaNeueLT Pro 55 Roman" panose="020B0804020202020204" pitchFamily="34" charset="0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ysClr val="windowText" lastClr="000000"/>
                </a:solidFill>
                <a:latin typeface="HelveticaNeueLT Pro 55 Roman" panose="020B0804020202020204" pitchFamily="34" charset="0"/>
                <a:ea typeface="+mn-ea"/>
                <a:cs typeface="+mn-cs"/>
              </a:rPr>
              <a:t>Forecasted Margins</a:t>
            </a:r>
          </a:p>
          <a:p>
            <a:pPr algn="ctr" rtl="0">
              <a:defRPr lang="en-US" sz="1200" b="1">
                <a:solidFill>
                  <a:sysClr val="windowText" lastClr="000000"/>
                </a:solidFill>
                <a:latin typeface="HelveticaNeueLT Pro 55 Roman" panose="020B0804020202020204" pitchFamily="34" charset="0"/>
              </a:defRPr>
            </a:pPr>
            <a:r>
              <a:rPr lang="en-US" sz="1200" b="1" i="0" u="none" strike="noStrike" kern="1200" spc="0" baseline="0">
                <a:solidFill>
                  <a:sysClr val="windowText" lastClr="000000"/>
                </a:solidFill>
                <a:latin typeface="HelveticaNeueLT Pro 55 Roman" panose="020B0804020202020204" pitchFamily="34" charset="0"/>
                <a:ea typeface="+mn-ea"/>
                <a:cs typeface="+mn-cs"/>
              </a:rPr>
              <a:t>To date with Dept. Avg Line</a:t>
            </a:r>
          </a:p>
        </c:rich>
      </c:tx>
      <c:overlay val="0"/>
      <c:spPr>
        <a:solidFill>
          <a:srgbClr val="DDDDDD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none" strike="noStrike" kern="1200" spc="0" baseline="0">
              <a:solidFill>
                <a:sysClr val="windowText" lastClr="000000"/>
              </a:solidFill>
              <a:latin typeface="HelveticaNeueLT Pro 55 Roman" panose="020B08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'2021_2022'!$V$23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rgbClr val="F5FD58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solidFill>
                <a:srgbClr val="BFFFD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800" b="1" i="0" u="none" strike="noStrike" kern="1200" baseline="0">
                    <a:solidFill>
                      <a:sysClr val="windowText" lastClr="000000"/>
                    </a:solidFill>
                    <a:latin typeface="HelveticaNeueLT Pro 35 Th" panose="020B04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'2021_2022'!$N$24:$N$29</c:f>
              <c:strCache>
                <c:ptCount val="6"/>
                <c:pt idx="0">
                  <c:v>ARGOS</c:v>
                </c:pt>
                <c:pt idx="1">
                  <c:v>ASDA</c:v>
                </c:pt>
                <c:pt idx="2">
                  <c:v>BOOTS</c:v>
                </c:pt>
                <c:pt idx="3">
                  <c:v>CO-OP</c:v>
                </c:pt>
                <c:pt idx="4">
                  <c:v>KEY GROUP</c:v>
                </c:pt>
                <c:pt idx="5">
                  <c:v>SAINSBURY'S</c:v>
                </c:pt>
              </c:strCache>
            </c:strRef>
          </c:cat>
          <c:val>
            <c:numRef>
              <c:f>'2021_2022'!$V$24:$V$29</c:f>
              <c:numCache>
                <c:formatCode>0.00%</c:formatCode>
                <c:ptCount val="6"/>
                <c:pt idx="0">
                  <c:v>0.16337370707025478</c:v>
                </c:pt>
                <c:pt idx="1">
                  <c:v>0.20246089578491111</c:v>
                </c:pt>
                <c:pt idx="2">
                  <c:v>0.18484105216098981</c:v>
                </c:pt>
                <c:pt idx="3">
                  <c:v>0.27986512524084778</c:v>
                </c:pt>
                <c:pt idx="4">
                  <c:v>0.192078025477707</c:v>
                </c:pt>
                <c:pt idx="5">
                  <c:v>0.14348697242741085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6-4213-AF60-1EC4B77C4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358200863"/>
        <c:axId val="358224991"/>
      </c:barChart>
      <c:lineChart>
        <c:grouping val="standard"/>
        <c:varyColors val="0"/>
        <c:ser>
          <c:idx val="1"/>
          <c:order val="1"/>
          <c:tx>
            <c:strRef>
              <c:f>'2021_2022'!$N$30</c:f>
              <c:strCache>
                <c:ptCount val="1"/>
                <c:pt idx="0">
                  <c:v>MERCH DEPT.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6FCD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'2021_2022'!$O$30:$U$30</c:f>
              <c:numCache>
                <c:formatCode>0.00%</c:formatCode>
                <c:ptCount val="7"/>
                <c:pt idx="0">
                  <c:v>0.18085061656926824</c:v>
                </c:pt>
                <c:pt idx="1">
                  <c:v>0.19470906638914717</c:v>
                </c:pt>
                <c:pt idx="2">
                  <c:v>0.20173144232828163</c:v>
                </c:pt>
                <c:pt idx="3">
                  <c:v>0.15749821286800919</c:v>
                </c:pt>
                <c:pt idx="4">
                  <c:v>0.11223634563746715</c:v>
                </c:pt>
                <c:pt idx="5">
                  <c:v>0.12551713248065688</c:v>
                </c:pt>
                <c:pt idx="6">
                  <c:v>0.11023635002509111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73D-4F0E-83F5-A1069608E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69439"/>
        <c:axId val="196991071"/>
      </c:lineChart>
      <c:catAx>
        <c:axId val="35820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800" b="1" i="0" u="none" strike="noStrike" kern="1200" baseline="0">
                <a:solidFill>
                  <a:sysClr val="windowText" lastClr="000000"/>
                </a:solidFill>
                <a:latin typeface="HelveticaNeueLT Pro 35 Th" panose="020B0403020202020204" pitchFamily="34" charset="0"/>
                <a:ea typeface="+mn-ea"/>
                <a:cs typeface="+mn-cs"/>
              </a:defRPr>
            </a:pPr>
            <a:endParaRPr lang="en-US"/>
          </a:p>
        </c:txPr>
        <c:crossAx val="358224991"/>
        <c:crosses val="autoZero"/>
        <c:auto val="1"/>
        <c:lblAlgn val="ctr"/>
        <c:lblOffset val="100"/>
        <c:noMultiLvlLbl val="0"/>
      </c:catAx>
      <c:valAx>
        <c:axId val="358224991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358200863"/>
        <c:crosses val="autoZero"/>
        <c:crossBetween val="between"/>
      </c:valAx>
      <c:valAx>
        <c:axId val="196991071"/>
        <c:scaling>
          <c:orientation val="minMax"/>
        </c:scaling>
        <c:delete val="1"/>
        <c:axPos val="r"/>
        <c:numFmt formatCode="0.00%" sourceLinked="1"/>
        <c:majorTickMark val="out"/>
        <c:minorTickMark val="none"/>
        <c:tickLblPos val="nextTo"/>
        <c:crossAx val="196969439"/>
        <c:crosses val="max"/>
        <c:crossBetween val="between"/>
      </c:valAx>
      <c:catAx>
        <c:axId val="196969439"/>
        <c:scaling>
          <c:orientation val="minMax"/>
        </c:scaling>
        <c:delete val="1"/>
        <c:axPos val="b"/>
        <c:majorTickMark val="out"/>
        <c:minorTickMark val="none"/>
        <c:tickLblPos val="nextTo"/>
        <c:crossAx val="1969910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[30.08.2021 Margin Update DRAFT.xlsx]Exec Summary!PivotTable1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ysClr val="windowText" lastClr="000000"/>
                </a:solidFill>
                <a:latin typeface="HelveticaNeueLT Pro 55 Roman" panose="020B0804020202020204" pitchFamily="34" charset="0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ysClr val="windowText" lastClr="000000"/>
                </a:solidFill>
                <a:latin typeface="HelveticaNeueLT Pro 55 Roman" panose="020B0804020202020204" pitchFamily="34" charset="0"/>
                <a:ea typeface="+mn-ea"/>
                <a:cs typeface="+mn-cs"/>
              </a:rPr>
              <a:t>Bottom 10 Current Jobs - Revenue</a:t>
            </a:r>
          </a:p>
        </c:rich>
      </c:tx>
      <c:layout>
        <c:manualLayout>
          <c:xMode val="edge"/>
          <c:yMode val="edge"/>
          <c:x val="0.27652413701451878"/>
          <c:y val="1.7987630317371908E-2"/>
        </c:manualLayout>
      </c:layout>
      <c:overlay val="0"/>
      <c:spPr>
        <a:solidFill>
          <a:srgbClr val="DDDDDD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none" strike="noStrike" kern="1200" spc="0" baseline="0">
              <a:solidFill>
                <a:sysClr val="windowText" lastClr="000000"/>
              </a:solidFill>
              <a:latin typeface="HelveticaNeueLT Pro 55 Roman" panose="020B08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/>
          </a:solidFill>
          <a:ln>
            <a:noFill/>
          </a:ln>
          <a:effectLst>
            <a:outerShdw blurRad="50800" dist="38100" dir="10800000" algn="r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&quot;£&quot;#,##0.00" sourceLinked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HelveticaNeueLT Pro 35 Th" panose="020B0403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>
            <a:outerShdw blurRad="50800" dist="38100" dir="10800000" algn="r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&quot;£&quot;#,##0.00" sourceLinked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HelveticaNeueLT Pro 35 Th" panose="020B0403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'Exec Summary'!$D$19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&quot;£&quot;#,##0.00" sourceLinked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NeueLT Pro 35 Th" panose="020B04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'Exec Summary'!$C$20:$C$30</c:f>
              <c:strCache>
                <c:ptCount val="10"/>
                <c:pt idx="0">
                  <c:v>SAI05/410</c:v>
                </c:pt>
                <c:pt idx="1">
                  <c:v>BOO02/1114</c:v>
                </c:pt>
                <c:pt idx="2">
                  <c:v>ARG01/531</c:v>
                </c:pt>
                <c:pt idx="3">
                  <c:v>BOO02/1115</c:v>
                </c:pt>
                <c:pt idx="4">
                  <c:v>BOO02/1110</c:v>
                </c:pt>
                <c:pt idx="5">
                  <c:v>ARG01/532</c:v>
                </c:pt>
                <c:pt idx="6">
                  <c:v>BOO02/1107</c:v>
                </c:pt>
                <c:pt idx="7">
                  <c:v>BOO02/1102</c:v>
                </c:pt>
                <c:pt idx="8">
                  <c:v>ASD02/087</c:v>
                </c:pt>
                <c:pt idx="9">
                  <c:v>SAI05/342</c:v>
                </c:pt>
              </c:strCache>
            </c:strRef>
          </c:cat>
          <c:val>
            <c:numRef>
              <c:f>'Exec Summary'!$D$20:$D$30</c:f>
              <c:numCache>
                <c:formatCode>General</c:formatCode>
                <c:ptCount val="10"/>
                <c:pt idx="0">
                  <c:v>154.37999999999988</c:v>
                </c:pt>
                <c:pt idx="1">
                  <c:v>153.29000000000008</c:v>
                </c:pt>
                <c:pt idx="2">
                  <c:v>128.38999999999987</c:v>
                </c:pt>
                <c:pt idx="3">
                  <c:v>124.83999999999992</c:v>
                </c:pt>
                <c:pt idx="4">
                  <c:v>110.01999999999998</c:v>
                </c:pt>
                <c:pt idx="5">
                  <c:v>87.159999999999854</c:v>
                </c:pt>
                <c:pt idx="6">
                  <c:v>53.839999999999918</c:v>
                </c:pt>
                <c:pt idx="7">
                  <c:v>38.509999999999991</c:v>
                </c:pt>
                <c:pt idx="8">
                  <c:v>21.95999999999998</c:v>
                </c:pt>
                <c:pt idx="9">
                  <c:v>11.259999999999764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6C-4C15-A284-1ACF59BFE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62146799"/>
        <c:axId val="62148879"/>
      </c:barChart>
      <c:catAx>
        <c:axId val="621467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NeueLT Pro 35 Th" panose="020B0403020202020204" pitchFamily="34" charset="0"/>
                <a:ea typeface="+mn-ea"/>
                <a:cs typeface="+mn-cs"/>
              </a:defRPr>
            </a:pPr>
            <a:endParaRPr lang="en-US"/>
          </a:p>
        </c:txPr>
        <c:crossAx val="62148879"/>
        <c:crosses val="autoZero"/>
        <c:auto val="1"/>
        <c:lblAlgn val="ctr"/>
        <c:lblOffset val="100"/>
        <c:noMultiLvlLbl val="0"/>
      </c:catAx>
      <c:valAx>
        <c:axId val="62148879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214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BFFFD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[30.08.2021 Margin Update DRAFT.xlsx]Exec Summary!PivotTable2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ysClr val="windowText" lastClr="000000"/>
                </a:solidFill>
                <a:latin typeface="HelveticaNeueLT Pro 55 Roman" panose="020B0804020202020204" pitchFamily="34" charset="0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ysClr val="windowText" lastClr="000000"/>
                </a:solidFill>
                <a:latin typeface="HelveticaNeueLT Pro 55 Roman" panose="020B0804020202020204" pitchFamily="34" charset="0"/>
                <a:ea typeface="+mn-ea"/>
                <a:cs typeface="+mn-cs"/>
              </a:rPr>
              <a:t>Bottom 10 CurrentJobs - Margin</a:t>
            </a:r>
          </a:p>
        </c:rich>
      </c:tx>
      <c:overlay val="0"/>
      <c:spPr>
        <a:solidFill>
          <a:srgbClr val="DDDDDD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none" strike="noStrike" kern="1200" spc="0" baseline="0">
              <a:solidFill>
                <a:sysClr val="windowText" lastClr="000000"/>
              </a:solidFill>
              <a:latin typeface="HelveticaNeueLT Pro 55 Roman" panose="020B08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/>
          </a:solidFill>
          <a:ln>
            <a:noFill/>
          </a:ln>
          <a:effectLst>
            <a:outerShdw blurRad="50800" dist="38100" dir="10800000" algn="r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HelveticaNeueLT Pro 35 Th" panose="020B0403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>
            <a:outerShdw blurRad="50800" dist="38100" dir="10800000" algn="r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HelveticaNeueLT Pro 35 Th" panose="020B0403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'Exec Summary'!$K$19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NeueLT Pro 35 Th" panose="020B04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'Exec Summary'!$J$20:$J$30</c:f>
              <c:strCache>
                <c:ptCount val="10"/>
                <c:pt idx="0">
                  <c:v>SAI05/365</c:v>
                </c:pt>
                <c:pt idx="1">
                  <c:v>SAI05/371</c:v>
                </c:pt>
                <c:pt idx="2">
                  <c:v>ARG01/515</c:v>
                </c:pt>
                <c:pt idx="3">
                  <c:v>ARG01/530</c:v>
                </c:pt>
                <c:pt idx="4">
                  <c:v>SAI05/338</c:v>
                </c:pt>
                <c:pt idx="5">
                  <c:v>SAI05/382</c:v>
                </c:pt>
                <c:pt idx="6">
                  <c:v>SAI05/409</c:v>
                </c:pt>
                <c:pt idx="7">
                  <c:v>ARG01/531</c:v>
                </c:pt>
                <c:pt idx="8">
                  <c:v>ARG01/532</c:v>
                </c:pt>
                <c:pt idx="9">
                  <c:v>SAI05/342</c:v>
                </c:pt>
              </c:strCache>
            </c:strRef>
          </c:cat>
          <c:val>
            <c:numRef>
              <c:f>'Exec Summary'!$K$20:$K$30</c:f>
              <c:numCache>
                <c:formatCode>0.00%</c:formatCode>
                <c:ptCount val="10"/>
                <c:pt idx="0">
                  <c:v>5.8106166620020536E-2</c:v>
                </c:pt>
                <c:pt idx="1">
                  <c:v>5.1980392156862835E-2</c:v>
                </c:pt>
                <c:pt idx="2">
                  <c:v>4.9356644163637518E-2</c:v>
                </c:pt>
                <c:pt idx="3">
                  <c:v>4.6931000153162664E-2</c:v>
                </c:pt>
                <c:pt idx="4">
                  <c:v>4.6660029703131829E-2</c:v>
                </c:pt>
                <c:pt idx="5">
                  <c:v>4.6049335863377491E-2</c:v>
                </c:pt>
                <c:pt idx="6">
                  <c:v>4.2392156862744883E-2</c:v>
                </c:pt>
                <c:pt idx="7">
                  <c:v>3.2774289069280614E-2</c:v>
                </c:pt>
                <c:pt idx="8">
                  <c:v>1.3376304481276835E-2</c:v>
                </c:pt>
                <c:pt idx="9">
                  <c:v>7.0906801007555188E-3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0-49C1-AA60-37D00841A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axId val="1679777104"/>
        <c:axId val="1679778352"/>
      </c:barChart>
      <c:catAx>
        <c:axId val="1679777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78352"/>
        <c:crosses val="autoZero"/>
        <c:auto val="1"/>
        <c:lblAlgn val="ctr"/>
        <c:lblOffset val="100"/>
        <c:noMultiLvlLbl val="0"/>
      </c:catAx>
      <c:valAx>
        <c:axId val="1679778352"/>
        <c:scaling>
          <c:orientation val="minMax"/>
        </c:scaling>
        <c:delete val="1"/>
        <c:axPos val="t"/>
        <c:numFmt formatCode="0.00%" sourceLinked="1"/>
        <c:majorTickMark val="none"/>
        <c:minorTickMark val="none"/>
        <c:tickLblPos val="nextTo"/>
        <c:crossAx val="167977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BFFFD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[30.08.2021 Margin Update DRAFT.xlsx]Margins_Workings!HighBillingsLowMargin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bg1"/>
                </a:solidFill>
              </a:rPr>
              <a:t>High Billings Jobs</a:t>
            </a:r>
            <a:r>
              <a:rPr lang="en-GB" sz="2000" b="1" baseline="0">
                <a:solidFill>
                  <a:schemeClr val="bg1"/>
                </a:solidFill>
              </a:rPr>
              <a:t> - Margin Focus</a:t>
            </a:r>
          </a:p>
          <a:p>
            <a:pPr>
              <a:defRPr>
                <a:solidFill>
                  <a:schemeClr val="bg1"/>
                </a:solidFill>
              </a:defRPr>
            </a:pPr>
            <a:r>
              <a:rPr lang="en-GB" b="1" i="1" baseline="0">
                <a:solidFill>
                  <a:schemeClr val="bg1"/>
                </a:solidFill>
              </a:rPr>
              <a:t>Highlighted jobs - lower margins, jobs to watch when scheduling</a:t>
            </a:r>
            <a:endParaRPr lang="en-GB" b="1" i="1">
              <a:solidFill>
                <a:schemeClr val="bg1"/>
              </a:solidFill>
            </a:endParaRPr>
          </a:p>
        </c:rich>
      </c:tx>
      <c:overlay val="0"/>
      <c:spPr>
        <a:solidFill>
          <a:schemeClr val="bg1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diamond"/>
          <c:size val="5"/>
          <c:spPr>
            <a:solidFill>
              <a:schemeClr val="tx1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diamond"/>
          <c:size val="5"/>
          <c:spPr>
            <a:solidFill>
              <a:schemeClr val="tx1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BFFFD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FF0000"/>
            </a:solidFill>
            <a:round/>
          </a:ln>
          <a:effectLst/>
        </c:spPr>
        <c:marker>
          <c:symbol val="square"/>
          <c:size val="8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FF0000"/>
            </a:solidFill>
            <a:round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square"/>
          <c:size val="8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45000"/>
            </a:schemeClr>
          </a:solidFill>
          <a:ln>
            <a:solidFill>
              <a:srgbClr val="FF0000">
                <a:alpha val="0"/>
              </a:srgb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Margins_Workings!$C$9</c:f>
              <c:strCache>
                <c:ptCount val="1"/>
                <c:pt idx="0">
                  <c:v>Sum of Billings</c:v>
                </c:pt>
              </c:strCache>
            </c:strRef>
          </c:tx>
          <c:spPr>
            <a:solidFill>
              <a:srgbClr val="BFFFD9"/>
            </a:solidFill>
            <a:ln>
              <a:noFill/>
            </a:ln>
            <a:effectLst/>
          </c:spPr>
          <c:invertIfNegative val="0"/>
          <c:cat>
            <c:strRef>
              <c:f>Margins_Workings!$B$10:$B$36</c:f>
              <c:strCache>
                <c:ptCount val="27"/>
                <c:pt idx="0">
                  <c:v>ASD02/086</c:v>
                </c:pt>
                <c:pt idx="1">
                  <c:v>ASD02/085</c:v>
                </c:pt>
                <c:pt idx="2">
                  <c:v>SAI05/341</c:v>
                </c:pt>
                <c:pt idx="3">
                  <c:v>SAI05/326</c:v>
                </c:pt>
                <c:pt idx="4">
                  <c:v>ASD02/091</c:v>
                </c:pt>
                <c:pt idx="5">
                  <c:v>SAI05/367</c:v>
                </c:pt>
                <c:pt idx="6">
                  <c:v>ASD02/088</c:v>
                </c:pt>
                <c:pt idx="7">
                  <c:v>SAI05/369</c:v>
                </c:pt>
                <c:pt idx="8">
                  <c:v>ASD02/084</c:v>
                </c:pt>
                <c:pt idx="9">
                  <c:v>SAI05/329</c:v>
                </c:pt>
                <c:pt idx="10">
                  <c:v>SAI05/405</c:v>
                </c:pt>
                <c:pt idx="11">
                  <c:v>SAI05/394</c:v>
                </c:pt>
                <c:pt idx="12">
                  <c:v>ASD02/082</c:v>
                </c:pt>
                <c:pt idx="13">
                  <c:v>SAI05/370</c:v>
                </c:pt>
                <c:pt idx="14">
                  <c:v>SAI05/392</c:v>
                </c:pt>
                <c:pt idx="15">
                  <c:v>SAI05/349</c:v>
                </c:pt>
                <c:pt idx="16">
                  <c:v>SAI05/411</c:v>
                </c:pt>
                <c:pt idx="17">
                  <c:v>SAI05/362</c:v>
                </c:pt>
                <c:pt idx="18">
                  <c:v>SAI05/397</c:v>
                </c:pt>
                <c:pt idx="19">
                  <c:v>SAI05/387</c:v>
                </c:pt>
                <c:pt idx="20">
                  <c:v>SAI05/385</c:v>
                </c:pt>
                <c:pt idx="21">
                  <c:v>SAI05/364</c:v>
                </c:pt>
                <c:pt idx="22">
                  <c:v>SAI05/356</c:v>
                </c:pt>
                <c:pt idx="23">
                  <c:v>SAI05/357</c:v>
                </c:pt>
                <c:pt idx="24">
                  <c:v>SAI05/355</c:v>
                </c:pt>
                <c:pt idx="25">
                  <c:v>SAI05/408</c:v>
                </c:pt>
                <c:pt idx="26">
                  <c:v>SAI05/333</c:v>
                </c:pt>
              </c:strCache>
            </c:strRef>
          </c:cat>
          <c:val>
            <c:numRef>
              <c:f>Margins_Workings!$C$10:$C$36</c:f>
              <c:numCache>
                <c:formatCode>"£"#,##0.00</c:formatCode>
                <c:ptCount val="27"/>
                <c:pt idx="0">
                  <c:v>152510.21000000002</c:v>
                </c:pt>
                <c:pt idx="1">
                  <c:v>130819.47999999998</c:v>
                </c:pt>
                <c:pt idx="2">
                  <c:v>119040.45</c:v>
                </c:pt>
                <c:pt idx="3">
                  <c:v>116130.46999999999</c:v>
                </c:pt>
                <c:pt idx="4">
                  <c:v>110870.65000000001</c:v>
                </c:pt>
                <c:pt idx="5">
                  <c:v>106250</c:v>
                </c:pt>
                <c:pt idx="6">
                  <c:v>106234.70000000001</c:v>
                </c:pt>
                <c:pt idx="7">
                  <c:v>90780</c:v>
                </c:pt>
                <c:pt idx="8">
                  <c:v>90613.6</c:v>
                </c:pt>
                <c:pt idx="9">
                  <c:v>80938.86</c:v>
                </c:pt>
                <c:pt idx="10">
                  <c:v>74218</c:v>
                </c:pt>
                <c:pt idx="11">
                  <c:v>73100</c:v>
                </c:pt>
                <c:pt idx="12">
                  <c:v>73070.91</c:v>
                </c:pt>
                <c:pt idx="13">
                  <c:v>70720</c:v>
                </c:pt>
                <c:pt idx="14">
                  <c:v>70550</c:v>
                </c:pt>
                <c:pt idx="15">
                  <c:v>60955.439999999995</c:v>
                </c:pt>
                <c:pt idx="16">
                  <c:v>51780</c:v>
                </c:pt>
                <c:pt idx="17">
                  <c:v>47828.880000000005</c:v>
                </c:pt>
                <c:pt idx="18">
                  <c:v>36890</c:v>
                </c:pt>
                <c:pt idx="19">
                  <c:v>36246</c:v>
                </c:pt>
                <c:pt idx="20">
                  <c:v>36040</c:v>
                </c:pt>
                <c:pt idx="21">
                  <c:v>32932.080000000002</c:v>
                </c:pt>
                <c:pt idx="22">
                  <c:v>29943.724999999999</c:v>
                </c:pt>
                <c:pt idx="23">
                  <c:v>29571.199999999997</c:v>
                </c:pt>
                <c:pt idx="24">
                  <c:v>27633.26</c:v>
                </c:pt>
                <c:pt idx="25">
                  <c:v>27098.199999999997</c:v>
                </c:pt>
                <c:pt idx="26">
                  <c:v>26434.699999999997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8-42B1-9ECA-007673778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7317983"/>
        <c:axId val="1867315487"/>
      </c:barChart>
      <c:barChart>
        <c:barDir val="col"/>
        <c:grouping val="percentStacked"/>
        <c:varyColors val="0"/>
        <c:ser>
          <c:idx val="2"/>
          <c:order val="2"/>
          <c:tx>
            <c:strRef>
              <c:f>Margins_Workings!$E$9</c:f>
              <c:strCache>
                <c:ptCount val="1"/>
                <c:pt idx="0">
                  <c:v>Sum of Focus</c:v>
                </c:pt>
              </c:strCache>
            </c:strRef>
          </c:tx>
          <c:spPr>
            <a:solidFill>
              <a:schemeClr val="accent1">
                <a:alpha val="45000"/>
              </a:schemeClr>
            </a:solidFill>
            <a:ln>
              <a:solidFill>
                <a:srgbClr val="FF0000">
                  <a:alpha val="0"/>
                </a:srgbClr>
              </a:solidFill>
            </a:ln>
            <a:effectLst/>
          </c:spPr>
          <c:invertIfNegative val="0"/>
          <c:cat>
            <c:strRef>
              <c:f>Margins_Workings!$B$10:$B$36</c:f>
              <c:strCache>
                <c:ptCount val="27"/>
                <c:pt idx="0">
                  <c:v>ASD02/086</c:v>
                </c:pt>
                <c:pt idx="1">
                  <c:v>ASD02/085</c:v>
                </c:pt>
                <c:pt idx="2">
                  <c:v>SAI05/341</c:v>
                </c:pt>
                <c:pt idx="3">
                  <c:v>SAI05/326</c:v>
                </c:pt>
                <c:pt idx="4">
                  <c:v>ASD02/091</c:v>
                </c:pt>
                <c:pt idx="5">
                  <c:v>SAI05/367</c:v>
                </c:pt>
                <c:pt idx="6">
                  <c:v>ASD02/088</c:v>
                </c:pt>
                <c:pt idx="7">
                  <c:v>SAI05/369</c:v>
                </c:pt>
                <c:pt idx="8">
                  <c:v>ASD02/084</c:v>
                </c:pt>
                <c:pt idx="9">
                  <c:v>SAI05/329</c:v>
                </c:pt>
                <c:pt idx="10">
                  <c:v>SAI05/405</c:v>
                </c:pt>
                <c:pt idx="11">
                  <c:v>SAI05/394</c:v>
                </c:pt>
                <c:pt idx="12">
                  <c:v>ASD02/082</c:v>
                </c:pt>
                <c:pt idx="13">
                  <c:v>SAI05/370</c:v>
                </c:pt>
                <c:pt idx="14">
                  <c:v>SAI05/392</c:v>
                </c:pt>
                <c:pt idx="15">
                  <c:v>SAI05/349</c:v>
                </c:pt>
                <c:pt idx="16">
                  <c:v>SAI05/411</c:v>
                </c:pt>
                <c:pt idx="17">
                  <c:v>SAI05/362</c:v>
                </c:pt>
                <c:pt idx="18">
                  <c:v>SAI05/397</c:v>
                </c:pt>
                <c:pt idx="19">
                  <c:v>SAI05/387</c:v>
                </c:pt>
                <c:pt idx="20">
                  <c:v>SAI05/385</c:v>
                </c:pt>
                <c:pt idx="21">
                  <c:v>SAI05/364</c:v>
                </c:pt>
                <c:pt idx="22">
                  <c:v>SAI05/356</c:v>
                </c:pt>
                <c:pt idx="23">
                  <c:v>SAI05/357</c:v>
                </c:pt>
                <c:pt idx="24">
                  <c:v>SAI05/355</c:v>
                </c:pt>
                <c:pt idx="25">
                  <c:v>SAI05/408</c:v>
                </c:pt>
                <c:pt idx="26">
                  <c:v>SAI05/333</c:v>
                </c:pt>
              </c:strCache>
            </c:strRef>
          </c:cat>
          <c:val>
            <c:numRef>
              <c:f>Margins_Workings!$E$10:$E$36</c:f>
              <c:numCache>
                <c:formatCode>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A8-42B1-9ECA-007673778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67397296"/>
        <c:axId val="267403536"/>
      </c:barChart>
      <c:lineChart>
        <c:grouping val="standard"/>
        <c:varyColors val="0"/>
        <c:ser>
          <c:idx val="1"/>
          <c:order val="1"/>
          <c:tx>
            <c:strRef>
              <c:f>Margins_Workings!$D$9</c:f>
              <c:strCache>
                <c:ptCount val="1"/>
                <c:pt idx="0">
                  <c:v>Sum of Margin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5"/>
            <c:marker>
              <c:symbol val="squar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9A8-42B1-9ECA-00767377849A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Margins_Workings!$B$10:$B$36</c:f>
              <c:strCache>
                <c:ptCount val="27"/>
                <c:pt idx="0">
                  <c:v>ASD02/086</c:v>
                </c:pt>
                <c:pt idx="1">
                  <c:v>ASD02/085</c:v>
                </c:pt>
                <c:pt idx="2">
                  <c:v>SAI05/341</c:v>
                </c:pt>
                <c:pt idx="3">
                  <c:v>SAI05/326</c:v>
                </c:pt>
                <c:pt idx="4">
                  <c:v>ASD02/091</c:v>
                </c:pt>
                <c:pt idx="5">
                  <c:v>SAI05/367</c:v>
                </c:pt>
                <c:pt idx="6">
                  <c:v>ASD02/088</c:v>
                </c:pt>
                <c:pt idx="7">
                  <c:v>SAI05/369</c:v>
                </c:pt>
                <c:pt idx="8">
                  <c:v>ASD02/084</c:v>
                </c:pt>
                <c:pt idx="9">
                  <c:v>SAI05/329</c:v>
                </c:pt>
                <c:pt idx="10">
                  <c:v>SAI05/405</c:v>
                </c:pt>
                <c:pt idx="11">
                  <c:v>SAI05/394</c:v>
                </c:pt>
                <c:pt idx="12">
                  <c:v>ASD02/082</c:v>
                </c:pt>
                <c:pt idx="13">
                  <c:v>SAI05/370</c:v>
                </c:pt>
                <c:pt idx="14">
                  <c:v>SAI05/392</c:v>
                </c:pt>
                <c:pt idx="15">
                  <c:v>SAI05/349</c:v>
                </c:pt>
                <c:pt idx="16">
                  <c:v>SAI05/411</c:v>
                </c:pt>
                <c:pt idx="17">
                  <c:v>SAI05/362</c:v>
                </c:pt>
                <c:pt idx="18">
                  <c:v>SAI05/397</c:v>
                </c:pt>
                <c:pt idx="19">
                  <c:v>SAI05/387</c:v>
                </c:pt>
                <c:pt idx="20">
                  <c:v>SAI05/385</c:v>
                </c:pt>
                <c:pt idx="21">
                  <c:v>SAI05/364</c:v>
                </c:pt>
                <c:pt idx="22">
                  <c:v>SAI05/356</c:v>
                </c:pt>
                <c:pt idx="23">
                  <c:v>SAI05/357</c:v>
                </c:pt>
                <c:pt idx="24">
                  <c:v>SAI05/355</c:v>
                </c:pt>
                <c:pt idx="25">
                  <c:v>SAI05/408</c:v>
                </c:pt>
                <c:pt idx="26">
                  <c:v>SAI05/333</c:v>
                </c:pt>
              </c:strCache>
            </c:strRef>
          </c:cat>
          <c:val>
            <c:numRef>
              <c:f>Margins_Workings!$D$10:$D$36</c:f>
              <c:numCache>
                <c:formatCode>0.00%</c:formatCode>
                <c:ptCount val="27"/>
                <c:pt idx="0">
                  <c:v>0.38987534014935782</c:v>
                </c:pt>
                <c:pt idx="1">
                  <c:v>0.17219912508442745</c:v>
                </c:pt>
                <c:pt idx="2">
                  <c:v>0.19203934460933197</c:v>
                </c:pt>
                <c:pt idx="3">
                  <c:v>0.13251918295000367</c:v>
                </c:pt>
                <c:pt idx="4">
                  <c:v>9.6041648533672544E-2</c:v>
                </c:pt>
                <c:pt idx="5">
                  <c:v>0.15791388235294179</c:v>
                </c:pt>
                <c:pt idx="6">
                  <c:v>0.18128982338162497</c:v>
                </c:pt>
                <c:pt idx="7">
                  <c:v>0.11317790262172342</c:v>
                </c:pt>
                <c:pt idx="8">
                  <c:v>0.18325080842771249</c:v>
                </c:pt>
                <c:pt idx="9">
                  <c:v>0.12595828505615222</c:v>
                </c:pt>
                <c:pt idx="10">
                  <c:v>0.11318332479991404</c:v>
                </c:pt>
                <c:pt idx="11">
                  <c:v>0.1208366621067026</c:v>
                </c:pt>
                <c:pt idx="12">
                  <c:v>0.18092179227000177</c:v>
                </c:pt>
                <c:pt idx="13">
                  <c:v>0.14727714932126701</c:v>
                </c:pt>
                <c:pt idx="14">
                  <c:v>9.8138908575478342E-2</c:v>
                </c:pt>
                <c:pt idx="15">
                  <c:v>0.17808681226810968</c:v>
                </c:pt>
                <c:pt idx="16">
                  <c:v>0.12284356894553847</c:v>
                </c:pt>
                <c:pt idx="17">
                  <c:v>0.13787343546409619</c:v>
                </c:pt>
                <c:pt idx="18">
                  <c:v>0.10550094876660322</c:v>
                </c:pt>
                <c:pt idx="19">
                  <c:v>0.11330905479225303</c:v>
                </c:pt>
                <c:pt idx="20">
                  <c:v>0.16399556048834613</c:v>
                </c:pt>
                <c:pt idx="21">
                  <c:v>0.14062002764477685</c:v>
                </c:pt>
                <c:pt idx="22">
                  <c:v>0.2171810621424021</c:v>
                </c:pt>
                <c:pt idx="23">
                  <c:v>0.22945162861162202</c:v>
                </c:pt>
                <c:pt idx="24">
                  <c:v>7.5883916700382151E-2</c:v>
                </c:pt>
                <c:pt idx="25">
                  <c:v>0.13132385176875189</c:v>
                </c:pt>
                <c:pt idx="26">
                  <c:v>8.3270474036020697E-2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A8-42B1-9ECA-007673778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397296"/>
        <c:axId val="267403536"/>
      </c:lineChart>
      <c:catAx>
        <c:axId val="186731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315487"/>
        <c:crosses val="autoZero"/>
        <c:auto val="1"/>
        <c:lblAlgn val="ctr"/>
        <c:lblOffset val="100"/>
        <c:noMultiLvlLbl val="0"/>
      </c:catAx>
      <c:valAx>
        <c:axId val="186731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chemeClr val="tx1"/>
                    </a:solidFill>
                  </a:rPr>
                  <a:t>Billing</a:t>
                </a:r>
                <a:r>
                  <a:rPr lang="en-GB" sz="1200" b="1" baseline="0">
                    <a:solidFill>
                      <a:schemeClr val="tx1"/>
                    </a:solidFill>
                  </a:rPr>
                  <a:t> Amount </a:t>
                </a:r>
                <a:endParaRPr lang="en-GB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317983"/>
        <c:crosses val="autoZero"/>
        <c:crossBetween val="between"/>
      </c:valAx>
      <c:valAx>
        <c:axId val="2674035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>
                    <a:solidFill>
                      <a:schemeClr val="bg1"/>
                    </a:solidFill>
                  </a:rPr>
                  <a:t>Current</a:t>
                </a:r>
                <a:r>
                  <a:rPr lang="en-GB" sz="1100" b="1" baseline="0">
                    <a:solidFill>
                      <a:schemeClr val="bg1"/>
                    </a:solidFill>
                  </a:rPr>
                  <a:t> Margin</a:t>
                </a:r>
                <a:endParaRPr lang="en-GB" sz="1100" b="1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97296"/>
        <c:crosses val="max"/>
        <c:crossBetween val="between"/>
      </c:valAx>
      <c:catAx>
        <c:axId val="26739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7403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DDDDD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bg1"/>
                </a:solidFill>
              </a:rPr>
              <a:t>Final Margins vs 17% Target</a:t>
            </a:r>
          </a:p>
        </c:rich>
      </c:tx>
      <c:overlay val="0"/>
      <c:spPr>
        <a:solidFill>
          <a:schemeClr val="bg1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'FQM 21_22'!$J$1</c:f>
              <c:strCache>
                <c:ptCount val="1"/>
                <c:pt idx="0">
                  <c:v>ACTUAL MARGIN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'FQM 21_22'!$D$2:$D$29</c:f>
              <c:strCache>
                <c:ptCount val="28"/>
                <c:pt idx="0">
                  <c:v>ARG01/507</c:v>
                </c:pt>
                <c:pt idx="1">
                  <c:v>ARG01/508</c:v>
                </c:pt>
                <c:pt idx="2">
                  <c:v>ARG01/509</c:v>
                </c:pt>
                <c:pt idx="3">
                  <c:v>ARG01/510</c:v>
                </c:pt>
                <c:pt idx="4">
                  <c:v>ARG01/511</c:v>
                </c:pt>
                <c:pt idx="5">
                  <c:v>ARG01/512</c:v>
                </c:pt>
                <c:pt idx="6">
                  <c:v>ARG01/513</c:v>
                </c:pt>
                <c:pt idx="7">
                  <c:v>ARG01/516</c:v>
                </c:pt>
                <c:pt idx="8">
                  <c:v>ASD02/081</c:v>
                </c:pt>
                <c:pt idx="9">
                  <c:v>ASD02/083</c:v>
                </c:pt>
                <c:pt idx="10">
                  <c:v>BOO02/1080</c:v>
                </c:pt>
                <c:pt idx="11">
                  <c:v>BOO02/1085</c:v>
                </c:pt>
                <c:pt idx="12">
                  <c:v>BOO02/1091</c:v>
                </c:pt>
                <c:pt idx="13">
                  <c:v>BOO02/1092</c:v>
                </c:pt>
                <c:pt idx="14">
                  <c:v>BOO02/1093</c:v>
                </c:pt>
                <c:pt idx="15">
                  <c:v>BOO02/1095</c:v>
                </c:pt>
                <c:pt idx="16">
                  <c:v>BOO02/1097</c:v>
                </c:pt>
                <c:pt idx="17">
                  <c:v>COO01/172</c:v>
                </c:pt>
                <c:pt idx="18">
                  <c:v>COO01/173</c:v>
                </c:pt>
                <c:pt idx="19">
                  <c:v>COO01/174</c:v>
                </c:pt>
                <c:pt idx="20">
                  <c:v>SAI05/302</c:v>
                </c:pt>
                <c:pt idx="21">
                  <c:v>SAI05/312</c:v>
                </c:pt>
                <c:pt idx="22">
                  <c:v>SAI05/313</c:v>
                </c:pt>
                <c:pt idx="23">
                  <c:v>SAI05/315</c:v>
                </c:pt>
                <c:pt idx="24">
                  <c:v>SAI05/316</c:v>
                </c:pt>
                <c:pt idx="25">
                  <c:v>SAI05/320</c:v>
                </c:pt>
                <c:pt idx="26">
                  <c:v>SAI05/321</c:v>
                </c:pt>
                <c:pt idx="27">
                  <c:v>SAI05/324</c:v>
                </c:pt>
              </c:strCache>
            </c:strRef>
          </c:cat>
          <c:val>
            <c:numRef>
              <c:f>'FQM 21_22'!$J$2:$J$29</c:f>
              <c:numCache>
                <c:formatCode>0.00%</c:formatCode>
                <c:ptCount val="28"/>
                <c:pt idx="0">
                  <c:v>0.1822</c:v>
                </c:pt>
                <c:pt idx="1">
                  <c:v>0.19309999999999999</c:v>
                </c:pt>
                <c:pt idx="2">
                  <c:v>0.1036</c:v>
                </c:pt>
                <c:pt idx="3">
                  <c:v>0.223</c:v>
                </c:pt>
                <c:pt idx="4">
                  <c:v>0.1948</c:v>
                </c:pt>
                <c:pt idx="5">
                  <c:v>4.7600000000000003E-2</c:v>
                </c:pt>
                <c:pt idx="6">
                  <c:v>0.19259999999999999</c:v>
                </c:pt>
                <c:pt idx="7">
                  <c:v>0.14269999999999999</c:v>
                </c:pt>
                <c:pt idx="8">
                  <c:v>0.17749999999999999</c:v>
                </c:pt>
                <c:pt idx="9">
                  <c:v>0.2853</c:v>
                </c:pt>
                <c:pt idx="10">
                  <c:v>0.33939999999999998</c:v>
                </c:pt>
                <c:pt idx="11">
                  <c:v>0.95230000000000004</c:v>
                </c:pt>
                <c:pt idx="12">
                  <c:v>0.16039999999999999</c:v>
                </c:pt>
                <c:pt idx="13">
                  <c:v>9.4500000000000001E-2</c:v>
                </c:pt>
                <c:pt idx="14">
                  <c:v>0.23949999999999999</c:v>
                </c:pt>
                <c:pt idx="15">
                  <c:v>0.29360000000000003</c:v>
                </c:pt>
                <c:pt idx="16">
                  <c:v>0.22850000000000001</c:v>
                </c:pt>
                <c:pt idx="17">
                  <c:v>0.18970000000000001</c:v>
                </c:pt>
                <c:pt idx="18">
                  <c:v>0.20169999999999999</c:v>
                </c:pt>
                <c:pt idx="19">
                  <c:v>-2.8799999999999999E-2</c:v>
                </c:pt>
                <c:pt idx="20">
                  <c:v>0.19259999999999999</c:v>
                </c:pt>
                <c:pt idx="21">
                  <c:v>0.21579999999999999</c:v>
                </c:pt>
                <c:pt idx="22">
                  <c:v>0.27900000000000003</c:v>
                </c:pt>
                <c:pt idx="23">
                  <c:v>0.1986</c:v>
                </c:pt>
                <c:pt idx="24">
                  <c:v>0.22520000000000001</c:v>
                </c:pt>
                <c:pt idx="25">
                  <c:v>0.16200000000000001</c:v>
                </c:pt>
                <c:pt idx="26">
                  <c:v>0.1512</c:v>
                </c:pt>
                <c:pt idx="27">
                  <c:v>0.23980000000000001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E-4FC7-9A8C-690F627B2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2"/>
        <c:axId val="1680837855"/>
        <c:axId val="1680849503"/>
      </c:barChart>
      <c:lineChart>
        <c:grouping val="standard"/>
        <c:varyColors val="0"/>
        <c:ser>
          <c:idx val="1"/>
          <c:order val="1"/>
          <c:tx>
            <c:strRef>
              <c:f>'FQM 21_22'!$O$1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'FQM 21_22'!$D$2:$D$29</c:f>
              <c:strCache>
                <c:ptCount val="28"/>
                <c:pt idx="0">
                  <c:v>ARG01/507</c:v>
                </c:pt>
                <c:pt idx="1">
                  <c:v>ARG01/508</c:v>
                </c:pt>
                <c:pt idx="2">
                  <c:v>ARG01/509</c:v>
                </c:pt>
                <c:pt idx="3">
                  <c:v>ARG01/510</c:v>
                </c:pt>
                <c:pt idx="4">
                  <c:v>ARG01/511</c:v>
                </c:pt>
                <c:pt idx="5">
                  <c:v>ARG01/512</c:v>
                </c:pt>
                <c:pt idx="6">
                  <c:v>ARG01/513</c:v>
                </c:pt>
                <c:pt idx="7">
                  <c:v>ARG01/516</c:v>
                </c:pt>
                <c:pt idx="8">
                  <c:v>ASD02/081</c:v>
                </c:pt>
                <c:pt idx="9">
                  <c:v>ASD02/083</c:v>
                </c:pt>
                <c:pt idx="10">
                  <c:v>BOO02/1080</c:v>
                </c:pt>
                <c:pt idx="11">
                  <c:v>BOO02/1085</c:v>
                </c:pt>
                <c:pt idx="12">
                  <c:v>BOO02/1091</c:v>
                </c:pt>
                <c:pt idx="13">
                  <c:v>BOO02/1092</c:v>
                </c:pt>
                <c:pt idx="14">
                  <c:v>BOO02/1093</c:v>
                </c:pt>
                <c:pt idx="15">
                  <c:v>BOO02/1095</c:v>
                </c:pt>
                <c:pt idx="16">
                  <c:v>BOO02/1097</c:v>
                </c:pt>
                <c:pt idx="17">
                  <c:v>COO01/172</c:v>
                </c:pt>
                <c:pt idx="18">
                  <c:v>COO01/173</c:v>
                </c:pt>
                <c:pt idx="19">
                  <c:v>COO01/174</c:v>
                </c:pt>
                <c:pt idx="20">
                  <c:v>SAI05/302</c:v>
                </c:pt>
                <c:pt idx="21">
                  <c:v>SAI05/312</c:v>
                </c:pt>
                <c:pt idx="22">
                  <c:v>SAI05/313</c:v>
                </c:pt>
                <c:pt idx="23">
                  <c:v>SAI05/315</c:v>
                </c:pt>
                <c:pt idx="24">
                  <c:v>SAI05/316</c:v>
                </c:pt>
                <c:pt idx="25">
                  <c:v>SAI05/320</c:v>
                </c:pt>
                <c:pt idx="26">
                  <c:v>SAI05/321</c:v>
                </c:pt>
                <c:pt idx="27">
                  <c:v>SAI05/324</c:v>
                </c:pt>
              </c:strCache>
            </c:strRef>
          </c:cat>
          <c:val>
            <c:numRef>
              <c:f>'FQM 21_22'!$O$2:$O$29</c:f>
              <c:numCache>
                <c:formatCode>0.00%</c:formatCode>
                <c:ptCount val="28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0.17</c:v>
                </c:pt>
                <c:pt idx="18">
                  <c:v>0.17</c:v>
                </c:pt>
                <c:pt idx="19">
                  <c:v>0.17</c:v>
                </c:pt>
                <c:pt idx="20">
                  <c:v>0.17</c:v>
                </c:pt>
                <c:pt idx="21">
                  <c:v>0.17</c:v>
                </c:pt>
                <c:pt idx="22">
                  <c:v>0.17</c:v>
                </c:pt>
                <c:pt idx="23">
                  <c:v>0.17</c:v>
                </c:pt>
                <c:pt idx="24">
                  <c:v>0.17</c:v>
                </c:pt>
                <c:pt idx="25">
                  <c:v>0.17</c:v>
                </c:pt>
                <c:pt idx="26">
                  <c:v>0.17</c:v>
                </c:pt>
                <c:pt idx="27">
                  <c:v>0.17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8FE-4FC7-9A8C-690F627B2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837855"/>
        <c:axId val="1680849503"/>
      </c:lineChart>
      <c:catAx>
        <c:axId val="168083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849503"/>
        <c:crosses val="autoZero"/>
        <c:auto val="1"/>
        <c:lblAlgn val="ctr"/>
        <c:lblOffset val="100"/>
        <c:noMultiLvlLbl val="0"/>
      </c:catAx>
      <c:valAx>
        <c:axId val="16808495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68083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16</xdr:row>
      <xdr:rowOff>115887</xdr:rowOff>
    </xdr:from>
    <xdr:to>
      <xdr:col>20</xdr:col>
      <xdr:colOff>180975</xdr:colOff>
      <xdr:row>34</xdr:row>
      <xdr:rowOff>96836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94268-48AF-4860-A33D-473555223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301625</xdr:colOff>
      <xdr:row>1</xdr:row>
      <xdr:rowOff>84818</xdr:rowOff>
    </xdr:from>
    <xdr:to>
      <xdr:col>7</xdr:col>
      <xdr:colOff>180975</xdr:colOff>
      <xdr:row>16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8B2A7B-A401-4682-980C-E8A94307B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7</xdr:col>
      <xdr:colOff>293688</xdr:colOff>
      <xdr:row>1</xdr:row>
      <xdr:rowOff>84818</xdr:rowOff>
    </xdr:from>
    <xdr:to>
      <xdr:col>13</xdr:col>
      <xdr:colOff>473075</xdr:colOff>
      <xdr:row>16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33FA4C-2696-4559-B5D7-251EB2D09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</xdr:row>
      <xdr:rowOff>11112</xdr:rowOff>
    </xdr:from>
    <xdr:to>
      <xdr:col>20</xdr:col>
      <xdr:colOff>152400</xdr:colOff>
      <xdr:row>15</xdr:row>
      <xdr:rowOff>153987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2FBB0A5-D5EA-48FB-B2D9-B2338F302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1044576</xdr:colOff>
      <xdr:row>37</xdr:row>
      <xdr:rowOff>111125</xdr:rowOff>
    </xdr:from>
    <xdr:to>
      <xdr:col>5</xdr:col>
      <xdr:colOff>463551</xdr:colOff>
      <xdr:row>40</xdr:row>
      <xdr:rowOff>76046</xdr:rowOff>
    </xdr:to>
    <xdr:pic>
      <xdr:nvPicPr>
        <xdr:cNvPr id="8" name="Picture 7" descr="Logo&#10;&#10;Description automatically generated">
          <a:extLst>
            <a:ext uri="{FF2B5EF4-FFF2-40B4-BE49-F238E27FC236}">
              <a16:creationId xmlns:a16="http://schemas.microsoft.com/office/drawing/2014/main" id="{9868343E-8DB1-4965-A286-D15117457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9601" y="6788150"/>
          <a:ext cx="1555750" cy="507846"/>
        </a:xfrm>
        <a:prstGeom prst="rect">
          <a:avLst/>
        </a:prstGeom>
      </xdr:spPr>
    </xdr:pic>
    <xdr:clientData/>
  </xdr:twoCellAnchor>
  <xdr:twoCellAnchor>
    <xdr:from>
      <xdr:col>0</xdr:col>
      <xdr:colOff>301625</xdr:colOff>
      <xdr:row>16</xdr:row>
      <xdr:rowOff>115887</xdr:rowOff>
    </xdr:from>
    <xdr:to>
      <xdr:col>7</xdr:col>
      <xdr:colOff>161925</xdr:colOff>
      <xdr:row>34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C40BB5F-D22E-4020-BB08-4E7640E35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292100</xdr:colOff>
      <xdr:row>16</xdr:row>
      <xdr:rowOff>115887</xdr:rowOff>
    </xdr:from>
    <xdr:to>
      <xdr:col>13</xdr:col>
      <xdr:colOff>457200</xdr:colOff>
      <xdr:row>34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1A4665A-728C-4130-AEF8-F8611467C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0</xdr:row>
      <xdr:rowOff>152399</xdr:rowOff>
    </xdr:from>
    <xdr:to>
      <xdr:col>27</xdr:col>
      <xdr:colOff>590550</xdr:colOff>
      <xdr:row>37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A3F852-16E5-4C1A-8D83-830B19E11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599016</xdr:colOff>
      <xdr:row>9</xdr:row>
      <xdr:rowOff>161930</xdr:rowOff>
    </xdr:from>
    <xdr:to>
      <xdr:col>33</xdr:col>
      <xdr:colOff>476251</xdr:colOff>
      <xdr:row>37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8274F-16B8-419D-997B-E9CADD074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herine Taylor (MIL-HO)" refreshedDate="44431.45430474537" createdVersion="7" refreshedVersion="7" minRefreshableVersion="3" recordCount="149" xr:uid="{32EA0DE8-AD4A-44E1-9532-EF6069DE615D}">
  <cacheSource type="worksheet">
    <worksheetSource name="Weekly_Data"/>
  </cacheSource>
  <cacheFields count="12">
    <cacheField name="Job Code" numFmtId="0">
      <sharedItems count="155">
        <s v="ARG01/514"/>
        <s v="ARG01/515"/>
        <s v="ARG01/517"/>
        <s v="ARG01/518"/>
        <s v="ARG01/519"/>
        <s v="ARG01/520"/>
        <s v="ARG01/521"/>
        <s v="ARG01/522"/>
        <s v="ARG01/523"/>
        <s v="ARG01/524"/>
        <s v="ARG01/525"/>
        <s v="ARG01/526"/>
        <s v="ARG01/527"/>
        <s v="ARG01/528"/>
        <s v="ARG01/529"/>
        <s v="ARG01/530"/>
        <s v="ARG01/531"/>
        <s v="ARG01/532"/>
        <s v="ARG01/533"/>
        <s v="ARG01/534"/>
        <s v="ARG01/535"/>
        <s v="ARG01/536"/>
        <s v="ARG01/537"/>
        <s v="ARG01/538"/>
        <s v="ARG01/539"/>
        <s v="ARG01/540"/>
        <s v="ARG01/541"/>
        <s v="ARG01/542"/>
        <s v="ARG01/543"/>
        <s v="ARG01/544"/>
        <s v="ARG01/545"/>
        <s v="ASD02/082"/>
        <s v="ASD02/084"/>
        <s v="ASD02/085"/>
        <s v="ASD02/086"/>
        <s v="ASD02/087"/>
        <s v="ASD02/088"/>
        <s v="ASD02/089"/>
        <s v="ASD02/091"/>
        <s v="ASD02/092"/>
        <s v="ASD02/093"/>
        <s v="ASD02/094"/>
        <s v="ASD02/095"/>
        <s v="ASD02/096"/>
        <s v="ASD02/097"/>
        <s v="ASD02/098"/>
        <s v="BOO02/1096"/>
        <s v="BOO02/1102"/>
        <s v="BOO02/1107"/>
        <s v="BOO02/1108"/>
        <s v="BOO02/1109"/>
        <s v="BOO02/1110"/>
        <s v="BOO02/1111"/>
        <s v="BOO02/1112"/>
        <s v="BOO02/1113"/>
        <s v="BOO02/1114"/>
        <s v="BOO02/1115"/>
        <s v="BOO02/1116"/>
        <s v="BOO02/1117"/>
        <s v="BOO02/1118"/>
        <s v="BOO02/1119"/>
        <s v="BOO02/1120"/>
        <s v="BOO02/1121"/>
        <s v="BOO02/1123"/>
        <s v="BOO02/1124"/>
        <s v="BOO02/1125"/>
        <s v="BOO02/1126"/>
        <s v="BOO02/1127"/>
        <s v="BOO02/1128"/>
        <s v="BOO02/1129"/>
        <s v="COO01/175"/>
        <s v="COO01/176"/>
        <s v="COO01/177"/>
        <s v="KEY01/003"/>
        <s v="SAI05/326"/>
        <s v="SAI05/329"/>
        <s v="SAI05/333"/>
        <s v="SAI05/334"/>
        <s v="SAI05/336"/>
        <s v="SAI05/338"/>
        <s v="SAI05/341"/>
        <s v="SAI05/342"/>
        <s v="SAI05/344"/>
        <s v="SAI05/346"/>
        <s v="SAI05/347"/>
        <s v="SAI05/348"/>
        <s v="SAI05/349"/>
        <s v="SAI05/350"/>
        <s v="SAI05/351"/>
        <s v="SAI05/352"/>
        <s v="SAI05/353"/>
        <s v="SAI05/354"/>
        <s v="SAI05/355"/>
        <s v="SAI05/356"/>
        <s v="SAI05/357"/>
        <s v="SAI05/358"/>
        <s v="SAI05/359"/>
        <s v="SAI05/360"/>
        <s v="SAI05/361"/>
        <s v="SAI05/362"/>
        <s v="SAI05/363"/>
        <s v="SAI05/364"/>
        <s v="SAI05/365"/>
        <s v="SAI05/366"/>
        <s v="SAI05/367"/>
        <s v="SAI05/368"/>
        <s v="SAI05/369"/>
        <s v="SAI05/370"/>
        <s v="SAI05/371"/>
        <s v="SAI05/372"/>
        <s v="SAI05/373"/>
        <s v="SAI05/374"/>
        <s v="SAI05/375"/>
        <s v="SAI05/376"/>
        <s v="SAI05/377"/>
        <s v="SAI05/378"/>
        <s v="SAI05/379"/>
        <s v="SAI05/380"/>
        <s v="SAI05/381"/>
        <s v="SAI05/382"/>
        <s v="SAI05/383"/>
        <s v="SAI05/384"/>
        <s v="SAI05/385"/>
        <s v="SAI05/386"/>
        <s v="SAI05/387"/>
        <s v="SAI05/388"/>
        <s v="SAI05/389"/>
        <s v="SAI05/391"/>
        <s v="SAI05/392"/>
        <s v="SAI05/393"/>
        <s v="SAI05/394"/>
        <s v="SAI05/395"/>
        <s v="SAI05/396"/>
        <s v="SAI05/397"/>
        <s v="SAI05/398"/>
        <s v="SAI05/399"/>
        <s v="SAI05/400"/>
        <s v="SAI05/401"/>
        <s v="SAI05/402"/>
        <s v="SAI05/403"/>
        <s v="SAI05/404"/>
        <s v="SAI05/405"/>
        <s v="SAI05/406"/>
        <s v="SAI05/407"/>
        <s v="SAI05/408"/>
        <s v="SAI05/409"/>
        <s v="SAI05/410"/>
        <s v="SAI05/411"/>
        <s v="SAI05/412"/>
        <s v="BOO02/1100" u="1"/>
        <s v="Pending" u="1"/>
        <s v="BOO02/1122" u="1"/>
        <s v="ASD02/090" u="1"/>
        <s v="BOO02/TBC" u="1"/>
        <s v="SAI05/390" u="1"/>
      </sharedItems>
    </cacheField>
    <cacheField name="Store" numFmtId="0">
      <sharedItems/>
    </cacheField>
    <cacheField name="Start Date" numFmtId="14">
      <sharedItems containsSemiMixedTypes="0" containsNonDate="0" containsDate="1" containsString="0" minDate="1899-12-30T00:00:00" maxDate="2021-11-16T00:00:00"/>
    </cacheField>
    <cacheField name="End Date" numFmtId="14">
      <sharedItems containsSemiMixedTypes="0" containsNonDate="0" containsDate="1" containsString="0" minDate="1899-12-30T00:00:00" maxDate="2022-02-06T00:00:00"/>
    </cacheField>
    <cacheField name="Billings" numFmtId="44">
      <sharedItems containsSemiMixedTypes="0" containsString="0" containsNumber="1" minValue="208.45" maxValue="152510.21000000002"/>
    </cacheField>
    <cacheField name="Cost" numFmtId="44">
      <sharedItems containsSemiMixedTypes="0" containsString="0" containsNumber="1" minValue="186.49" maxValue="108292.48000000023"/>
    </cacheField>
    <cacheField name="Margin" numFmtId="10">
      <sharedItems containsSemiMixedTypes="0" containsString="0" containsNumber="1" minValue="7.0906801007555188E-3" maxValue="0.38987534014935782"/>
    </cacheField>
    <cacheField name="Prev. Billings" numFmtId="44">
      <sharedItems containsString="0" containsBlank="1" containsNumber="1" minValue="208.45" maxValue="147652.78500000003"/>
    </cacheField>
    <cacheField name="Prev. Cost" numFmtId="44">
      <sharedItems containsString="0" containsBlank="1" containsNumber="1" minValue="186.49" maxValue="110635.72000000025"/>
    </cacheField>
    <cacheField name="Prev. Margin" numFmtId="10">
      <sharedItems containsString="0" containsBlank="1" containsNumber="1" minValue="-3.123471095661139E-2" maxValue="0.36269918647318428"/>
    </cacheField>
    <cacheField name="Variance" numFmtId="10">
      <sharedItems containsString="0" containsBlank="1" containsNumber="1" minValue="-6.9226878249837059E-2" maxValue="8.9340877576631922E-2"/>
    </cacheField>
    <cacheField name="Revenue" numFmtId="0" formula="Billings-Cost" databaseField="0"/>
  </cacheFields>
  <extLst>
    <ext xmlns:x14="http://schemas.microsoft.com/office/spreadsheetml/2009/9/main" uri="{725AE2AE-9491-48be-B2B4-4EB974FC3084}">
      <x14:pivotCacheDefinition pivotCacheId="69167587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herine Taylor (MIL-HO)" refreshedDate="44431.454305671294" createdVersion="7" refreshedVersion="7" minRefreshableVersion="3" recordCount="10" xr:uid="{F8BF9403-A191-418A-B2C5-AF7222094DF6}">
  <cacheSource type="worksheet">
    <worksheetSource ref="AL2:AP12" sheet="2021_2022"/>
  </cacheSource>
  <cacheFields count="5">
    <cacheField name="Job Ref" numFmtId="0">
      <sharedItems count="15">
        <s v="SAI05/410"/>
        <s v="BOO02/1114"/>
        <s v="ARG01/531"/>
        <s v="BOO02/1115"/>
        <s v="BOO02/1110"/>
        <s v="ARG01/532"/>
        <s v="BOO02/1107"/>
        <s v="BOO02/1102"/>
        <s v="ASD02/087"/>
        <s v="SAI05/342"/>
        <s v="SAI05/363" u="1"/>
        <s v="SAI05/344" u="1"/>
        <s v="ARG01/525" u="1"/>
        <s v="BOO02/1122" u="1"/>
        <s v="SAI05/365" u="1"/>
      </sharedItems>
    </cacheField>
    <cacheField name="Billings Total" numFmtId="44">
      <sharedItems containsSemiMixedTypes="0" containsString="0" containsNumber="1" minValue="208.45" maxValue="6516"/>
    </cacheField>
    <cacheField name="Cost Total" numFmtId="44">
      <sharedItems containsSemiMixedTypes="0" containsString="0" containsNumber="1" minValue="186.49" maxValue="6428.84"/>
    </cacheField>
    <cacheField name="Total Revenue" numFmtId="44">
      <sharedItems containsSemiMixedTypes="0" containsString="0" containsNumber="1" minValue="11.259999999999764" maxValue="154.37999999999988"/>
    </cacheField>
    <cacheField name="Margin %" numFmtId="10">
      <sharedItems containsSemiMixedTypes="0" containsString="0" containsNumber="1" minValue="7.0906801007555188E-3" maxValue="0.14983793206765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herine Taylor (MIL-HO)" refreshedDate="44431.45430636574" createdVersion="7" refreshedVersion="7" minRefreshableVersion="3" recordCount="10" xr:uid="{BBB043B6-AA76-4089-9990-450234CBC7EB}">
  <cacheSource type="worksheet">
    <worksheetSource ref="AL15:AP25" sheet="2021_2022"/>
  </cacheSource>
  <cacheFields count="5">
    <cacheField name="Row Labels" numFmtId="0">
      <sharedItems count="14">
        <s v="SAI05/365"/>
        <s v="SAI05/371"/>
        <s v="ARG01/515"/>
        <s v="ARG01/530"/>
        <s v="SAI05/338"/>
        <s v="SAI05/382"/>
        <s v="SAI05/409"/>
        <s v="ARG01/531"/>
        <s v="ARG01/532"/>
        <s v="SAI05/342"/>
        <s v="ARG01/522" u="1"/>
        <s v="ARG01/525" u="1"/>
        <s v="BOO02/1122" u="1"/>
        <s v="SAI05/381" u="1"/>
      </sharedItems>
    </cacheField>
    <cacheField name="Sum of Billings" numFmtId="44">
      <sharedItems containsSemiMixedTypes="0" containsString="0" containsNumber="1" minValue="1588" maxValue="24509.199999999997"/>
    </cacheField>
    <cacheField name="Sum of Cost" numFmtId="44">
      <sharedItems containsSemiMixedTypes="0" containsString="0" containsNumber="1" minValue="1576.7400000000002" maxValue="23365.599999999999"/>
    </cacheField>
    <cacheField name="Sum of Revenue" numFmtId="44">
      <sharedItems containsSemiMixedTypes="0" containsString="0" containsNumber="1" minValue="11.259999999999764" maxValue="1143.5999999999985"/>
    </cacheField>
    <cacheField name="Sum of Margin" numFmtId="10">
      <sharedItems containsSemiMixedTypes="0" containsString="0" containsNumber="1" minValue="7.0906801007555188E-3" maxValue="5.8106166620020536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herine Taylor (MIL-HO)" refreshedDate="44431.454307060187" createdVersion="7" refreshedVersion="7" minRefreshableVersion="3" recordCount="149" xr:uid="{E82D70F4-9BB8-4B3B-B334-794B4A9E20E1}">
  <cacheSource type="worksheet">
    <worksheetSource name="Table18[[Job Code]:[Margin]]"/>
  </cacheSource>
  <cacheFields count="8">
    <cacheField name="Job Code" numFmtId="0">
      <sharedItems count="149">
        <s v="ARG01/514"/>
        <s v="ARG01/515"/>
        <s v="ARG01/517"/>
        <s v="ARG01/518"/>
        <s v="ARG01/519"/>
        <s v="ARG01/520"/>
        <s v="ARG01/521"/>
        <s v="ARG01/522"/>
        <s v="ARG01/523"/>
        <s v="ARG01/524"/>
        <s v="ARG01/525"/>
        <s v="ARG01/526"/>
        <s v="ARG01/527"/>
        <s v="ARG01/528"/>
        <s v="ARG01/529"/>
        <s v="ARG01/530"/>
        <s v="ARG01/531"/>
        <s v="ARG01/532"/>
        <s v="ARG01/533"/>
        <s v="ARG01/534"/>
        <s v="ARG01/535"/>
        <s v="ARG01/536"/>
        <s v="ARG01/537"/>
        <s v="ARG01/538"/>
        <s v="ARG01/539"/>
        <s v="ARG01/540"/>
        <s v="ARG01/541"/>
        <s v="ARG01/542"/>
        <s v="ARG01/543"/>
        <s v="ARG01/544"/>
        <s v="ARG01/545"/>
        <s v="ASD02/082"/>
        <s v="ASD02/084"/>
        <s v="ASD02/085"/>
        <s v="ASD02/086"/>
        <s v="ASD02/087"/>
        <s v="ASD02/088"/>
        <s v="ASD02/089"/>
        <s v="ASD02/091"/>
        <s v="ASD02/092"/>
        <s v="ASD02/093"/>
        <s v="ASD02/094"/>
        <s v="ASD02/095"/>
        <s v="ASD02/096"/>
        <s v="ASD02/097"/>
        <s v="ASD02/098"/>
        <s v="BOO02/1096"/>
        <s v="BOO02/1102"/>
        <s v="BOO02/1107"/>
        <s v="BOO02/1108"/>
        <s v="BOO02/1109"/>
        <s v="BOO02/1110"/>
        <s v="BOO02/1111"/>
        <s v="BOO02/1112"/>
        <s v="BOO02/1113"/>
        <s v="BOO02/1114"/>
        <s v="BOO02/1115"/>
        <s v="BOO02/1116"/>
        <s v="BOO02/1117"/>
        <s v="BOO02/1118"/>
        <s v="BOO02/1119"/>
        <s v="BOO02/1120"/>
        <s v="BOO02/1121"/>
        <s v="BOO02/1123"/>
        <s v="BOO02/1124"/>
        <s v="BOO02/1125"/>
        <s v="BOO02/1126"/>
        <s v="BOO02/1127"/>
        <s v="BOO02/1128"/>
        <s v="BOO02/1129"/>
        <s v="COO01/175"/>
        <s v="COO01/176"/>
        <s v="COO01/177"/>
        <s v="KEY01/003"/>
        <s v="SAI05/326"/>
        <s v="SAI05/329"/>
        <s v="SAI05/333"/>
        <s v="SAI05/334"/>
        <s v="SAI05/336"/>
        <s v="SAI05/338"/>
        <s v="SAI05/341"/>
        <s v="SAI05/342"/>
        <s v="SAI05/344"/>
        <s v="SAI05/346"/>
        <s v="SAI05/347"/>
        <s v="SAI05/348"/>
        <s v="SAI05/349"/>
        <s v="SAI05/350"/>
        <s v="SAI05/351"/>
        <s v="SAI05/352"/>
        <s v="SAI05/353"/>
        <s v="SAI05/354"/>
        <s v="SAI05/355"/>
        <s v="SAI05/356"/>
        <s v="SAI05/357"/>
        <s v="SAI05/358"/>
        <s v="SAI05/359"/>
        <s v="SAI05/360"/>
        <s v="SAI05/361"/>
        <s v="SAI05/362"/>
        <s v="SAI05/363"/>
        <s v="SAI05/364"/>
        <s v="SAI05/365"/>
        <s v="SAI05/366"/>
        <s v="SAI05/367"/>
        <s v="SAI05/368"/>
        <s v="SAI05/369"/>
        <s v="SAI05/370"/>
        <s v="SAI05/371"/>
        <s v="SAI05/372"/>
        <s v="SAI05/373"/>
        <s v="SAI05/374"/>
        <s v="SAI05/375"/>
        <s v="SAI05/376"/>
        <s v="SAI05/377"/>
        <s v="SAI05/378"/>
        <s v="SAI05/379"/>
        <s v="SAI05/380"/>
        <s v="SAI05/381"/>
        <s v="SAI05/382"/>
        <s v="SAI05/383"/>
        <s v="SAI05/384"/>
        <s v="SAI05/385"/>
        <s v="SAI05/386"/>
        <s v="SAI05/387"/>
        <s v="SAI05/388"/>
        <s v="SAI05/389"/>
        <s v="SAI05/391"/>
        <s v="SAI05/392"/>
        <s v="SAI05/393"/>
        <s v="SAI05/394"/>
        <s v="SAI05/395"/>
        <s v="SAI05/396"/>
        <s v="SAI05/397"/>
        <s v="SAI05/398"/>
        <s v="SAI05/399"/>
        <s v="SAI05/400"/>
        <s v="SAI05/401"/>
        <s v="SAI05/402"/>
        <s v="SAI05/403"/>
        <s v="SAI05/404"/>
        <s v="SAI05/405"/>
        <s v="SAI05/406"/>
        <s v="SAI05/407"/>
        <s v="SAI05/408"/>
        <s v="SAI05/409"/>
        <s v="SAI05/410"/>
        <s v="SAI05/411"/>
        <s v="SAI05/412"/>
      </sharedItems>
    </cacheField>
    <cacheField name="Store" numFmtId="0">
      <sharedItems/>
    </cacheField>
    <cacheField name="Start Date" numFmtId="14">
      <sharedItems containsSemiMixedTypes="0" containsNonDate="0" containsDate="1" containsString="0" minDate="1899-12-30T00:00:00" maxDate="2021-11-16T00:00:00"/>
    </cacheField>
    <cacheField name="End Date" numFmtId="14">
      <sharedItems containsSemiMixedTypes="0" containsNonDate="0" containsDate="1" containsString="0" minDate="1899-12-30T00:00:00" maxDate="2022-02-06T00:00:00"/>
    </cacheField>
    <cacheField name="Billings" numFmtId="44">
      <sharedItems containsSemiMixedTypes="0" containsString="0" containsNumber="1" minValue="208.45" maxValue="152510.21000000002"/>
    </cacheField>
    <cacheField name="Cost" numFmtId="44">
      <sharedItems containsSemiMixedTypes="0" containsString="0" containsNumber="1" minValue="186.49" maxValue="108292.48000000023"/>
    </cacheField>
    <cacheField name="Margin" numFmtId="10">
      <sharedItems containsSemiMixedTypes="0" containsString="0" containsNumber="1" minValue="7.0906801007555188E-3" maxValue="0.38987534014935782"/>
    </cacheField>
    <cacheField name="Focus" numFmtId="0" formula="IF(Margin&lt;12.5%,&quot;1&quot;,&quot;0&quot;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">
  <r>
    <x v="0"/>
    <s v="Woolwich SAS Closure"/>
    <d v="2021-06-30T00:00:00"/>
    <d v="2021-07-07T00:00:00"/>
    <n v="6144.8"/>
    <n v="5348.46"/>
    <n v="0.12959575576096866"/>
    <n v="6144.8"/>
    <n v="5348.46"/>
    <n v="0.12959575576096866"/>
    <n v="0"/>
  </r>
  <r>
    <x v="1"/>
    <s v="Woolwich SIS Opening"/>
    <d v="2021-06-23T00:00:00"/>
    <d v="2021-06-28T00:00:00"/>
    <n v="3466.2000000000003"/>
    <n v="3295.12"/>
    <n v="4.9356644163637518E-2"/>
    <n v="3466.2000000000003"/>
    <n v="3295.12"/>
    <n v="4.9356644163637518E-2"/>
    <n v="0"/>
  </r>
  <r>
    <x v="2"/>
    <s v="Lewisham SAS Closure"/>
    <d v="2021-06-30T00:00:00"/>
    <d v="2021-07-07T00:00:00"/>
    <n v="6144.8"/>
    <n v="5222.2"/>
    <n v="0.15014321051946367"/>
    <n v="6144.8"/>
    <n v="5222.2"/>
    <n v="0.15014321051946367"/>
    <n v="0"/>
  </r>
  <r>
    <x v="3"/>
    <s v="Lewisham SIS"/>
    <d v="2021-06-23T00:00:00"/>
    <d v="2021-06-27T00:00:00"/>
    <n v="3466.2000000000003"/>
    <n v="2828.93"/>
    <n v="0.18385263400842433"/>
    <n v="3466.2000000000003"/>
    <n v="2828.93"/>
    <n v="0.18385263400842433"/>
    <n v="0"/>
  </r>
  <r>
    <x v="4"/>
    <s v="Oswestry SIS"/>
    <d v="2021-07-08T00:00:00"/>
    <d v="2021-07-13T00:00:00"/>
    <n v="4764"/>
    <n v="3794.9199999999996"/>
    <n v="0.20341729638958866"/>
    <n v="4764"/>
    <n v="3794.9199999999996"/>
    <n v="0.20341729638958866"/>
    <n v="0"/>
  </r>
  <r>
    <x v="5"/>
    <s v="Oswestry"/>
    <d v="2021-07-14T00:00:00"/>
    <d v="2021-07-19T00:00:00"/>
    <n v="5955"/>
    <n v="5132.96"/>
    <n v="0.13804198152812761"/>
    <n v="5955"/>
    <n v="5132.96"/>
    <n v="0.13804198152812761"/>
    <n v="0"/>
  </r>
  <r>
    <x v="6"/>
    <s v="Northwich"/>
    <d v="2021-07-21T00:00:00"/>
    <d v="2021-07-27T00:00:00"/>
    <n v="5359.5"/>
    <n v="3855.75"/>
    <n v="0.28057654631961937"/>
    <n v="5359.5"/>
    <n v="3855.75"/>
    <n v="0.28057654631961937"/>
    <n v="0"/>
  </r>
  <r>
    <x v="7"/>
    <s v="Northwich"/>
    <d v="2021-07-28T00:00:00"/>
    <d v="2021-08-02T00:00:00"/>
    <n v="8530.5375000000004"/>
    <n v="6713.6149999999998"/>
    <n v="0.21299038894090794"/>
    <n v="8530.5375000000004"/>
    <n v="6713.6149999999998"/>
    <n v="0.21299038894090794"/>
    <n v="0"/>
  </r>
  <r>
    <x v="8"/>
    <s v="Lytham St Annes"/>
    <d v="2021-07-28T00:00:00"/>
    <d v="2021-08-04T00:00:00"/>
    <n v="4168.5"/>
    <n v="3314.17"/>
    <n v="0.20494902243013072"/>
    <n v="4168.5"/>
    <n v="3314.17"/>
    <n v="0.20494902243013072"/>
    <n v="0"/>
  </r>
  <r>
    <x v="9"/>
    <s v="Llandudno Hub 2063 new store"/>
    <d v="2021-08-03T00:00:00"/>
    <d v="2021-08-16T00:00:00"/>
    <n v="3573"/>
    <n v="2901.91"/>
    <n v="0.18782255807444728"/>
    <n v="3573"/>
    <n v="2901.91"/>
    <n v="0.18782255807444728"/>
    <n v="0"/>
  </r>
  <r>
    <x v="10"/>
    <s v="Llandudno Hub Closure 0387"/>
    <d v="2021-08-17T00:00:00"/>
    <d v="2021-08-25T00:00:00"/>
    <n v="7940"/>
    <n v="6391.4000000000005"/>
    <n v="0.1950377833753148"/>
    <n v="8082.5"/>
    <n v="6391.4000000000005"/>
    <n v="0.2092298175069594"/>
    <n v="-1.4192034131644604E-2"/>
  </r>
  <r>
    <x v="11"/>
    <s v="Blackpool Squires Gate"/>
    <d v="2021-08-05T00:00:00"/>
    <d v="2021-08-12T00:00:00"/>
    <n v="7940"/>
    <n v="6411"/>
    <n v="0.19256926952141057"/>
    <n v="7940"/>
    <n v="6411"/>
    <n v="0.19256926952141057"/>
    <n v="0"/>
  </r>
  <r>
    <x v="12"/>
    <s v="Leven"/>
    <d v="2021-09-02T00:00:00"/>
    <d v="2021-09-07T00:00:00"/>
    <n v="5955"/>
    <n v="4809.08"/>
    <n v="0.19242989084802689"/>
    <n v="5955"/>
    <n v="5055.7199999999993"/>
    <n v="0.1510125944584384"/>
    <n v="4.1417296389588493E-2"/>
  </r>
  <r>
    <x v="13"/>
    <s v="Leven"/>
    <d v="2021-09-08T00:00:00"/>
    <d v="2021-09-11T00:00:00"/>
    <n v="9925"/>
    <n v="7956.92"/>
    <n v="0.19829521410579345"/>
    <n v="9925"/>
    <n v="7956.92"/>
    <n v="0.19829521410579345"/>
    <n v="0"/>
  </r>
  <r>
    <x v="14"/>
    <s v="Trowbrige SIS"/>
    <d v="2021-09-22T00:00:00"/>
    <d v="2021-09-27T00:00:00"/>
    <n v="3466.2000000000003"/>
    <n v="2857.24"/>
    <n v="0.17568518839074504"/>
    <n v="3466.2000000000003"/>
    <n v="2857.24"/>
    <n v="0.17568518839074504"/>
    <n v="0"/>
  </r>
  <r>
    <x v="15"/>
    <s v="Trowbridge Closure"/>
    <d v="2021-09-29T00:00:00"/>
    <d v="2021-10-06T00:00:00"/>
    <n v="5223.2"/>
    <n v="4978.0700000000006"/>
    <n v="4.6931000153162664E-2"/>
    <n v="5223.2"/>
    <n v="4978.0700000000006"/>
    <n v="4.6931000153162664E-2"/>
    <n v="0"/>
  </r>
  <r>
    <x v="16"/>
    <s v="Braintree SIS"/>
    <d v="2021-10-13T00:00:00"/>
    <d v="2021-10-18T00:00:00"/>
    <n v="3917.3999999999996"/>
    <n v="3789.0099999999998"/>
    <n v="3.2774289069280614E-2"/>
    <n v="3917.3999999999996"/>
    <n v="3789.0099999999998"/>
    <n v="3.2774289069280614E-2"/>
    <n v="0"/>
  </r>
  <r>
    <x v="17"/>
    <s v="Braintree SAS Closure"/>
    <d v="2021-10-20T00:00:00"/>
    <d v="2021-10-27T00:00:00"/>
    <n v="6516"/>
    <n v="6428.84"/>
    <n v="1.3376304481276835E-2"/>
    <n v="6516"/>
    <n v="6428.84"/>
    <n v="1.3376304481276835E-2"/>
    <n v="0"/>
  </r>
  <r>
    <x v="18"/>
    <s v="Thurrock Retail Park (504) Closure"/>
    <d v="2021-09-29T00:00:00"/>
    <d v="2021-10-08T00:00:00"/>
    <n v="6800"/>
    <n v="6210.13"/>
    <n v="8.6745588235294102E-2"/>
    <n v="6800"/>
    <n v="6210.13"/>
    <n v="8.6745588235294102E-2"/>
    <n v="0"/>
  </r>
  <r>
    <x v="19"/>
    <s v="Chafford Hundred SIS"/>
    <d v="2021-09-23T00:00:00"/>
    <d v="2021-09-27T00:00:00"/>
    <n v="3400"/>
    <n v="3174.98"/>
    <n v="6.618235294117647E-2"/>
    <n v="3400"/>
    <n v="3174.98"/>
    <n v="6.618235294117647E-2"/>
    <n v="0"/>
  </r>
  <r>
    <x v="20"/>
    <s v="Colne SIS"/>
    <d v="2021-09-20T00:00:00"/>
    <d v="2021-09-28T00:00:00"/>
    <n v="5140.8"/>
    <n v="4224.2"/>
    <n v="0.17829909741674455"/>
    <m/>
    <m/>
    <m/>
    <m/>
  </r>
  <r>
    <x v="21"/>
    <s v="Colne SAS Closure"/>
    <d v="2021-09-29T00:00:00"/>
    <d v="2021-10-06T00:00:00"/>
    <n v="4621.6000000000004"/>
    <n v="3758.2700000000004"/>
    <n v="0.18680327159425303"/>
    <m/>
    <m/>
    <m/>
    <m/>
  </r>
  <r>
    <x v="22"/>
    <s v="Wakefield Marsh Way SIS"/>
    <d v="2021-09-22T00:00:00"/>
    <d v="2021-09-29T00:00:00"/>
    <n v="4621.6000000000004"/>
    <n v="3815.7400000000002"/>
    <n v="0.17436818417863945"/>
    <m/>
    <m/>
    <m/>
    <m/>
  </r>
  <r>
    <x v="23"/>
    <s v="Wakefield Cathedral Closure SAS"/>
    <d v="2021-09-30T00:00:00"/>
    <d v="2021-10-05T00:00:00"/>
    <n v="3917.3999999999996"/>
    <n v="3349.0099999999998"/>
    <n v="0.14509368458671565"/>
    <m/>
    <m/>
    <m/>
    <m/>
  </r>
  <r>
    <x v="24"/>
    <s v="Llandudno SIS"/>
    <d v="2021-09-24T00:00:00"/>
    <d v="2021-10-01T00:00:00"/>
    <n v="6516"/>
    <n v="6089.34"/>
    <n v="6.5478821362799242E-2"/>
    <m/>
    <m/>
    <m/>
    <m/>
  </r>
  <r>
    <x v="25"/>
    <s v="Upton SIS"/>
    <d v="2021-10-13T00:00:00"/>
    <d v="2021-10-19T00:00:00"/>
    <n v="5701.5"/>
    <n v="5143.3799999999992"/>
    <n v="9.7890028939752835E-2"/>
    <m/>
    <m/>
    <m/>
    <m/>
  </r>
  <r>
    <x v="26"/>
    <s v="Upton Closure"/>
    <d v="2021-10-20T00:00:00"/>
    <d v="2021-10-25T00:00:00"/>
    <n v="5856.5999999999995"/>
    <n v="5256.0199999999995"/>
    <n v="0.10254755318785644"/>
    <m/>
    <m/>
    <m/>
    <m/>
  </r>
  <r>
    <x v="27"/>
    <s v="Colwick SIS"/>
    <d v="2021-10-30T00:00:00"/>
    <d v="2021-11-05T00:00:00"/>
    <n v="5701.5"/>
    <n v="5127.3799999999992"/>
    <n v="0.10069630798912581"/>
    <m/>
    <m/>
    <m/>
    <m/>
  </r>
  <r>
    <x v="28"/>
    <s v="Nottingham Netherfield Closure"/>
    <d v="2021-11-10T00:00:00"/>
    <d v="2021-11-18T00:00:00"/>
    <n v="11693.699999999999"/>
    <n v="10412"/>
    <n v="0.10960602717702686"/>
    <m/>
    <m/>
    <m/>
    <m/>
  </r>
  <r>
    <x v="29"/>
    <s v="Edgeware SIS"/>
    <d v="2021-10-20T00:00:00"/>
    <d v="2021-10-26T00:00:00"/>
    <n v="4570.3"/>
    <n v="3949.0399999999995"/>
    <n v="0.13593418375161381"/>
    <m/>
    <m/>
    <m/>
    <m/>
  </r>
  <r>
    <x v="30"/>
    <s v="Edgeware SAS Closure"/>
    <d v="2021-10-27T00:00:00"/>
    <d v="2021-11-03T00:00:00"/>
    <n v="5223.2"/>
    <n v="4666.0700000000006"/>
    <n v="0.1066644968601622"/>
    <m/>
    <m/>
    <m/>
    <m/>
  </r>
  <r>
    <x v="31"/>
    <s v="Dalgety Bay"/>
    <d v="2021-04-13T00:00:00"/>
    <d v="2021-06-03T00:00:00"/>
    <n v="73070.91"/>
    <n v="59850.790000000008"/>
    <n v="0.18092179227000177"/>
    <n v="73070.91"/>
    <n v="59908.39"/>
    <n v="0.18013351688106805"/>
    <n v="7.8827538893372351E-4"/>
  </r>
  <r>
    <x v="32"/>
    <s v="Dunstable"/>
    <d v="2021-05-09T00:00:00"/>
    <d v="2021-08-01T00:00:00"/>
    <n v="90613.6"/>
    <n v="74008.584545454636"/>
    <n v="0.18325080842771249"/>
    <n v="91299.3"/>
    <n v="73250.73454545463"/>
    <n v="0.19768569369694369"/>
    <n v="-1.4434885269231201E-2"/>
  </r>
  <r>
    <x v="33"/>
    <s v="Leith"/>
    <d v="2021-05-23T00:00:00"/>
    <d v="2021-08-09T00:00:00"/>
    <n v="130819.47999999998"/>
    <n v="108292.48000000023"/>
    <n v="0.17219912508442745"/>
    <n v="132487.07999999999"/>
    <n v="110635.72000000025"/>
    <n v="0.16493200695494037"/>
    <n v="7.2671181294870768E-3"/>
  </r>
  <r>
    <x v="34"/>
    <s v="Dudley"/>
    <d v="2021-06-27T00:00:00"/>
    <d v="2021-09-20T00:00:00"/>
    <n v="152510.21000000002"/>
    <n v="93050.24000000002"/>
    <n v="0.38987534014935782"/>
    <n v="147652.78500000003"/>
    <n v="94099.240000000034"/>
    <n v="0.36269918647318428"/>
    <n v="2.7176153676173542E-2"/>
  </r>
  <r>
    <x v="35"/>
    <s v="Winsford"/>
    <d v="2021-06-21T00:00:00"/>
    <d v="2021-06-22T00:00:00"/>
    <n v="208.45"/>
    <n v="186.49"/>
    <n v="0.10534900455744774"/>
    <n v="208.45"/>
    <n v="186.49"/>
    <n v="0.10534900455744774"/>
    <n v="0"/>
  </r>
  <r>
    <x v="36"/>
    <s v="South Shields"/>
    <d v="2021-07-25T00:00:00"/>
    <d v="2021-10-03T00:00:00"/>
    <n v="106234.70000000001"/>
    <n v="86975.430000000095"/>
    <n v="0.18128982338162497"/>
    <n v="106805.67500000002"/>
    <n v="89068.030000000101"/>
    <n v="0.16607399372739243"/>
    <n v="1.5215829654232543E-2"/>
  </r>
  <r>
    <x v="37"/>
    <s v="East Retford"/>
    <d v="2021-07-08T00:00:00"/>
    <d v="2021-07-09T00:00:00"/>
    <n v="1261.2599999999998"/>
    <n v="1092.43"/>
    <n v="0.1338582052867765"/>
    <n v="1261.2599999999998"/>
    <n v="1092.43"/>
    <n v="0.1338582052867765"/>
    <n v="0"/>
  </r>
  <r>
    <x v="38"/>
    <s v="Dumbarton"/>
    <d v="2021-08-22T00:00:00"/>
    <d v="2021-11-08T00:00:00"/>
    <n v="110870.65000000001"/>
    <n v="100222.45000000019"/>
    <n v="9.6041648533672544E-2"/>
    <n v="111416.8"/>
    <n v="101819.0300000002"/>
    <n v="8.6142933561184673E-2"/>
    <n v="9.8987149724878709E-3"/>
  </r>
  <r>
    <x v="39"/>
    <s v="Barnsley"/>
    <d v="2021-07-15T00:00:00"/>
    <d v="2021-07-18T00:00:00"/>
    <n v="8369.68"/>
    <n v="7122.2499999999982"/>
    <n v="0.14904154041731607"/>
    <n v="8369.68"/>
    <n v="7122.2499999999982"/>
    <n v="0.14904154041731607"/>
    <n v="0"/>
  </r>
  <r>
    <x v="40"/>
    <s v="Dalgety Bay"/>
    <d v="2021-07-26T00:00:00"/>
    <d v="2021-07-27T00:00:00"/>
    <n v="2095.06"/>
    <n v="1898.53"/>
    <n v="9.3806382633432925E-2"/>
    <n v="2095.06"/>
    <n v="1898.53"/>
    <n v="9.3806382633432925E-2"/>
    <n v="0"/>
  </r>
  <r>
    <x v="41"/>
    <s v="Lowestoft"/>
    <d v="2021-07-22T00:00:00"/>
    <d v="2021-07-24T00:00:00"/>
    <n v="3441.9996000000001"/>
    <n v="2752.9399999999996"/>
    <n v="0.20019165603621816"/>
    <n v="3441.9996000000001"/>
    <n v="2752.9399999999996"/>
    <n v="0.20019165603621816"/>
    <n v="0"/>
  </r>
  <r>
    <x v="42"/>
    <s v="Halifax"/>
    <d v="2021-09-19T00:00:00"/>
    <d v="2021-09-24T00:00:00"/>
    <n v="4425.3"/>
    <n v="4035.7"/>
    <n v="8.8039228978826378E-2"/>
    <n v="4425.3"/>
    <n v="4035.7"/>
    <n v="8.8039228978826378E-2"/>
    <n v="0"/>
  </r>
  <r>
    <x v="43"/>
    <s v="Birchwood"/>
    <d v="2021-09-20T00:00:00"/>
    <d v="2021-09-24T00:00:00"/>
    <n v="3687.75"/>
    <n v="3373.36"/>
    <n v="8.5252525252525219E-2"/>
    <n v="3687.75"/>
    <n v="3373.36"/>
    <n v="8.5252525252525219E-2"/>
    <n v="0"/>
  </r>
  <r>
    <x v="44"/>
    <s v="Bedminster"/>
    <d v="2021-08-16T00:00:00"/>
    <d v="2021-08-31T00:00:00"/>
    <n v="6750"/>
    <n v="4971.17"/>
    <n v="0.26353037037037036"/>
    <n v="7500"/>
    <n v="5606.77"/>
    <n v="0.25243066666666658"/>
    <n v="1.1099703703703778E-2"/>
  </r>
  <r>
    <x v="45"/>
    <s v="Barnsley"/>
    <d v="2021-08-25T00:00:00"/>
    <d v="2021-08-27T00:00:00"/>
    <n v="2084.5"/>
    <n v="1781.48"/>
    <n v="0.14536819381146557"/>
    <m/>
    <m/>
    <m/>
    <m/>
  </r>
  <r>
    <x v="46"/>
    <s v="Birmingham Fort Parkway"/>
    <d v="2021-06-01T00:00:00"/>
    <d v="2021-06-17T00:00:00"/>
    <n v="952.24"/>
    <n v="777.07999999999993"/>
    <n v="0.18394522389313628"/>
    <n v="952.24"/>
    <n v="777.07999999999993"/>
    <n v="0.18394522389313628"/>
    <n v="0"/>
  </r>
  <r>
    <x v="47"/>
    <s v="Pershore"/>
    <d v="2021-06-22T00:00:00"/>
    <d v="2021-06-23T00:00:00"/>
    <n v="323.08"/>
    <n v="284.57"/>
    <n v="0.119196483843011"/>
    <n v="323.08"/>
    <n v="284.57"/>
    <n v="0.119196483843011"/>
    <n v="0"/>
  </r>
  <r>
    <x v="48"/>
    <s v="Sheffield Waitrose"/>
    <d v="2021-06-30T00:00:00"/>
    <d v="2021-07-01T00:00:00"/>
    <n v="656.8"/>
    <n v="602.96"/>
    <n v="8.1973203410474912E-2"/>
    <n v="656.8"/>
    <n v="602.96"/>
    <n v="8.1973203410474912E-2"/>
    <n v="0"/>
  </r>
  <r>
    <x v="49"/>
    <s v="Trowbridge"/>
    <d v="2021-07-22T00:00:00"/>
    <d v="2021-07-24T00:00:00"/>
    <n v="1301.3899999999999"/>
    <n v="948.61"/>
    <n v="0.27107938435057893"/>
    <n v="1301.3899999999999"/>
    <n v="948.61"/>
    <n v="0.27107938435057893"/>
    <n v="0"/>
  </r>
  <r>
    <x v="50"/>
    <s v="Brentwood"/>
    <d v="2021-08-10T00:00:00"/>
    <d v="2021-08-13T00:00:00"/>
    <n v="4394"/>
    <n v="3680.35"/>
    <n v="0.16241465634956762"/>
    <n v="4302"/>
    <n v="3680.35"/>
    <n v="0.14450255695025571"/>
    <n v="1.7912099399311904E-2"/>
  </r>
  <r>
    <x v="51"/>
    <s v="Bournemouth Royal Hospital"/>
    <d v="2021-07-22T00:00:00"/>
    <d v="2021-07-23T00:00:00"/>
    <n v="734.26"/>
    <n v="624.24"/>
    <n v="0.14983793206765994"/>
    <n v="734.26"/>
    <n v="624.24"/>
    <n v="0.14983793206765994"/>
    <n v="0"/>
  </r>
  <r>
    <x v="52"/>
    <s v="Orpington"/>
    <d v="2021-07-17T00:00:00"/>
    <d v="2021-07-22T00:00:00"/>
    <n v="7614.25"/>
    <n v="6347.0300000000007"/>
    <n v="0.16642742226745896"/>
    <n v="7614.25"/>
    <n v="6347.0300000000007"/>
    <n v="0.16642742226745896"/>
    <n v="0"/>
  </r>
  <r>
    <x v="53"/>
    <s v="Barkingside"/>
    <d v="2021-08-23T00:00:00"/>
    <d v="2021-08-28T00:00:00"/>
    <n v="6373.74"/>
    <n v="5368.8"/>
    <n v="0.15766880983535564"/>
    <n v="6373.74"/>
    <n v="5578.8"/>
    <n v="0.12472112135104345"/>
    <n v="3.294768848431219E-2"/>
  </r>
  <r>
    <x v="54"/>
    <s v="Watford"/>
    <d v="2021-07-26T00:00:00"/>
    <d v="2021-07-31T00:00:00"/>
    <n v="8879.4"/>
    <n v="7553.9"/>
    <n v="0.14927810437642183"/>
    <n v="8879.4"/>
    <n v="7553.9"/>
    <n v="0.14927810437642183"/>
    <n v="0"/>
  </r>
  <r>
    <x v="55"/>
    <s v="Oxted"/>
    <d v="1899-12-30T00:00:00"/>
    <d v="1899-12-30T00:00:00"/>
    <n v="1075.51"/>
    <n v="922.21999999999991"/>
    <n v="0.14252773102993005"/>
    <n v="1075.5"/>
    <n v="922.21999999999991"/>
    <n v="0.14251975825197591"/>
    <n v="7.9727779541405308E-6"/>
  </r>
  <r>
    <x v="56"/>
    <s v="Heacham"/>
    <d v="2021-08-12T00:00:00"/>
    <d v="2021-08-16T00:00:00"/>
    <n v="1317.1299999999999"/>
    <n v="1192.29"/>
    <n v="9.4781836265212943E-2"/>
    <n v="1317.1299999999999"/>
    <n v="1192.29"/>
    <n v="9.4781836265212943E-2"/>
    <n v="0"/>
  </r>
  <r>
    <x v="57"/>
    <s v="Harrow Sudbury"/>
    <d v="2021-08-12T00:00:00"/>
    <d v="2021-08-17T00:00:00"/>
    <n v="3774.96"/>
    <n v="2536.8000000000002"/>
    <n v="0.32799287939474853"/>
    <n v="3774.96"/>
    <n v="2536.8000000000002"/>
    <n v="0.32799287939474853"/>
    <n v="0"/>
  </r>
  <r>
    <x v="58"/>
    <s v="Bexleyheath"/>
    <d v="2021-08-08T00:00:00"/>
    <d v="2021-08-10T00:00:00"/>
    <n v="2151"/>
    <n v="1865.31"/>
    <n v="0.13281729428172945"/>
    <n v="2151"/>
    <n v="1865.31"/>
    <n v="0.13281729428172945"/>
    <n v="0"/>
  </r>
  <r>
    <x v="59"/>
    <s v="Harpenden"/>
    <d v="2021-07-24T00:00:00"/>
    <d v="2021-07-25T00:00:00"/>
    <n v="866.15"/>
    <n v="627.61"/>
    <n v="0.27540264388385383"/>
    <n v="866.15"/>
    <n v="627.61"/>
    <n v="0.27540264388385383"/>
    <n v="0"/>
  </r>
  <r>
    <x v="60"/>
    <s v="Norwich Longwater Retail Park"/>
    <d v="2021-07-21T00:00:00"/>
    <d v="2021-07-23T00:00:00"/>
    <n v="2251"/>
    <n v="1803.82"/>
    <n v="0.19865837405597514"/>
    <n v="2251"/>
    <n v="1803.82"/>
    <n v="0.19865837405597514"/>
    <n v="0"/>
  </r>
  <r>
    <x v="61"/>
    <s v="Worthing Lyons Farm (6473)"/>
    <d v="2021-08-28T00:00:00"/>
    <d v="2021-08-30T00:00:00"/>
    <n v="2151"/>
    <n v="1807.32"/>
    <n v="0.15977684797768482"/>
    <n v="2151"/>
    <n v="1862.32"/>
    <n v="0.13420734542073456"/>
    <n v="2.5569502556950258E-2"/>
  </r>
  <r>
    <x v="62"/>
    <s v="Bexhill on Sea (6467)"/>
    <d v="2021-08-31T00:00:00"/>
    <d v="2021-09-03T00:00:00"/>
    <n v="3140.25"/>
    <n v="2820.22"/>
    <n v="0.10191226813151825"/>
    <n v="3140.25"/>
    <n v="2820.22"/>
    <n v="0.10191226813151825"/>
    <n v="0"/>
  </r>
  <r>
    <x v="63"/>
    <s v="Oldham (6490)"/>
    <d v="2021-07-31T00:00:00"/>
    <d v="2021-08-02T00:00:00"/>
    <n v="3432.58"/>
    <n v="2611.3199999999997"/>
    <n v="0.23925443835249294"/>
    <n v="3432.58"/>
    <n v="2611.3199999999997"/>
    <n v="0.23925443835249294"/>
    <n v="0"/>
  </r>
  <r>
    <x v="64"/>
    <s v="West Bridgeford (95)"/>
    <d v="2021-08-23T00:00:00"/>
    <d v="2021-08-27T00:00:00"/>
    <n v="4566.96"/>
    <n v="3296.54"/>
    <n v="0.27817629232574842"/>
    <n v="4566.96"/>
    <n v="3665.6899999999996"/>
    <n v="0.19734571793928574"/>
    <n v="8.0830574386462684E-2"/>
  </r>
  <r>
    <x v="65"/>
    <s v="Welling (1021)"/>
    <d v="2021-08-19T00:00:00"/>
    <d v="2021-08-24T00:00:00"/>
    <n v="4288.26"/>
    <n v="3315.26"/>
    <n v="0.22689855559131208"/>
    <n v="4288.26"/>
    <n v="3420.26"/>
    <n v="0.20241309995196186"/>
    <n v="2.4485455639350229E-2"/>
  </r>
  <r>
    <x v="66"/>
    <s v="Yeovil (6584)"/>
    <d v="2021-08-21T00:00:00"/>
    <d v="2021-08-27T00:00:00"/>
    <n v="12651.2"/>
    <n v="11103.588"/>
    <n v="0.12232926520804357"/>
    <n v="10213.200000000001"/>
    <n v="8931.5499999999993"/>
    <n v="0.12548956252692609"/>
    <n v="-3.1602973188825101E-3"/>
  </r>
  <r>
    <x v="67"/>
    <s v="Bristol Beam Street (5519)"/>
    <d v="2021-09-06T00:00:00"/>
    <d v="2021-09-09T00:00:00"/>
    <n v="2858.84"/>
    <n v="2323.91"/>
    <n v="0.18711435407368032"/>
    <n v="2858.84"/>
    <n v="2323.91"/>
    <n v="0.18711435407368032"/>
    <n v="0"/>
  </r>
  <r>
    <x v="68"/>
    <s v="Cambridge Newmarket Road (6492)"/>
    <d v="2021-09-06T00:00:00"/>
    <d v="2021-09-11T00:00:00"/>
    <n v="6344.2"/>
    <n v="5245.24"/>
    <n v="0.1732227861668926"/>
    <n v="6344.2"/>
    <n v="5245.24"/>
    <n v="0.1732227861668926"/>
    <n v="0"/>
  </r>
  <r>
    <x v="69"/>
    <s v="Rochester Strood"/>
    <d v="2021-10-16T00:00:00"/>
    <d v="2021-10-18T00:00:00"/>
    <n v="1732.3"/>
    <n v="1362.62"/>
    <n v="0.21340414477861808"/>
    <n v="1732.3"/>
    <n v="1362.62"/>
    <n v="0.21340414477861808"/>
    <n v="0"/>
  </r>
  <r>
    <x v="70"/>
    <s v="Ellenbrook"/>
    <d v="2021-06-01T00:00:00"/>
    <d v="2021-06-03T00:00:00"/>
    <n v="3397.66"/>
    <n v="2770.6500000000005"/>
    <n v="0.18454171400316668"/>
    <n v="3397.66"/>
    <n v="2770.6500000000005"/>
    <n v="0.18454171400316668"/>
    <n v="0"/>
  </r>
  <r>
    <x v="71"/>
    <s v="Grange Over Sands"/>
    <d v="2021-06-30T00:00:00"/>
    <d v="2021-06-30T00:00:00"/>
    <n v="745.28"/>
    <n v="531.6099999999999"/>
    <n v="0.28669761700300567"/>
    <n v="745.28"/>
    <n v="531.6099999999999"/>
    <n v="0.28669761700300567"/>
    <n v="0"/>
  </r>
  <r>
    <x v="72"/>
    <s v="Meal Solutions Revisit"/>
    <d v="2021-07-28T00:00:00"/>
    <d v="2021-07-31T00:00:00"/>
    <n v="6237"/>
    <n v="4504.03"/>
    <n v="0.2778531345198012"/>
    <n v="6237"/>
    <n v="4504.03"/>
    <n v="0.2778531345198012"/>
    <n v="0"/>
  </r>
  <r>
    <x v="73"/>
    <s v="Dunstable ASDA"/>
    <d v="2021-07-11T00:00:00"/>
    <d v="2021-07-26T00:00:00"/>
    <n v="5023.9199999999992"/>
    <n v="4059.4300000000003"/>
    <n v="0.19197956973837144"/>
    <n v="5023.9199999999992"/>
    <n v="4059.4300000000003"/>
    <n v="0.19197956973837144"/>
    <n v="0"/>
  </r>
  <r>
    <x v="74"/>
    <s v="Maypole"/>
    <d v="2021-04-11T00:00:00"/>
    <d v="2021-06-25T00:00:00"/>
    <n v="116130.46999999999"/>
    <n v="100740.95500000007"/>
    <n v="0.13251918295000367"/>
    <n v="116130.46999999999"/>
    <n v="100740.95500000007"/>
    <n v="0.13251918295000367"/>
    <n v="0"/>
  </r>
  <r>
    <x v="75"/>
    <s v="Hitchin"/>
    <d v="2021-05-02T00:00:00"/>
    <d v="2021-06-20T00:00:00"/>
    <n v="80938.86"/>
    <n v="70743.94"/>
    <n v="0.12595828505615222"/>
    <n v="80938.86"/>
    <n v="70743.94"/>
    <n v="0.12595828505615222"/>
    <n v="0"/>
  </r>
  <r>
    <x v="76"/>
    <s v="Oswestry"/>
    <d v="2021-05-23T00:00:00"/>
    <d v="2021-06-03T00:00:00"/>
    <n v="26434.699999999997"/>
    <n v="24233.47"/>
    <n v="8.3270474036020697E-2"/>
    <n v="26434.699999999997"/>
    <n v="24233.47"/>
    <n v="8.3270474036020697E-2"/>
    <n v="0"/>
  </r>
  <r>
    <x v="77"/>
    <s v="Bromley by Bow"/>
    <d v="2021-06-19T00:00:00"/>
    <d v="2021-06-21T00:00:00"/>
    <n v="10546"/>
    <n v="9208.5399999999991"/>
    <n v="0.1268215437132563"/>
    <n v="10546"/>
    <n v="9208.5399999999991"/>
    <n v="0.1268215437132563"/>
    <n v="0"/>
  </r>
  <r>
    <x v="78"/>
    <s v="Pentwortham Local"/>
    <d v="2021-05-30T00:00:00"/>
    <d v="2021-06-03T00:00:00"/>
    <n v="11391.599999999999"/>
    <n v="10663.89"/>
    <n v="6.38812809438533E-2"/>
    <n v="11391.599999999999"/>
    <n v="10663.89"/>
    <n v="6.38812809438533E-2"/>
    <n v="0"/>
  </r>
  <r>
    <x v="79"/>
    <s v="Lytham St Anne's"/>
    <d v="2021-06-06T00:00:00"/>
    <d v="2021-06-28T00:00:00"/>
    <n v="24509.199999999997"/>
    <n v="23365.599999999999"/>
    <n v="4.6660029703131829E-2"/>
    <n v="24509.199999999997"/>
    <n v="23365.599999999999"/>
    <n v="4.6660029703131829E-2"/>
    <n v="0"/>
  </r>
  <r>
    <x v="80"/>
    <s v="Beckton"/>
    <d v="2021-06-13T00:00:00"/>
    <d v="2021-07-05T00:00:00"/>
    <n v="119040.45"/>
    <n v="96180.000000000044"/>
    <n v="0.19203934460933197"/>
    <n v="119040.45"/>
    <n v="96180.000000000044"/>
    <n v="0.19203934460933197"/>
    <n v="0"/>
  </r>
  <r>
    <x v="81"/>
    <s v="Welshpool"/>
    <d v="2021-10-07T00:00:00"/>
    <d v="2021-11-07T00:00:00"/>
    <n v="1588"/>
    <n v="1576.7400000000002"/>
    <n v="7.0906801007555188E-3"/>
    <n v="1588"/>
    <n v="1576.7400000000002"/>
    <n v="7.0906801007555188E-3"/>
    <n v="0"/>
  </r>
  <r>
    <x v="82"/>
    <s v="Melton Mowbray"/>
    <d v="2021-06-02T00:00:00"/>
    <d v="2021-06-03T00:00:00"/>
    <n v="1191"/>
    <n v="1032.58"/>
    <n v="0.13301427371956345"/>
    <n v="1191"/>
    <n v="1032.58"/>
    <n v="0.13301427371956345"/>
    <n v="0"/>
  </r>
  <r>
    <x v="83"/>
    <s v="Bybrook"/>
    <d v="2021-06-09T00:00:00"/>
    <d v="2021-06-10T00:00:00"/>
    <n v="1985"/>
    <n v="1459.9899999999998"/>
    <n v="0.26448866498740564"/>
    <n v="1985"/>
    <n v="1459.9899999999998"/>
    <n v="0.26448866498740564"/>
    <n v="0"/>
  </r>
  <r>
    <x v="84"/>
    <s v="Northwich"/>
    <d v="2021-07-02T00:00:00"/>
    <d v="2021-07-16T00:00:00"/>
    <n v="13462.8"/>
    <n v="11601.34"/>
    <n v="0.13826692812787825"/>
    <n v="13462.8"/>
    <n v="11601.34"/>
    <n v="0.13826692812787825"/>
    <n v="0"/>
  </r>
  <r>
    <x v="85"/>
    <s v="Fosse Park"/>
    <d v="2021-06-13T00:00:00"/>
    <d v="2021-06-21T00:00:00"/>
    <n v="3573.0000000000005"/>
    <n v="2961.8499999999995"/>
    <n v="0.17104673943464901"/>
    <n v="3573.0000000000005"/>
    <n v="2961.8499999999995"/>
    <n v="0.17104673943464901"/>
    <n v="0"/>
  </r>
  <r>
    <x v="86"/>
    <s v="Ellesmere Port"/>
    <d v="2021-07-25T00:00:00"/>
    <d v="2021-10-05T00:00:00"/>
    <n v="60955.439999999995"/>
    <n v="50100.079999999973"/>
    <n v="0.17808681226810968"/>
    <n v="60851.880000000005"/>
    <n v="49202.26999999999"/>
    <n v="0.19144207212661324"/>
    <n v="-1.3355259858503554E-2"/>
  </r>
  <r>
    <x v="87"/>
    <s v="Halifax"/>
    <d v="2021-07-25T00:00:00"/>
    <d v="2021-07-30T00:00:00"/>
    <n v="14929.899999999998"/>
    <n v="13160.1"/>
    <n v="0.11854064662187944"/>
    <n v="14929.899999999998"/>
    <n v="13160.1"/>
    <n v="0.11854064662187944"/>
    <n v="0"/>
  </r>
  <r>
    <x v="88"/>
    <s v="Marble Arch"/>
    <d v="2021-08-21T00:00:00"/>
    <d v="2021-08-26T00:00:00"/>
    <n v="8337"/>
    <n v="6520.69"/>
    <n v="0.21786134100995566"/>
    <n v="8337"/>
    <n v="6520.69"/>
    <n v="0.21786134100995566"/>
    <n v="0"/>
  </r>
  <r>
    <x v="89"/>
    <s v="Leven"/>
    <d v="2021-07-18T00:00:00"/>
    <d v="2021-07-22T00:00:00"/>
    <n v="20445.5"/>
    <n v="17497.739999999998"/>
    <n v="0.14417646914969073"/>
    <n v="20445.5"/>
    <n v="17497.739999999998"/>
    <n v="0.14417646914969073"/>
    <n v="0"/>
  </r>
  <r>
    <x v="90"/>
    <s v="Pepper Hill "/>
    <d v="2021-06-12T00:00:00"/>
    <d v="2021-06-14T00:00:00"/>
    <n v="2560.65"/>
    <n v="2248.2399999999998"/>
    <n v="0.12200417862652073"/>
    <n v="2560.65"/>
    <n v="2248.2399999999998"/>
    <n v="0.12200417862652073"/>
    <n v="0"/>
  </r>
  <r>
    <x v="91"/>
    <s v="Altrincham"/>
    <d v="2021-08-01T00:00:00"/>
    <d v="2021-08-13T00:00:00"/>
    <n v="11598.720000000001"/>
    <n v="10239.470000000001"/>
    <n v="0.11718965541025216"/>
    <n v="11598.720000000001"/>
    <n v="10239.470000000001"/>
    <n v="0.11718965541025216"/>
    <n v="0"/>
  </r>
  <r>
    <x v="92"/>
    <s v="The Moor"/>
    <d v="2021-08-15T00:00:00"/>
    <d v="2021-08-27T00:00:00"/>
    <n v="27633.26"/>
    <n v="25536.339999999997"/>
    <n v="7.5883916700382151E-2"/>
    <n v="29514.6"/>
    <n v="26117.96"/>
    <n v="0.11508338246156138"/>
    <n v="-3.9199465761179234E-2"/>
  </r>
  <r>
    <x v="93"/>
    <s v="Kenton"/>
    <d v="2021-08-08T00:00:00"/>
    <d v="2021-08-20T00:00:00"/>
    <n v="29943.724999999999"/>
    <n v="23440.514999999999"/>
    <n v="0.2171810621424021"/>
    <n v="30370.5"/>
    <n v="23724.410000000003"/>
    <n v="0.21883373668527012"/>
    <n v="-1.6526745428680212E-3"/>
  </r>
  <r>
    <x v="94"/>
    <s v="Trowbridge"/>
    <d v="2021-08-10T00:00:00"/>
    <d v="2021-08-18T00:00:00"/>
    <n v="29571.199999999997"/>
    <n v="22786.04"/>
    <n v="0.22945162861162202"/>
    <n v="30560.300000000003"/>
    <n v="23256.959999999999"/>
    <n v="0.23898129272291185"/>
    <n v="-9.5296641112898317E-3"/>
  </r>
  <r>
    <x v="95"/>
    <s v="Worksop"/>
    <d v="2021-08-29T00:00:00"/>
    <d v="2021-09-07T00:00:00"/>
    <n v="23353.399999999998"/>
    <n v="19344.8"/>
    <n v="0.17164952426627381"/>
    <n v="23353.399999999998"/>
    <n v="19344.8"/>
    <n v="0.17164952426627381"/>
    <n v="0"/>
  </r>
  <r>
    <x v="96"/>
    <s v="Wilmslow"/>
    <d v="2021-08-15T00:00:00"/>
    <d v="2021-08-19T00:00:00"/>
    <n v="9838.2000000000007"/>
    <n v="8736.98"/>
    <n v="0.11193307718891678"/>
    <n v="7939.6"/>
    <n v="6940.2000000000007"/>
    <n v="0.12587535896014906"/>
    <n v="-1.3942281771232287E-2"/>
  </r>
  <r>
    <x v="97"/>
    <s v="Whitchurch Bargates"/>
    <d v="2021-08-22T00:00:00"/>
    <d v="2021-08-27T00:00:00"/>
    <n v="8138.5"/>
    <n v="7018.5299999999988"/>
    <n v="0.13761381089881441"/>
    <n v="8138.5"/>
    <n v="7018.5299999999988"/>
    <n v="0.13761381089881441"/>
    <n v="0"/>
  </r>
  <r>
    <x v="98"/>
    <s v="London Colney"/>
    <d v="2021-08-08T00:00:00"/>
    <d v="2021-08-12T00:00:00"/>
    <n v="17735.974999999999"/>
    <n v="13596.54"/>
    <n v="0.23339201820029618"/>
    <n v="19133.620000000003"/>
    <n v="13682.75"/>
    <n v="0.28488440765521639"/>
    <n v="-5.1492389454920212E-2"/>
  </r>
  <r>
    <x v="99"/>
    <s v="Wakefield Marsh Way"/>
    <d v="2021-08-08T00:00:00"/>
    <d v="2021-08-24T00:00:00"/>
    <n v="47828.880000000005"/>
    <n v="41234.548000000003"/>
    <n v="0.13787343546409619"/>
    <n v="56191.32"/>
    <n v="44554.079999999987"/>
    <n v="0.20710031371393325"/>
    <n v="-6.9226878249837059E-2"/>
  </r>
  <r>
    <x v="100"/>
    <s v="Harpenden"/>
    <d v="2021-08-15T00:00:00"/>
    <d v="2021-08-17T00:00:00"/>
    <n v="2157.6"/>
    <n v="1390.75"/>
    <n v="0.35541805710048197"/>
    <n v="2157.6"/>
    <n v="1499.2099999999998"/>
    <n v="0.30514923989618098"/>
    <n v="5.0268817204300986E-2"/>
  </r>
  <r>
    <x v="101"/>
    <s v="Colne"/>
    <d v="2021-08-08T00:00:00"/>
    <d v="2021-08-27T00:00:00"/>
    <n v="32932.080000000002"/>
    <n v="28301.17"/>
    <n v="0.14062002764477685"/>
    <n v="33501.659999999996"/>
    <n v="27948.079999999994"/>
    <n v="0.16577029317353237"/>
    <n v="-2.5150265528755517E-2"/>
  </r>
  <r>
    <x v="102"/>
    <s v="Ringwood"/>
    <d v="2021-08-11T00:00:00"/>
    <d v="2021-08-14T00:00:00"/>
    <n v="5359.5"/>
    <n v="5048.08"/>
    <n v="5.8106166620020536E-2"/>
    <n v="4660.2"/>
    <n v="4805.76"/>
    <n v="-3.123471095661139E-2"/>
    <n v="8.9340877576631922E-2"/>
  </r>
  <r>
    <x v="103"/>
    <s v="Thorley"/>
    <d v="2021-08-22T00:00:00"/>
    <d v="2021-08-24T00:00:00"/>
    <n v="4962.5"/>
    <n v="4481.079999999999"/>
    <n v="9.7011586901763425E-2"/>
    <n v="4315"/>
    <n v="4032.7899999999995"/>
    <n v="6.5402085747392924E-2"/>
    <n v="3.1609501154370501E-2"/>
  </r>
  <r>
    <x v="104"/>
    <s v="Colwick"/>
    <d v="2021-10-24T00:00:00"/>
    <d v="2021-11-19T00:00:00"/>
    <n v="106250"/>
    <n v="89471.649999999936"/>
    <n v="0.15791388235294179"/>
    <n v="106250"/>
    <n v="89471.649999999936"/>
    <n v="0.15791388235294179"/>
    <n v="0"/>
  </r>
  <r>
    <x v="105"/>
    <s v="East Prescot Road"/>
    <d v="2021-10-03T00:00:00"/>
    <d v="2021-10-10T00:00:00"/>
    <n v="2040"/>
    <n v="1656.72"/>
    <n v="0.18788235294117644"/>
    <n v="2040"/>
    <n v="1656.72"/>
    <n v="0.18788235294117644"/>
    <n v="0"/>
  </r>
  <r>
    <x v="106"/>
    <s v="Aylesbury Gatehouse"/>
    <d v="2021-10-24T00:00:00"/>
    <d v="2021-12-08T00:00:00"/>
    <n v="90780"/>
    <n v="80505.709999999948"/>
    <n v="0.11317790262172342"/>
    <n v="90780"/>
    <n v="80505.709999999948"/>
    <n v="0.11317790262172342"/>
    <n v="0"/>
  </r>
  <r>
    <x v="107"/>
    <s v="Upton"/>
    <d v="2021-08-29T00:00:00"/>
    <d v="2021-09-24T00:00:00"/>
    <n v="70720"/>
    <n v="60304.56"/>
    <n v="0.14727714932126701"/>
    <n v="70720"/>
    <n v="60304.56"/>
    <n v="0.14727714932126701"/>
    <n v="0"/>
  </r>
  <r>
    <x v="108"/>
    <s v="Scarborough"/>
    <d v="2021-11-14T00:00:00"/>
    <d v="2021-11-21T00:00:00"/>
    <n v="4080"/>
    <n v="3867.9199999999996"/>
    <n v="5.1980392156862835E-2"/>
    <n v="4080"/>
    <n v="3867.9199999999996"/>
    <n v="5.1980392156862835E-2"/>
    <n v="0"/>
  </r>
  <r>
    <x v="109"/>
    <s v="Sutton Old Gas Works"/>
    <d v="2021-09-12T00:00:00"/>
    <d v="2021-09-20T00:00:00"/>
    <n v="18530"/>
    <n v="16319.530000000002"/>
    <n v="0.11929141932002145"/>
    <n v="18530"/>
    <n v="16319.530000000002"/>
    <n v="0.11929141932002145"/>
    <n v="0"/>
  </r>
  <r>
    <x v="110"/>
    <s v="Braintree"/>
    <d v="2021-08-29T00:00:00"/>
    <d v="2021-09-09T00:00:00"/>
    <n v="23460"/>
    <n v="20829.510000000002"/>
    <n v="0.11212659846547306"/>
    <n v="23460"/>
    <n v="20829.510000000002"/>
    <n v="0.11212659846547306"/>
    <n v="0"/>
  </r>
  <r>
    <x v="111"/>
    <s v="Penrith"/>
    <d v="2021-08-29T00:00:00"/>
    <d v="2021-09-04T00:00:00"/>
    <n v="11909.4"/>
    <n v="10364.52"/>
    <n v="0.12971938132903416"/>
    <n v="11909.4"/>
    <n v="10364.52"/>
    <n v="0.12971938132903416"/>
    <n v="0"/>
  </r>
  <r>
    <x v="112"/>
    <s v="Denton (886)"/>
    <d v="2021-08-24T00:00:00"/>
    <d v="2021-08-27T00:00:00"/>
    <n v="7767"/>
    <n v="6545.81"/>
    <n v="0.15722801596497998"/>
    <n v="7767"/>
    <n v="6864.9600000000009"/>
    <n v="0.11613750482811884"/>
    <n v="4.1090511136861144E-2"/>
  </r>
  <r>
    <x v="113"/>
    <s v="Edgware (515)"/>
    <d v="2021-09-05T00:00:00"/>
    <d v="2021-09-15T00:00:00"/>
    <n v="21760"/>
    <n v="18582.619999999995"/>
    <n v="0.14601930147058845"/>
    <n v="21760"/>
    <n v="18582.619999999995"/>
    <n v="0.14601930147058845"/>
    <n v="0"/>
  </r>
  <r>
    <x v="114"/>
    <s v="Wakefield Marsh Way (2258)"/>
    <d v="2021-08-17T00:00:00"/>
    <d v="2021-08-19T00:00:00"/>
    <n v="4930"/>
    <n v="4413.49"/>
    <n v="0.10476876267748483"/>
    <n v="4930"/>
    <n v="4413.49"/>
    <n v="0.10476876267748483"/>
    <n v="0"/>
  </r>
  <r>
    <x v="115"/>
    <s v="Penrith (2153)"/>
    <d v="2021-07-28T00:00:00"/>
    <d v="2021-07-30T00:00:00"/>
    <n v="1985"/>
    <n v="1678.5800000000002"/>
    <n v="0.15436775818639792"/>
    <n v="1985"/>
    <n v="1678.5800000000002"/>
    <n v="0.15436775818639792"/>
    <n v="0"/>
  </r>
  <r>
    <x v="116"/>
    <s v="Chafford Hundred (2071)"/>
    <d v="2021-07-25T00:00:00"/>
    <d v="2021-07-29T00:00:00"/>
    <n v="14887.5"/>
    <n v="10890.68"/>
    <n v="0.26846817800167921"/>
    <n v="14887.5"/>
    <n v="10890.68"/>
    <n v="0.26846817800167921"/>
    <n v="0"/>
  </r>
  <r>
    <x v="117"/>
    <s v="North Cheam (38)"/>
    <d v="2021-07-30T00:00:00"/>
    <d v="2021-08-03T00:00:00"/>
    <n v="8337"/>
    <n v="5791.03"/>
    <n v="0.30538203190596142"/>
    <n v="8337"/>
    <n v="5791.03"/>
    <n v="0.30538203190596142"/>
    <n v="0"/>
  </r>
  <r>
    <x v="118"/>
    <s v="Bishops Stortford (2151)"/>
    <d v="2021-09-03T00:00:00"/>
    <d v="2021-09-05T00:00:00"/>
    <n v="6460"/>
    <n v="6073.0199999999995"/>
    <n v="5.9904024767801933E-2"/>
    <n v="6460"/>
    <n v="6073.0199999999995"/>
    <n v="5.9904024767801933E-2"/>
    <n v="0"/>
  </r>
  <r>
    <x v="119"/>
    <s v="East Grinstead (15)"/>
    <d v="2021-09-02T00:00:00"/>
    <d v="2021-09-05T00:00:00"/>
    <n v="5270"/>
    <n v="5027.3200000000006"/>
    <n v="4.6049335863377491E-2"/>
    <n v="5270"/>
    <n v="5027.3200000000006"/>
    <n v="4.6049335863377491E-2"/>
    <n v="0"/>
  </r>
  <r>
    <x v="120"/>
    <s v="Marsh Mills (0691)"/>
    <d v="2021-07-25T00:00:00"/>
    <d v="2021-07-30T00:00:00"/>
    <n v="5671.9"/>
    <n v="4462.6099999999997"/>
    <n v="0.21320721451365504"/>
    <n v="5671.9"/>
    <n v="4462.6099999999997"/>
    <n v="0.21320721451365504"/>
    <n v="0"/>
  </r>
  <r>
    <x v="121"/>
    <s v="Hampstead High Street (6270)"/>
    <d v="2021-10-24T00:00:00"/>
    <d v="2021-10-30T00:00:00"/>
    <n v="7140"/>
    <n v="6480.73"/>
    <n v="9.233473389355748E-2"/>
    <n v="7140"/>
    <n v="6480.73"/>
    <n v="9.233473389355748E-2"/>
    <n v="0"/>
  </r>
  <r>
    <x v="122"/>
    <s v="Woolton (834)"/>
    <d v="2021-09-05T00:00:00"/>
    <d v="2021-09-24T00:00:00"/>
    <n v="36040"/>
    <n v="30129.600000000006"/>
    <n v="0.16399556048834613"/>
    <n v="36210"/>
    <n v="30224.000000000004"/>
    <n v="0.16531344932339123"/>
    <n v="-1.3178888350451057E-3"/>
  </r>
  <r>
    <x v="123"/>
    <s v="Merton (566)"/>
    <d v="2021-07-26T00:00:00"/>
    <d v="2021-07-28T00:00:00"/>
    <n v="2977.5"/>
    <n v="2548.1"/>
    <n v="0.14421494542401347"/>
    <n v="2977.5"/>
    <n v="2548.1"/>
    <n v="0.14421494542401347"/>
    <n v="0"/>
  </r>
  <r>
    <x v="124"/>
    <s v="Wednesfield (2040)"/>
    <d v="2021-08-29T00:00:00"/>
    <d v="2021-09-17T00:00:00"/>
    <n v="36246"/>
    <n v="32138.999999999996"/>
    <n v="0.11330905479225303"/>
    <n v="36246"/>
    <n v="32138.999999999996"/>
    <n v="0.11330905479225303"/>
    <n v="0"/>
  </r>
  <r>
    <x v="125"/>
    <s v="Morden (2126)"/>
    <d v="2021-09-19T00:00:00"/>
    <d v="2021-10-02T00:00:00"/>
    <n v="8330"/>
    <n v="7388.9699999999993"/>
    <n v="0.11296878751500608"/>
    <n v="8330"/>
    <n v="7388.9699999999993"/>
    <n v="0.11296878751500608"/>
    <n v="0"/>
  </r>
  <r>
    <x v="126"/>
    <s v="Wandsworth (69)"/>
    <d v="2021-08-01T00:00:00"/>
    <d v="2021-08-01T00:00:00"/>
    <n v="1181.075"/>
    <n v="863.36999999999989"/>
    <n v="0.26899646508477459"/>
    <n v="1181.075"/>
    <n v="863.36999999999989"/>
    <n v="0.26899646508477459"/>
    <n v="0"/>
  </r>
  <r>
    <x v="127"/>
    <s v="Bicester (2243)"/>
    <d v="2021-09-21T00:00:00"/>
    <d v="2021-09-24T00:00:00"/>
    <n v="5610"/>
    <n v="5163.59"/>
    <n v="7.9573975044563247E-2"/>
    <n v="7140"/>
    <n v="6358.4900000000007"/>
    <n v="0.10945518207282903"/>
    <n v="-2.9881207028265785E-2"/>
  </r>
  <r>
    <x v="128"/>
    <s v="Emersons Green (677)"/>
    <d v="2021-09-26T00:00:00"/>
    <d v="2021-01-30T00:00:00"/>
    <n v="70550"/>
    <n v="63626.3"/>
    <n v="9.8138908575478342E-2"/>
    <n v="70550"/>
    <n v="63626.3"/>
    <n v="9.8138908575478342E-2"/>
    <n v="0"/>
  </r>
  <r>
    <x v="129"/>
    <s v="Paignton (801)"/>
    <d v="2021-09-08T00:00:00"/>
    <d v="2021-09-10T00:00:00"/>
    <n v="2040"/>
    <n v="1822.4199999999998"/>
    <n v="0.10665686274509811"/>
    <n v="2040"/>
    <n v="1822.4199999999998"/>
    <n v="0.10665686274509811"/>
    <n v="0"/>
  </r>
  <r>
    <x v="130"/>
    <s v="Dalston (539)"/>
    <d v="2021-09-26T00:00:00"/>
    <d v="2021-11-26T00:00:00"/>
    <n v="73100"/>
    <n v="64266.84000000004"/>
    <n v="0.1208366621067026"/>
    <n v="69870"/>
    <n v="62285.460000000057"/>
    <n v="0.10855216831257969"/>
    <n v="1.2284493794122914E-2"/>
  </r>
  <r>
    <x v="131"/>
    <s v="Bramingham Park (505)"/>
    <d v="2021-09-26T00:00:00"/>
    <d v="2021-10-02T00:00:00"/>
    <n v="10370"/>
    <n v="9138.5799999999981"/>
    <n v="0.11874831243973018"/>
    <n v="10370"/>
    <n v="9138.5799999999981"/>
    <n v="0.11874831243973018"/>
    <n v="0"/>
  </r>
  <r>
    <x v="132"/>
    <s v="Chesterfield (849)"/>
    <d v="2021-09-26T00:00:00"/>
    <d v="2021-10-02T00:00:00"/>
    <n v="9350"/>
    <n v="8233.01"/>
    <n v="0.11946417112299462"/>
    <n v="9350"/>
    <n v="8233.01"/>
    <n v="0.11946417112299462"/>
    <n v="0"/>
  </r>
  <r>
    <x v="133"/>
    <s v="Dronfield (2112)"/>
    <d v="2021-10-17T00:00:00"/>
    <d v="2022-02-05T00:00:00"/>
    <n v="36890"/>
    <n v="32998.070000000007"/>
    <n v="0.10550094876660322"/>
    <n v="36890"/>
    <n v="32998.070000000007"/>
    <n v="0.10550094876660322"/>
    <n v="0"/>
  </r>
  <r>
    <x v="134"/>
    <s v="Sedgefield (2303)"/>
    <d v="2021-09-16T00:00:00"/>
    <d v="2021-09-20T00:00:00"/>
    <n v="7650"/>
    <n v="6725.9800000000005"/>
    <n v="0.1207869281045751"/>
    <n v="7650"/>
    <n v="6725.9800000000005"/>
    <n v="0.1207869281045751"/>
    <n v="0"/>
  </r>
  <r>
    <x v="135"/>
    <s v="Slough Uxbridge (2242)"/>
    <d v="2021-09-23T00:00:00"/>
    <d v="2021-09-26T00:00:00"/>
    <n v="10880"/>
    <n v="9515.31"/>
    <n v="0.12543106617647062"/>
    <n v="10880"/>
    <n v="9515.31"/>
    <n v="0.12543106617647062"/>
    <n v="0"/>
  </r>
  <r>
    <x v="136"/>
    <s v="Weedon Road (648)"/>
    <d v="2021-09-28T00:00:00"/>
    <d v="2021-10-03T00:00:00"/>
    <n v="14620"/>
    <n v="12901.15"/>
    <n v="0.11756839945280441"/>
    <n v="14620"/>
    <n v="12901.15"/>
    <n v="0.11756839945280441"/>
    <n v="0"/>
  </r>
  <r>
    <x v="137"/>
    <s v="North Cheam (38)"/>
    <d v="2021-09-26T00:00:00"/>
    <d v="2021-10-02T00:00:00"/>
    <n v="12580"/>
    <n v="11164.970000000001"/>
    <n v="0.1124825119236883"/>
    <n v="12580"/>
    <n v="11164.970000000001"/>
    <n v="0.1124825119236883"/>
    <n v="0"/>
  </r>
  <r>
    <x v="138"/>
    <s v="Chester le Street (4619)"/>
    <d v="2021-10-24T00:00:00"/>
    <d v="2021-10-30T00:00:00"/>
    <n v="5100"/>
    <n v="4513.05"/>
    <n v="0.11508823529411762"/>
    <n v="5100"/>
    <n v="4513.05"/>
    <n v="0.11508823529411762"/>
    <n v="0"/>
  </r>
  <r>
    <x v="139"/>
    <s v="Bybrook (59)"/>
    <d v="2021-10-07T00:00:00"/>
    <d v="2021-10-10T00:00:00"/>
    <n v="6904"/>
    <n v="6254.2900000000009"/>
    <n v="9.4106315179605896E-2"/>
    <n v="6904"/>
    <n v="6254.2900000000009"/>
    <n v="9.4106315179605896E-2"/>
    <n v="0"/>
  </r>
  <r>
    <x v="140"/>
    <s v="Edenthorpe (732)"/>
    <d v="2021-09-30T00:00:00"/>
    <d v="2021-10-04T00:00:00"/>
    <n v="13117.6"/>
    <n v="11568.380000000001"/>
    <n v="0.11810239677989871"/>
    <n v="13117.6"/>
    <n v="11568.380000000001"/>
    <n v="0.11810239677989871"/>
    <n v="0"/>
  </r>
  <r>
    <x v="141"/>
    <s v="Ludlow (2355)"/>
    <d v="2021-11-15T00:00:00"/>
    <d v="2021-12-07T00:00:00"/>
    <n v="74218"/>
    <n v="65817.75999999998"/>
    <n v="0.11318332479991404"/>
    <n v="74218"/>
    <n v="65817.75999999998"/>
    <n v="0.11318332479991404"/>
    <n v="0"/>
  </r>
  <r>
    <x v="142"/>
    <s v="Burton on Trent (527)"/>
    <d v="2021-10-01T00:00:00"/>
    <d v="2021-10-04T00:00:00"/>
    <n v="6731.4"/>
    <n v="5890.39"/>
    <n v="0.12493834863475642"/>
    <m/>
    <m/>
    <m/>
    <m/>
  </r>
  <r>
    <x v="143"/>
    <s v="Fulwell (2144)"/>
    <d v="2021-10-13T00:00:00"/>
    <d v="2021-10-14T00:00:00"/>
    <n v="2761.6"/>
    <n v="2195.69"/>
    <n v="0.20492106025492463"/>
    <m/>
    <m/>
    <m/>
    <m/>
  </r>
  <r>
    <x v="144"/>
    <s v="Scarborough (2080)"/>
    <d v="2021-10-03T00:00:00"/>
    <d v="2021-10-14T00:00:00"/>
    <n v="27098.199999999997"/>
    <n v="23539.560000000005"/>
    <n v="0.13132385176875189"/>
    <m/>
    <m/>
    <m/>
    <m/>
  </r>
  <r>
    <x v="145"/>
    <s v="Kempston (757)"/>
    <d v="2021-11-14T00:00:00"/>
    <d v="2021-11-22T00:00:00"/>
    <n v="4080"/>
    <n v="3907.0400000000009"/>
    <n v="4.2392156862744883E-2"/>
    <m/>
    <m/>
    <m/>
    <m/>
  </r>
  <r>
    <x v="146"/>
    <s v="North Walsham (2046)"/>
    <d v="2021-09-16T00:00:00"/>
    <d v="2021-09-18T00:00:00"/>
    <n v="2071.1999999999998"/>
    <n v="1916.82"/>
    <n v="7.4536500579374221E-2"/>
    <m/>
    <m/>
    <m/>
    <m/>
  </r>
  <r>
    <x v="147"/>
    <s v="Drumchapel (523)"/>
    <d v="2021-10-03T00:00:00"/>
    <d v="2021-11-05T00:00:00"/>
    <n v="51780"/>
    <n v="45419.160000000018"/>
    <n v="0.12284356894553847"/>
    <m/>
    <m/>
    <m/>
    <m/>
  </r>
  <r>
    <x v="148"/>
    <s v="Chippenham (664)"/>
    <d v="2021-09-21T00:00:00"/>
    <d v="2021-09-26T00:00:00"/>
    <n v="10873.8"/>
    <n v="9847.7299999999977"/>
    <n v="9.4361676690761426E-2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2071.1999999999998"/>
    <n v="1916.82"/>
    <n v="154.37999999999988"/>
    <n v="7.4536500579374221E-2"/>
  </r>
  <r>
    <x v="1"/>
    <n v="1075.51"/>
    <n v="922.21999999999991"/>
    <n v="153.29000000000008"/>
    <n v="0.14252773102993005"/>
  </r>
  <r>
    <x v="2"/>
    <n v="3917.3999999999996"/>
    <n v="3789.0099999999998"/>
    <n v="128.38999999999987"/>
    <n v="3.2774289069280614E-2"/>
  </r>
  <r>
    <x v="3"/>
    <n v="1317.1299999999999"/>
    <n v="1192.29"/>
    <n v="124.83999999999992"/>
    <n v="9.4781836265212943E-2"/>
  </r>
  <r>
    <x v="4"/>
    <n v="734.26"/>
    <n v="624.24"/>
    <n v="110.01999999999998"/>
    <n v="0.14983793206765994"/>
  </r>
  <r>
    <x v="5"/>
    <n v="6516"/>
    <n v="6428.84"/>
    <n v="87.159999999999854"/>
    <n v="1.3376304481276835E-2"/>
  </r>
  <r>
    <x v="6"/>
    <n v="656.8"/>
    <n v="602.96"/>
    <n v="53.839999999999918"/>
    <n v="8.1973203410474912E-2"/>
  </r>
  <r>
    <x v="7"/>
    <n v="323.08"/>
    <n v="284.57"/>
    <n v="38.509999999999991"/>
    <n v="0.119196483843011"/>
  </r>
  <r>
    <x v="8"/>
    <n v="208.45"/>
    <n v="186.49"/>
    <n v="21.95999999999998"/>
    <n v="0.10534900455744774"/>
  </r>
  <r>
    <x v="9"/>
    <n v="1588"/>
    <n v="1576.7400000000002"/>
    <n v="11.259999999999764"/>
    <n v="7.0906801007555188E-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5359.5"/>
    <n v="5048.08"/>
    <n v="311.42000000000007"/>
    <n v="5.8106166620020536E-2"/>
  </r>
  <r>
    <x v="1"/>
    <n v="4080"/>
    <n v="3867.9199999999996"/>
    <n v="212.08000000000038"/>
    <n v="5.1980392156862835E-2"/>
  </r>
  <r>
    <x v="2"/>
    <n v="3466.2000000000003"/>
    <n v="3295.12"/>
    <n v="171.08000000000038"/>
    <n v="4.9356644163637518E-2"/>
  </r>
  <r>
    <x v="3"/>
    <n v="5223.2"/>
    <n v="4978.0700000000006"/>
    <n v="245.1299999999992"/>
    <n v="4.6931000153162664E-2"/>
  </r>
  <r>
    <x v="4"/>
    <n v="24509.199999999997"/>
    <n v="23365.599999999999"/>
    <n v="1143.5999999999985"/>
    <n v="4.6660029703131829E-2"/>
  </r>
  <r>
    <x v="5"/>
    <n v="5270"/>
    <n v="5027.3200000000006"/>
    <n v="242.67999999999938"/>
    <n v="4.6049335863377491E-2"/>
  </r>
  <r>
    <x v="6"/>
    <n v="4080"/>
    <n v="3907.0400000000009"/>
    <n v="172.95999999999913"/>
    <n v="4.2392156862744883E-2"/>
  </r>
  <r>
    <x v="7"/>
    <n v="3917.3999999999996"/>
    <n v="3789.0099999999998"/>
    <n v="128.38999999999987"/>
    <n v="3.2774289069280614E-2"/>
  </r>
  <r>
    <x v="8"/>
    <n v="6516"/>
    <n v="6428.84"/>
    <n v="87.159999999999854"/>
    <n v="1.3376304481276835E-2"/>
  </r>
  <r>
    <x v="9"/>
    <n v="1588"/>
    <n v="1576.7400000000002"/>
    <n v="11.259999999999764"/>
    <n v="7.0906801007555188E-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">
  <r>
    <x v="0"/>
    <s v="Woolwich SAS Closure"/>
    <d v="2021-06-30T00:00:00"/>
    <d v="2021-07-07T00:00:00"/>
    <n v="6144.8"/>
    <n v="5348.46"/>
    <n v="0.12959575576096866"/>
  </r>
  <r>
    <x v="1"/>
    <s v="Woolwich SIS Opening"/>
    <d v="2021-06-23T00:00:00"/>
    <d v="2021-06-28T00:00:00"/>
    <n v="3466.2000000000003"/>
    <n v="3295.12"/>
    <n v="4.9356644163637518E-2"/>
  </r>
  <r>
    <x v="2"/>
    <s v="Lewisham SAS Closure"/>
    <d v="2021-06-30T00:00:00"/>
    <d v="2021-07-07T00:00:00"/>
    <n v="6144.8"/>
    <n v="5222.2"/>
    <n v="0.15014321051946367"/>
  </r>
  <r>
    <x v="3"/>
    <s v="Lewisham SIS"/>
    <d v="2021-06-23T00:00:00"/>
    <d v="2021-06-27T00:00:00"/>
    <n v="3466.2000000000003"/>
    <n v="2828.93"/>
    <n v="0.18385263400842433"/>
  </r>
  <r>
    <x v="4"/>
    <s v="Oswestry SIS"/>
    <d v="2021-07-08T00:00:00"/>
    <d v="2021-07-13T00:00:00"/>
    <n v="4764"/>
    <n v="3794.9199999999996"/>
    <n v="0.20341729638958866"/>
  </r>
  <r>
    <x v="5"/>
    <s v="Oswestry"/>
    <d v="2021-07-14T00:00:00"/>
    <d v="2021-07-19T00:00:00"/>
    <n v="5955"/>
    <n v="5132.96"/>
    <n v="0.13804198152812761"/>
  </r>
  <r>
    <x v="6"/>
    <s v="Northwich"/>
    <d v="2021-07-21T00:00:00"/>
    <d v="2021-07-27T00:00:00"/>
    <n v="5359.5"/>
    <n v="3855.75"/>
    <n v="0.28057654631961937"/>
  </r>
  <r>
    <x v="7"/>
    <s v="Northwich"/>
    <d v="2021-07-28T00:00:00"/>
    <d v="2021-08-02T00:00:00"/>
    <n v="8530.5375000000004"/>
    <n v="6713.6149999999998"/>
    <n v="0.21299038894090794"/>
  </r>
  <r>
    <x v="8"/>
    <s v="Lytham St Annes"/>
    <d v="2021-07-28T00:00:00"/>
    <d v="2021-08-04T00:00:00"/>
    <n v="4168.5"/>
    <n v="3314.17"/>
    <n v="0.20494902243013072"/>
  </r>
  <r>
    <x v="9"/>
    <s v="Llandudno Hub 2063 new store"/>
    <d v="2021-08-03T00:00:00"/>
    <d v="2021-08-16T00:00:00"/>
    <n v="3573"/>
    <n v="2901.91"/>
    <n v="0.18782255807444728"/>
  </r>
  <r>
    <x v="10"/>
    <s v="Llandudno Hub Closure 0387"/>
    <d v="2021-08-17T00:00:00"/>
    <d v="2021-08-25T00:00:00"/>
    <n v="7940"/>
    <n v="6391.4000000000005"/>
    <n v="0.1950377833753148"/>
  </r>
  <r>
    <x v="11"/>
    <s v="Blackpool Squires Gate"/>
    <d v="2021-08-05T00:00:00"/>
    <d v="2021-08-12T00:00:00"/>
    <n v="7940"/>
    <n v="6411"/>
    <n v="0.19256926952141057"/>
  </r>
  <r>
    <x v="12"/>
    <s v="Leven"/>
    <d v="2021-09-02T00:00:00"/>
    <d v="2021-09-07T00:00:00"/>
    <n v="5955"/>
    <n v="4809.08"/>
    <n v="0.19242989084802689"/>
  </r>
  <r>
    <x v="13"/>
    <s v="Leven"/>
    <d v="2021-09-08T00:00:00"/>
    <d v="2021-09-11T00:00:00"/>
    <n v="9925"/>
    <n v="7956.92"/>
    <n v="0.19829521410579345"/>
  </r>
  <r>
    <x v="14"/>
    <s v="Trowbrige SIS"/>
    <d v="2021-09-22T00:00:00"/>
    <d v="2021-09-27T00:00:00"/>
    <n v="3466.2000000000003"/>
    <n v="2857.24"/>
    <n v="0.17568518839074504"/>
  </r>
  <r>
    <x v="15"/>
    <s v="Trowbridge Closure"/>
    <d v="2021-09-29T00:00:00"/>
    <d v="2021-10-06T00:00:00"/>
    <n v="5223.2"/>
    <n v="4978.0700000000006"/>
    <n v="4.6931000153162664E-2"/>
  </r>
  <r>
    <x v="16"/>
    <s v="Braintree SIS"/>
    <d v="2021-10-13T00:00:00"/>
    <d v="2021-10-18T00:00:00"/>
    <n v="3917.3999999999996"/>
    <n v="3789.0099999999998"/>
    <n v="3.2774289069280614E-2"/>
  </r>
  <r>
    <x v="17"/>
    <s v="Braintree SAS Closure"/>
    <d v="2021-10-20T00:00:00"/>
    <d v="2021-10-27T00:00:00"/>
    <n v="6516"/>
    <n v="6428.84"/>
    <n v="1.3376304481276835E-2"/>
  </r>
  <r>
    <x v="18"/>
    <s v="Thurrock Retail Park (504) Closure"/>
    <d v="2021-09-29T00:00:00"/>
    <d v="2021-10-08T00:00:00"/>
    <n v="6800"/>
    <n v="6210.13"/>
    <n v="8.6745588235294102E-2"/>
  </r>
  <r>
    <x v="19"/>
    <s v="Chafford Hundred SIS"/>
    <d v="2021-09-23T00:00:00"/>
    <d v="2021-09-27T00:00:00"/>
    <n v="3400"/>
    <n v="3174.98"/>
    <n v="6.618235294117647E-2"/>
  </r>
  <r>
    <x v="20"/>
    <s v="Colne SIS"/>
    <d v="2021-09-20T00:00:00"/>
    <d v="2021-09-28T00:00:00"/>
    <n v="5140.8"/>
    <n v="4224.2"/>
    <n v="0.17829909741674455"/>
  </r>
  <r>
    <x v="21"/>
    <s v="Colne SAS Closure"/>
    <d v="2021-09-29T00:00:00"/>
    <d v="2021-10-06T00:00:00"/>
    <n v="4621.6000000000004"/>
    <n v="3758.2700000000004"/>
    <n v="0.18680327159425303"/>
  </r>
  <r>
    <x v="22"/>
    <s v="Wakefield Marsh Way SIS"/>
    <d v="2021-09-22T00:00:00"/>
    <d v="2021-09-29T00:00:00"/>
    <n v="4621.6000000000004"/>
    <n v="3815.7400000000002"/>
    <n v="0.17436818417863945"/>
  </r>
  <r>
    <x v="23"/>
    <s v="Wakefield Cathedral Closure SAS"/>
    <d v="2021-09-30T00:00:00"/>
    <d v="2021-10-05T00:00:00"/>
    <n v="3917.3999999999996"/>
    <n v="3349.0099999999998"/>
    <n v="0.14509368458671565"/>
  </r>
  <r>
    <x v="24"/>
    <s v="Llandudno SIS"/>
    <d v="2021-09-24T00:00:00"/>
    <d v="2021-10-01T00:00:00"/>
    <n v="6516"/>
    <n v="6089.34"/>
    <n v="6.5478821362799242E-2"/>
  </r>
  <r>
    <x v="25"/>
    <s v="Upton SIS"/>
    <d v="2021-10-13T00:00:00"/>
    <d v="2021-10-19T00:00:00"/>
    <n v="5701.5"/>
    <n v="5143.3799999999992"/>
    <n v="9.7890028939752835E-2"/>
  </r>
  <r>
    <x v="26"/>
    <s v="Upton Closure"/>
    <d v="2021-10-20T00:00:00"/>
    <d v="2021-10-25T00:00:00"/>
    <n v="5856.5999999999995"/>
    <n v="5256.0199999999995"/>
    <n v="0.10254755318785644"/>
  </r>
  <r>
    <x v="27"/>
    <s v="Colwick SIS"/>
    <d v="2021-10-30T00:00:00"/>
    <d v="2021-11-05T00:00:00"/>
    <n v="5701.5"/>
    <n v="5127.3799999999992"/>
    <n v="0.10069630798912581"/>
  </r>
  <r>
    <x v="28"/>
    <s v="Nottingham Netherfield Closure"/>
    <d v="2021-11-10T00:00:00"/>
    <d v="2021-11-18T00:00:00"/>
    <n v="11693.699999999999"/>
    <n v="10412"/>
    <n v="0.10960602717702686"/>
  </r>
  <r>
    <x v="29"/>
    <s v="Edgeware SIS"/>
    <d v="2021-10-20T00:00:00"/>
    <d v="2021-10-26T00:00:00"/>
    <n v="4570.3"/>
    <n v="3949.0399999999995"/>
    <n v="0.13593418375161381"/>
  </r>
  <r>
    <x v="30"/>
    <s v="Edgeware SAS Closure"/>
    <d v="2021-10-27T00:00:00"/>
    <d v="2021-11-03T00:00:00"/>
    <n v="5223.2"/>
    <n v="4666.0700000000006"/>
    <n v="0.1066644968601622"/>
  </r>
  <r>
    <x v="31"/>
    <s v="Dalgety Bay"/>
    <d v="2021-04-13T00:00:00"/>
    <d v="2021-06-03T00:00:00"/>
    <n v="73070.91"/>
    <n v="59850.790000000008"/>
    <n v="0.18092179227000177"/>
  </r>
  <r>
    <x v="32"/>
    <s v="Dunstable"/>
    <d v="2021-05-09T00:00:00"/>
    <d v="2021-08-01T00:00:00"/>
    <n v="90613.6"/>
    <n v="74008.584545454636"/>
    <n v="0.18325080842771249"/>
  </r>
  <r>
    <x v="33"/>
    <s v="Leith"/>
    <d v="2021-05-23T00:00:00"/>
    <d v="2021-08-09T00:00:00"/>
    <n v="130819.47999999998"/>
    <n v="108292.48000000023"/>
    <n v="0.17219912508442745"/>
  </r>
  <r>
    <x v="34"/>
    <s v="Dudley"/>
    <d v="2021-06-27T00:00:00"/>
    <d v="2021-09-20T00:00:00"/>
    <n v="152510.21000000002"/>
    <n v="93050.24000000002"/>
    <n v="0.38987534014935782"/>
  </r>
  <r>
    <x v="35"/>
    <s v="Winsford"/>
    <d v="2021-06-21T00:00:00"/>
    <d v="2021-06-22T00:00:00"/>
    <n v="208.45"/>
    <n v="186.49"/>
    <n v="0.10534900455744774"/>
  </r>
  <r>
    <x v="36"/>
    <s v="South Shields"/>
    <d v="2021-07-25T00:00:00"/>
    <d v="2021-10-03T00:00:00"/>
    <n v="106234.70000000001"/>
    <n v="86975.430000000095"/>
    <n v="0.18128982338162497"/>
  </r>
  <r>
    <x v="37"/>
    <s v="East Retford"/>
    <d v="2021-07-08T00:00:00"/>
    <d v="2021-07-09T00:00:00"/>
    <n v="1261.2599999999998"/>
    <n v="1092.43"/>
    <n v="0.1338582052867765"/>
  </r>
  <r>
    <x v="38"/>
    <s v="Dumbarton"/>
    <d v="2021-08-22T00:00:00"/>
    <d v="2021-11-08T00:00:00"/>
    <n v="110870.65000000001"/>
    <n v="100222.45000000019"/>
    <n v="9.6041648533672544E-2"/>
  </r>
  <r>
    <x v="39"/>
    <s v="Barnsley"/>
    <d v="2021-07-15T00:00:00"/>
    <d v="2021-07-18T00:00:00"/>
    <n v="8369.68"/>
    <n v="7122.2499999999982"/>
    <n v="0.14904154041731607"/>
  </r>
  <r>
    <x v="40"/>
    <s v="Dalgety Bay"/>
    <d v="2021-07-26T00:00:00"/>
    <d v="2021-07-27T00:00:00"/>
    <n v="2095.06"/>
    <n v="1898.53"/>
    <n v="9.3806382633432925E-2"/>
  </r>
  <r>
    <x v="41"/>
    <s v="Lowestoft"/>
    <d v="2021-07-22T00:00:00"/>
    <d v="2021-07-24T00:00:00"/>
    <n v="3441.9996000000001"/>
    <n v="2752.9399999999996"/>
    <n v="0.20019165603621816"/>
  </r>
  <r>
    <x v="42"/>
    <s v="Halifax"/>
    <d v="2021-09-19T00:00:00"/>
    <d v="2021-09-24T00:00:00"/>
    <n v="4425.3"/>
    <n v="4035.7"/>
    <n v="8.8039228978826378E-2"/>
  </r>
  <r>
    <x v="43"/>
    <s v="Birchwood"/>
    <d v="2021-09-20T00:00:00"/>
    <d v="2021-09-24T00:00:00"/>
    <n v="3687.75"/>
    <n v="3373.36"/>
    <n v="8.5252525252525219E-2"/>
  </r>
  <r>
    <x v="44"/>
    <s v="Bedminster"/>
    <d v="2021-08-16T00:00:00"/>
    <d v="2021-08-31T00:00:00"/>
    <n v="6750"/>
    <n v="4971.17"/>
    <n v="0.26353037037037036"/>
  </r>
  <r>
    <x v="45"/>
    <s v="Barnsley"/>
    <d v="2021-08-25T00:00:00"/>
    <d v="2021-08-27T00:00:00"/>
    <n v="2084.5"/>
    <n v="1781.48"/>
    <n v="0.14536819381146557"/>
  </r>
  <r>
    <x v="46"/>
    <s v="Birmingham Fort Parkway"/>
    <d v="2021-06-01T00:00:00"/>
    <d v="2021-06-17T00:00:00"/>
    <n v="952.24"/>
    <n v="777.07999999999993"/>
    <n v="0.18394522389313628"/>
  </r>
  <r>
    <x v="47"/>
    <s v="Pershore"/>
    <d v="2021-06-22T00:00:00"/>
    <d v="2021-06-23T00:00:00"/>
    <n v="323.08"/>
    <n v="284.57"/>
    <n v="0.119196483843011"/>
  </r>
  <r>
    <x v="48"/>
    <s v="Sheffield Waitrose"/>
    <d v="2021-06-30T00:00:00"/>
    <d v="2021-07-01T00:00:00"/>
    <n v="656.8"/>
    <n v="602.96"/>
    <n v="8.1973203410474912E-2"/>
  </r>
  <r>
    <x v="49"/>
    <s v="Trowbridge"/>
    <d v="2021-07-22T00:00:00"/>
    <d v="2021-07-24T00:00:00"/>
    <n v="1301.3899999999999"/>
    <n v="948.61"/>
    <n v="0.27107938435057893"/>
  </r>
  <r>
    <x v="50"/>
    <s v="Brentwood"/>
    <d v="2021-08-10T00:00:00"/>
    <d v="2021-08-13T00:00:00"/>
    <n v="4394"/>
    <n v="3680.35"/>
    <n v="0.16241465634956762"/>
  </r>
  <r>
    <x v="51"/>
    <s v="Bournemouth Royal Hospital"/>
    <d v="2021-07-22T00:00:00"/>
    <d v="2021-07-23T00:00:00"/>
    <n v="734.26"/>
    <n v="624.24"/>
    <n v="0.14983793206765994"/>
  </r>
  <r>
    <x v="52"/>
    <s v="Orpington"/>
    <d v="2021-07-17T00:00:00"/>
    <d v="2021-07-22T00:00:00"/>
    <n v="7614.25"/>
    <n v="6347.0300000000007"/>
    <n v="0.16642742226745896"/>
  </r>
  <r>
    <x v="53"/>
    <s v="Barkingside"/>
    <d v="2021-08-23T00:00:00"/>
    <d v="2021-08-28T00:00:00"/>
    <n v="6373.74"/>
    <n v="5368.8"/>
    <n v="0.15766880983535564"/>
  </r>
  <r>
    <x v="54"/>
    <s v="Watford"/>
    <d v="2021-07-26T00:00:00"/>
    <d v="2021-07-31T00:00:00"/>
    <n v="8879.4"/>
    <n v="7553.9"/>
    <n v="0.14927810437642183"/>
  </r>
  <r>
    <x v="55"/>
    <s v="Oxted"/>
    <d v="1899-12-30T00:00:00"/>
    <d v="1899-12-30T00:00:00"/>
    <n v="1075.51"/>
    <n v="922.21999999999991"/>
    <n v="0.14252773102993005"/>
  </r>
  <r>
    <x v="56"/>
    <s v="Heacham"/>
    <d v="2021-08-12T00:00:00"/>
    <d v="2021-08-16T00:00:00"/>
    <n v="1317.1299999999999"/>
    <n v="1192.29"/>
    <n v="9.4781836265212943E-2"/>
  </r>
  <r>
    <x v="57"/>
    <s v="Harrow Sudbury"/>
    <d v="2021-08-12T00:00:00"/>
    <d v="2021-08-17T00:00:00"/>
    <n v="3774.96"/>
    <n v="2536.8000000000002"/>
    <n v="0.32799287939474853"/>
  </r>
  <r>
    <x v="58"/>
    <s v="Bexleyheath"/>
    <d v="2021-08-08T00:00:00"/>
    <d v="2021-08-10T00:00:00"/>
    <n v="2151"/>
    <n v="1865.31"/>
    <n v="0.13281729428172945"/>
  </r>
  <r>
    <x v="59"/>
    <s v="Harpenden"/>
    <d v="2021-07-24T00:00:00"/>
    <d v="2021-07-25T00:00:00"/>
    <n v="866.15"/>
    <n v="627.61"/>
    <n v="0.27540264388385383"/>
  </r>
  <r>
    <x v="60"/>
    <s v="Norwich Longwater Retail Park"/>
    <d v="2021-07-21T00:00:00"/>
    <d v="2021-07-23T00:00:00"/>
    <n v="2251"/>
    <n v="1803.82"/>
    <n v="0.19865837405597514"/>
  </r>
  <r>
    <x v="61"/>
    <s v="Worthing Lyons Farm (6473)"/>
    <d v="2021-08-28T00:00:00"/>
    <d v="2021-08-30T00:00:00"/>
    <n v="2151"/>
    <n v="1807.32"/>
    <n v="0.15977684797768482"/>
  </r>
  <r>
    <x v="62"/>
    <s v="Bexhill on Sea (6467)"/>
    <d v="2021-08-31T00:00:00"/>
    <d v="2021-09-03T00:00:00"/>
    <n v="3140.25"/>
    <n v="2820.22"/>
    <n v="0.10191226813151825"/>
  </r>
  <r>
    <x v="63"/>
    <s v="Oldham (6490)"/>
    <d v="2021-07-31T00:00:00"/>
    <d v="2021-08-02T00:00:00"/>
    <n v="3432.58"/>
    <n v="2611.3199999999997"/>
    <n v="0.23925443835249294"/>
  </r>
  <r>
    <x v="64"/>
    <s v="West Bridgeford (95)"/>
    <d v="2021-08-23T00:00:00"/>
    <d v="2021-08-27T00:00:00"/>
    <n v="4566.96"/>
    <n v="3296.54"/>
    <n v="0.27817629232574842"/>
  </r>
  <r>
    <x v="65"/>
    <s v="Welling (1021)"/>
    <d v="2021-08-19T00:00:00"/>
    <d v="2021-08-24T00:00:00"/>
    <n v="4288.26"/>
    <n v="3315.26"/>
    <n v="0.22689855559131208"/>
  </r>
  <r>
    <x v="66"/>
    <s v="Yeovil (6584)"/>
    <d v="2021-08-21T00:00:00"/>
    <d v="2021-08-27T00:00:00"/>
    <n v="12651.2"/>
    <n v="11103.588"/>
    <n v="0.12232926520804357"/>
  </r>
  <r>
    <x v="67"/>
    <s v="Bristol Beam Street (5519)"/>
    <d v="2021-09-06T00:00:00"/>
    <d v="2021-09-09T00:00:00"/>
    <n v="2858.84"/>
    <n v="2323.91"/>
    <n v="0.18711435407368032"/>
  </r>
  <r>
    <x v="68"/>
    <s v="Cambridge Newmarket Road (6492)"/>
    <d v="2021-09-06T00:00:00"/>
    <d v="2021-09-11T00:00:00"/>
    <n v="6344.2"/>
    <n v="5245.24"/>
    <n v="0.1732227861668926"/>
  </r>
  <r>
    <x v="69"/>
    <s v="Rochester Strood"/>
    <d v="2021-10-16T00:00:00"/>
    <d v="2021-10-18T00:00:00"/>
    <n v="1732.3"/>
    <n v="1362.62"/>
    <n v="0.21340414477861808"/>
  </r>
  <r>
    <x v="70"/>
    <s v="Ellenbrook"/>
    <d v="2021-06-01T00:00:00"/>
    <d v="2021-06-03T00:00:00"/>
    <n v="3397.66"/>
    <n v="2770.6500000000005"/>
    <n v="0.18454171400316668"/>
  </r>
  <r>
    <x v="71"/>
    <s v="Grange Over Sands"/>
    <d v="2021-06-30T00:00:00"/>
    <d v="2021-06-30T00:00:00"/>
    <n v="745.28"/>
    <n v="531.6099999999999"/>
    <n v="0.28669761700300567"/>
  </r>
  <r>
    <x v="72"/>
    <s v="Meal Solutions Revisit"/>
    <d v="2021-07-28T00:00:00"/>
    <d v="2021-07-31T00:00:00"/>
    <n v="6237"/>
    <n v="4504.03"/>
    <n v="0.2778531345198012"/>
  </r>
  <r>
    <x v="73"/>
    <s v="Dunstable ASDA"/>
    <d v="2021-07-11T00:00:00"/>
    <d v="2021-07-26T00:00:00"/>
    <n v="5023.9199999999992"/>
    <n v="4059.4300000000003"/>
    <n v="0.19197956973837144"/>
  </r>
  <r>
    <x v="74"/>
    <s v="Maypole"/>
    <d v="2021-04-11T00:00:00"/>
    <d v="2021-06-25T00:00:00"/>
    <n v="116130.46999999999"/>
    <n v="100740.95500000007"/>
    <n v="0.13251918295000367"/>
  </r>
  <r>
    <x v="75"/>
    <s v="Hitchin"/>
    <d v="2021-05-02T00:00:00"/>
    <d v="2021-06-20T00:00:00"/>
    <n v="80938.86"/>
    <n v="70743.94"/>
    <n v="0.12595828505615222"/>
  </r>
  <r>
    <x v="76"/>
    <s v="Oswestry"/>
    <d v="2021-05-23T00:00:00"/>
    <d v="2021-06-03T00:00:00"/>
    <n v="26434.699999999997"/>
    <n v="24233.47"/>
    <n v="8.3270474036020697E-2"/>
  </r>
  <r>
    <x v="77"/>
    <s v="Bromley by Bow"/>
    <d v="2021-06-19T00:00:00"/>
    <d v="2021-06-21T00:00:00"/>
    <n v="10546"/>
    <n v="9208.5399999999991"/>
    <n v="0.1268215437132563"/>
  </r>
  <r>
    <x v="78"/>
    <s v="Pentwortham Local"/>
    <d v="2021-05-30T00:00:00"/>
    <d v="2021-06-03T00:00:00"/>
    <n v="11391.599999999999"/>
    <n v="10663.89"/>
    <n v="6.38812809438533E-2"/>
  </r>
  <r>
    <x v="79"/>
    <s v="Lytham St Anne's"/>
    <d v="2021-06-06T00:00:00"/>
    <d v="2021-06-28T00:00:00"/>
    <n v="24509.199999999997"/>
    <n v="23365.599999999999"/>
    <n v="4.6660029703131829E-2"/>
  </r>
  <r>
    <x v="80"/>
    <s v="Beckton"/>
    <d v="2021-06-13T00:00:00"/>
    <d v="2021-07-05T00:00:00"/>
    <n v="119040.45"/>
    <n v="96180.000000000044"/>
    <n v="0.19203934460933197"/>
  </r>
  <r>
    <x v="81"/>
    <s v="Welshpool"/>
    <d v="2021-10-07T00:00:00"/>
    <d v="2021-11-07T00:00:00"/>
    <n v="1588"/>
    <n v="1576.7400000000002"/>
    <n v="7.0906801007555188E-3"/>
  </r>
  <r>
    <x v="82"/>
    <s v="Melton Mowbray"/>
    <d v="2021-06-02T00:00:00"/>
    <d v="2021-06-03T00:00:00"/>
    <n v="1191"/>
    <n v="1032.58"/>
    <n v="0.13301427371956345"/>
  </r>
  <r>
    <x v="83"/>
    <s v="Bybrook"/>
    <d v="2021-06-09T00:00:00"/>
    <d v="2021-06-10T00:00:00"/>
    <n v="1985"/>
    <n v="1459.9899999999998"/>
    <n v="0.26448866498740564"/>
  </r>
  <r>
    <x v="84"/>
    <s v="Northwich"/>
    <d v="2021-07-02T00:00:00"/>
    <d v="2021-07-16T00:00:00"/>
    <n v="13462.8"/>
    <n v="11601.34"/>
    <n v="0.13826692812787825"/>
  </r>
  <r>
    <x v="85"/>
    <s v="Fosse Park"/>
    <d v="2021-06-13T00:00:00"/>
    <d v="2021-06-21T00:00:00"/>
    <n v="3573.0000000000005"/>
    <n v="2961.8499999999995"/>
    <n v="0.17104673943464901"/>
  </r>
  <r>
    <x v="86"/>
    <s v="Ellesmere Port"/>
    <d v="2021-07-25T00:00:00"/>
    <d v="2021-10-05T00:00:00"/>
    <n v="60955.439999999995"/>
    <n v="50100.079999999973"/>
    <n v="0.17808681226810968"/>
  </r>
  <r>
    <x v="87"/>
    <s v="Halifax"/>
    <d v="2021-07-25T00:00:00"/>
    <d v="2021-07-30T00:00:00"/>
    <n v="14929.899999999998"/>
    <n v="13160.1"/>
    <n v="0.11854064662187944"/>
  </r>
  <r>
    <x v="88"/>
    <s v="Marble Arch"/>
    <d v="2021-08-21T00:00:00"/>
    <d v="2021-08-26T00:00:00"/>
    <n v="8337"/>
    <n v="6520.69"/>
    <n v="0.21786134100995566"/>
  </r>
  <r>
    <x v="89"/>
    <s v="Leven"/>
    <d v="2021-07-18T00:00:00"/>
    <d v="2021-07-22T00:00:00"/>
    <n v="20445.5"/>
    <n v="17497.739999999998"/>
    <n v="0.14417646914969073"/>
  </r>
  <r>
    <x v="90"/>
    <s v="Pepper Hill "/>
    <d v="2021-06-12T00:00:00"/>
    <d v="2021-06-14T00:00:00"/>
    <n v="2560.65"/>
    <n v="2248.2399999999998"/>
    <n v="0.12200417862652073"/>
  </r>
  <r>
    <x v="91"/>
    <s v="Altrincham"/>
    <d v="2021-08-01T00:00:00"/>
    <d v="2021-08-13T00:00:00"/>
    <n v="11598.720000000001"/>
    <n v="10239.470000000001"/>
    <n v="0.11718965541025216"/>
  </r>
  <r>
    <x v="92"/>
    <s v="The Moor"/>
    <d v="2021-08-15T00:00:00"/>
    <d v="2021-08-27T00:00:00"/>
    <n v="27633.26"/>
    <n v="25536.339999999997"/>
    <n v="7.5883916700382151E-2"/>
  </r>
  <r>
    <x v="93"/>
    <s v="Kenton"/>
    <d v="2021-08-08T00:00:00"/>
    <d v="2021-08-20T00:00:00"/>
    <n v="29943.724999999999"/>
    <n v="23440.514999999999"/>
    <n v="0.2171810621424021"/>
  </r>
  <r>
    <x v="94"/>
    <s v="Trowbridge"/>
    <d v="2021-08-10T00:00:00"/>
    <d v="2021-08-18T00:00:00"/>
    <n v="29571.199999999997"/>
    <n v="22786.04"/>
    <n v="0.22945162861162202"/>
  </r>
  <r>
    <x v="95"/>
    <s v="Worksop"/>
    <d v="2021-08-29T00:00:00"/>
    <d v="2021-09-07T00:00:00"/>
    <n v="23353.399999999998"/>
    <n v="19344.8"/>
    <n v="0.17164952426627381"/>
  </r>
  <r>
    <x v="96"/>
    <s v="Wilmslow"/>
    <d v="2021-08-15T00:00:00"/>
    <d v="2021-08-19T00:00:00"/>
    <n v="9838.2000000000007"/>
    <n v="8736.98"/>
    <n v="0.11193307718891678"/>
  </r>
  <r>
    <x v="97"/>
    <s v="Whitchurch Bargates"/>
    <d v="2021-08-22T00:00:00"/>
    <d v="2021-08-27T00:00:00"/>
    <n v="8138.5"/>
    <n v="7018.5299999999988"/>
    <n v="0.13761381089881441"/>
  </r>
  <r>
    <x v="98"/>
    <s v="London Colney"/>
    <d v="2021-08-08T00:00:00"/>
    <d v="2021-08-12T00:00:00"/>
    <n v="17735.974999999999"/>
    <n v="13596.54"/>
    <n v="0.23339201820029618"/>
  </r>
  <r>
    <x v="99"/>
    <s v="Wakefield Marsh Way"/>
    <d v="2021-08-08T00:00:00"/>
    <d v="2021-08-24T00:00:00"/>
    <n v="47828.880000000005"/>
    <n v="41234.548000000003"/>
    <n v="0.13787343546409619"/>
  </r>
  <r>
    <x v="100"/>
    <s v="Harpenden"/>
    <d v="2021-08-15T00:00:00"/>
    <d v="2021-08-17T00:00:00"/>
    <n v="2157.6"/>
    <n v="1390.75"/>
    <n v="0.35541805710048197"/>
  </r>
  <r>
    <x v="101"/>
    <s v="Colne"/>
    <d v="2021-08-08T00:00:00"/>
    <d v="2021-08-27T00:00:00"/>
    <n v="32932.080000000002"/>
    <n v="28301.17"/>
    <n v="0.14062002764477685"/>
  </r>
  <r>
    <x v="102"/>
    <s v="Ringwood"/>
    <d v="2021-08-11T00:00:00"/>
    <d v="2021-08-14T00:00:00"/>
    <n v="5359.5"/>
    <n v="5048.08"/>
    <n v="5.8106166620020536E-2"/>
  </r>
  <r>
    <x v="103"/>
    <s v="Thorley"/>
    <d v="2021-08-22T00:00:00"/>
    <d v="2021-08-24T00:00:00"/>
    <n v="4962.5"/>
    <n v="4481.079999999999"/>
    <n v="9.7011586901763425E-2"/>
  </r>
  <r>
    <x v="104"/>
    <s v="Colwick"/>
    <d v="2021-10-24T00:00:00"/>
    <d v="2021-11-19T00:00:00"/>
    <n v="106250"/>
    <n v="89471.649999999936"/>
    <n v="0.15791388235294179"/>
  </r>
  <r>
    <x v="105"/>
    <s v="East Prescot Road"/>
    <d v="2021-10-03T00:00:00"/>
    <d v="2021-10-10T00:00:00"/>
    <n v="2040"/>
    <n v="1656.72"/>
    <n v="0.18788235294117644"/>
  </r>
  <r>
    <x v="106"/>
    <s v="Aylesbury Gatehouse"/>
    <d v="2021-10-24T00:00:00"/>
    <d v="2021-12-08T00:00:00"/>
    <n v="90780"/>
    <n v="80505.709999999948"/>
    <n v="0.11317790262172342"/>
  </r>
  <r>
    <x v="107"/>
    <s v="Upton"/>
    <d v="2021-08-29T00:00:00"/>
    <d v="2021-09-24T00:00:00"/>
    <n v="70720"/>
    <n v="60304.56"/>
    <n v="0.14727714932126701"/>
  </r>
  <r>
    <x v="108"/>
    <s v="Scarborough"/>
    <d v="2021-11-14T00:00:00"/>
    <d v="2021-11-21T00:00:00"/>
    <n v="4080"/>
    <n v="3867.9199999999996"/>
    <n v="5.1980392156862835E-2"/>
  </r>
  <r>
    <x v="109"/>
    <s v="Sutton Old Gas Works"/>
    <d v="2021-09-12T00:00:00"/>
    <d v="2021-09-20T00:00:00"/>
    <n v="18530"/>
    <n v="16319.530000000002"/>
    <n v="0.11929141932002145"/>
  </r>
  <r>
    <x v="110"/>
    <s v="Braintree"/>
    <d v="2021-08-29T00:00:00"/>
    <d v="2021-09-09T00:00:00"/>
    <n v="23460"/>
    <n v="20829.510000000002"/>
    <n v="0.11212659846547306"/>
  </r>
  <r>
    <x v="111"/>
    <s v="Penrith"/>
    <d v="2021-08-29T00:00:00"/>
    <d v="2021-09-04T00:00:00"/>
    <n v="11909.4"/>
    <n v="10364.52"/>
    <n v="0.12971938132903416"/>
  </r>
  <r>
    <x v="112"/>
    <s v="Denton (886)"/>
    <d v="2021-08-24T00:00:00"/>
    <d v="2021-08-27T00:00:00"/>
    <n v="7767"/>
    <n v="6545.81"/>
    <n v="0.15722801596497998"/>
  </r>
  <r>
    <x v="113"/>
    <s v="Edgware (515)"/>
    <d v="2021-09-05T00:00:00"/>
    <d v="2021-09-15T00:00:00"/>
    <n v="21760"/>
    <n v="18582.619999999995"/>
    <n v="0.14601930147058845"/>
  </r>
  <r>
    <x v="114"/>
    <s v="Wakefield Marsh Way (2258)"/>
    <d v="2021-08-17T00:00:00"/>
    <d v="2021-08-19T00:00:00"/>
    <n v="4930"/>
    <n v="4413.49"/>
    <n v="0.10476876267748483"/>
  </r>
  <r>
    <x v="115"/>
    <s v="Penrith (2153)"/>
    <d v="2021-07-28T00:00:00"/>
    <d v="2021-07-30T00:00:00"/>
    <n v="1985"/>
    <n v="1678.5800000000002"/>
    <n v="0.15436775818639792"/>
  </r>
  <r>
    <x v="116"/>
    <s v="Chafford Hundred (2071)"/>
    <d v="2021-07-25T00:00:00"/>
    <d v="2021-07-29T00:00:00"/>
    <n v="14887.5"/>
    <n v="10890.68"/>
    <n v="0.26846817800167921"/>
  </r>
  <r>
    <x v="117"/>
    <s v="North Cheam (38)"/>
    <d v="2021-07-30T00:00:00"/>
    <d v="2021-08-03T00:00:00"/>
    <n v="8337"/>
    <n v="5791.03"/>
    <n v="0.30538203190596142"/>
  </r>
  <r>
    <x v="118"/>
    <s v="Bishops Stortford (2151)"/>
    <d v="2021-09-03T00:00:00"/>
    <d v="2021-09-05T00:00:00"/>
    <n v="6460"/>
    <n v="6073.0199999999995"/>
    <n v="5.9904024767801933E-2"/>
  </r>
  <r>
    <x v="119"/>
    <s v="East Grinstead (15)"/>
    <d v="2021-09-02T00:00:00"/>
    <d v="2021-09-05T00:00:00"/>
    <n v="5270"/>
    <n v="5027.3200000000006"/>
    <n v="4.6049335863377491E-2"/>
  </r>
  <r>
    <x v="120"/>
    <s v="Marsh Mills (0691)"/>
    <d v="2021-07-25T00:00:00"/>
    <d v="2021-07-30T00:00:00"/>
    <n v="5671.9"/>
    <n v="4462.6099999999997"/>
    <n v="0.21320721451365504"/>
  </r>
  <r>
    <x v="121"/>
    <s v="Hampstead High Street (6270)"/>
    <d v="2021-10-24T00:00:00"/>
    <d v="2021-10-30T00:00:00"/>
    <n v="7140"/>
    <n v="6480.73"/>
    <n v="9.233473389355748E-2"/>
  </r>
  <r>
    <x v="122"/>
    <s v="Woolton (834)"/>
    <d v="2021-09-05T00:00:00"/>
    <d v="2021-09-24T00:00:00"/>
    <n v="36040"/>
    <n v="30129.600000000006"/>
    <n v="0.16399556048834613"/>
  </r>
  <r>
    <x v="123"/>
    <s v="Merton (566)"/>
    <d v="2021-07-26T00:00:00"/>
    <d v="2021-07-28T00:00:00"/>
    <n v="2977.5"/>
    <n v="2548.1"/>
    <n v="0.14421494542401347"/>
  </r>
  <r>
    <x v="124"/>
    <s v="Wednesfield (2040)"/>
    <d v="2021-08-29T00:00:00"/>
    <d v="2021-09-17T00:00:00"/>
    <n v="36246"/>
    <n v="32138.999999999996"/>
    <n v="0.11330905479225303"/>
  </r>
  <r>
    <x v="125"/>
    <s v="Morden (2126)"/>
    <d v="2021-09-19T00:00:00"/>
    <d v="2021-10-02T00:00:00"/>
    <n v="8330"/>
    <n v="7388.9699999999993"/>
    <n v="0.11296878751500608"/>
  </r>
  <r>
    <x v="126"/>
    <s v="Wandsworth (69)"/>
    <d v="2021-08-01T00:00:00"/>
    <d v="2021-08-01T00:00:00"/>
    <n v="1181.075"/>
    <n v="863.36999999999989"/>
    <n v="0.26899646508477459"/>
  </r>
  <r>
    <x v="127"/>
    <s v="Bicester (2243)"/>
    <d v="2021-09-21T00:00:00"/>
    <d v="2021-09-24T00:00:00"/>
    <n v="5610"/>
    <n v="5163.59"/>
    <n v="7.9573975044563247E-2"/>
  </r>
  <r>
    <x v="128"/>
    <s v="Emersons Green (677)"/>
    <d v="2021-09-26T00:00:00"/>
    <d v="2021-01-30T00:00:00"/>
    <n v="70550"/>
    <n v="63626.3"/>
    <n v="9.8138908575478342E-2"/>
  </r>
  <r>
    <x v="129"/>
    <s v="Paignton (801)"/>
    <d v="2021-09-08T00:00:00"/>
    <d v="2021-09-10T00:00:00"/>
    <n v="2040"/>
    <n v="1822.4199999999998"/>
    <n v="0.10665686274509811"/>
  </r>
  <r>
    <x v="130"/>
    <s v="Dalston (539)"/>
    <d v="2021-09-26T00:00:00"/>
    <d v="2021-11-26T00:00:00"/>
    <n v="73100"/>
    <n v="64266.84000000004"/>
    <n v="0.1208366621067026"/>
  </r>
  <r>
    <x v="131"/>
    <s v="Bramingham Park (505)"/>
    <d v="2021-09-26T00:00:00"/>
    <d v="2021-10-02T00:00:00"/>
    <n v="10370"/>
    <n v="9138.5799999999981"/>
    <n v="0.11874831243973018"/>
  </r>
  <r>
    <x v="132"/>
    <s v="Chesterfield (849)"/>
    <d v="2021-09-26T00:00:00"/>
    <d v="2021-10-02T00:00:00"/>
    <n v="9350"/>
    <n v="8233.01"/>
    <n v="0.11946417112299462"/>
  </r>
  <r>
    <x v="133"/>
    <s v="Dronfield (2112)"/>
    <d v="2021-10-17T00:00:00"/>
    <d v="2022-02-05T00:00:00"/>
    <n v="36890"/>
    <n v="32998.070000000007"/>
    <n v="0.10550094876660322"/>
  </r>
  <r>
    <x v="134"/>
    <s v="Sedgefield (2303)"/>
    <d v="2021-09-16T00:00:00"/>
    <d v="2021-09-20T00:00:00"/>
    <n v="7650"/>
    <n v="6725.9800000000005"/>
    <n v="0.1207869281045751"/>
  </r>
  <r>
    <x v="135"/>
    <s v="Slough Uxbridge (2242)"/>
    <d v="2021-09-23T00:00:00"/>
    <d v="2021-09-26T00:00:00"/>
    <n v="10880"/>
    <n v="9515.31"/>
    <n v="0.12543106617647062"/>
  </r>
  <r>
    <x v="136"/>
    <s v="Weedon Road (648)"/>
    <d v="2021-09-28T00:00:00"/>
    <d v="2021-10-03T00:00:00"/>
    <n v="14620"/>
    <n v="12901.15"/>
    <n v="0.11756839945280441"/>
  </r>
  <r>
    <x v="137"/>
    <s v="North Cheam (38)"/>
    <d v="2021-09-26T00:00:00"/>
    <d v="2021-10-02T00:00:00"/>
    <n v="12580"/>
    <n v="11164.970000000001"/>
    <n v="0.1124825119236883"/>
  </r>
  <r>
    <x v="138"/>
    <s v="Chester le Street (4619)"/>
    <d v="2021-10-24T00:00:00"/>
    <d v="2021-10-30T00:00:00"/>
    <n v="5100"/>
    <n v="4513.05"/>
    <n v="0.11508823529411762"/>
  </r>
  <r>
    <x v="139"/>
    <s v="Bybrook (59)"/>
    <d v="2021-10-07T00:00:00"/>
    <d v="2021-10-10T00:00:00"/>
    <n v="6904"/>
    <n v="6254.2900000000009"/>
    <n v="9.4106315179605896E-2"/>
  </r>
  <r>
    <x v="140"/>
    <s v="Edenthorpe (732)"/>
    <d v="2021-09-30T00:00:00"/>
    <d v="2021-10-04T00:00:00"/>
    <n v="13117.6"/>
    <n v="11568.380000000001"/>
    <n v="0.11810239677989871"/>
  </r>
  <r>
    <x v="141"/>
    <s v="Ludlow (2355)"/>
    <d v="2021-11-15T00:00:00"/>
    <d v="2021-12-07T00:00:00"/>
    <n v="74218"/>
    <n v="65817.75999999998"/>
    <n v="0.11318332479991404"/>
  </r>
  <r>
    <x v="142"/>
    <s v="Burton on Trent (527)"/>
    <d v="2021-10-01T00:00:00"/>
    <d v="2021-10-04T00:00:00"/>
    <n v="6731.4"/>
    <n v="5890.39"/>
    <n v="0.12493834863475642"/>
  </r>
  <r>
    <x v="143"/>
    <s v="Fulwell (2144)"/>
    <d v="2021-10-13T00:00:00"/>
    <d v="2021-10-14T00:00:00"/>
    <n v="2761.6"/>
    <n v="2195.69"/>
    <n v="0.20492106025492463"/>
  </r>
  <r>
    <x v="144"/>
    <s v="Scarborough (2080)"/>
    <d v="2021-10-03T00:00:00"/>
    <d v="2021-10-14T00:00:00"/>
    <n v="27098.199999999997"/>
    <n v="23539.560000000005"/>
    <n v="0.13132385176875189"/>
  </r>
  <r>
    <x v="145"/>
    <s v="Kempston (757)"/>
    <d v="2021-11-14T00:00:00"/>
    <d v="2021-11-22T00:00:00"/>
    <n v="4080"/>
    <n v="3907.0400000000009"/>
    <n v="4.2392156862744883E-2"/>
  </r>
  <r>
    <x v="146"/>
    <s v="North Walsham (2046)"/>
    <d v="2021-09-16T00:00:00"/>
    <d v="2021-09-18T00:00:00"/>
    <n v="2071.1999999999998"/>
    <n v="1916.82"/>
    <n v="7.4536500579374221E-2"/>
  </r>
  <r>
    <x v="147"/>
    <s v="Drumchapel (523)"/>
    <d v="2021-10-03T00:00:00"/>
    <d v="2021-11-05T00:00:00"/>
    <n v="51780"/>
    <n v="45419.160000000018"/>
    <n v="0.12284356894553847"/>
  </r>
  <r>
    <x v="148"/>
    <s v="Chippenham (664)"/>
    <d v="2021-09-21T00:00:00"/>
    <d v="2021-09-26T00:00:00"/>
    <n v="10873.8"/>
    <n v="9847.7299999999977"/>
    <n v="9.4361676690761426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1A8151-C6D8-4AF4-A26D-8BD5C3796BA0}" name="PivotTable2" cacheId="15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J19:K30" firstHeaderRow="1" firstDataRow="1" firstDataCol="1"/>
  <pivotFields count="5">
    <pivotField axis="axisRow" showAll="0" sortType="descending">
      <items count="15">
        <item x="2"/>
        <item m="1" x="10"/>
        <item m="1" x="11"/>
        <item x="3"/>
        <item x="7"/>
        <item x="8"/>
        <item x="4"/>
        <item x="9"/>
        <item x="0"/>
        <item x="1"/>
        <item x="5"/>
        <item m="1" x="12"/>
        <item m="1" x="1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4" showAll="0"/>
    <pivotField numFmtId="44" showAll="0"/>
    <pivotField numFmtId="44" showAll="0"/>
    <pivotField dataField="1" numFmtId="10" showAll="0"/>
  </pivotFields>
  <rowFields count="1">
    <field x="0"/>
  </rowFields>
  <rowItems count="11">
    <i>
      <x v="8"/>
    </i>
    <i>
      <x v="9"/>
    </i>
    <i>
      <x/>
    </i>
    <i>
      <x v="3"/>
    </i>
    <i>
      <x v="6"/>
    </i>
    <i>
      <x v="10"/>
    </i>
    <i>
      <x v="13"/>
    </i>
    <i>
      <x v="4"/>
    </i>
    <i>
      <x v="5"/>
    </i>
    <i>
      <x v="7"/>
    </i>
    <i t="grand">
      <x/>
    </i>
  </rowItems>
  <colItems count="1">
    <i/>
  </colItems>
  <dataFields count="1">
    <dataField name="Sum of Sum of Margin" fld="4" baseField="0" baseItem="0" numFmtId="1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DB780F-4CCE-4F45-957C-8D4ED4170141}" name="HighBillingsLowMargin" cacheId="159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chartFormat="3">
  <location ref="B9:E36" firstHeaderRow="0" firstDataRow="1" firstDataCol="1"/>
  <pivotFields count="8">
    <pivotField axis="axisRow" showAll="0" measureFilter="1" sortType="descending">
      <items count="1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20"/>
        <item x="21"/>
        <item x="22"/>
        <item x="23"/>
        <item x="24"/>
        <item x="25"/>
        <item x="26"/>
        <item x="27"/>
        <item x="28"/>
        <item x="29"/>
        <item x="30"/>
        <item x="45"/>
        <item x="142"/>
        <item x="143"/>
        <item x="144"/>
        <item x="145"/>
        <item x="146"/>
        <item x="147"/>
        <item x="1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numFmtId="14" showAll="0"/>
    <pivotField dataField="1" numFmtId="44" showAll="0"/>
    <pivotField numFmtId="44" showAll="0"/>
    <pivotField dataField="1" numFmtId="10" showAll="0"/>
    <pivotField dataField="1" dragToRow="0" dragToCol="0" dragToPage="0" showAll="0" defaultSubtotal="0"/>
  </pivotFields>
  <rowFields count="1">
    <field x="0"/>
  </rowFields>
  <rowItems count="27">
    <i>
      <x v="23"/>
    </i>
    <i>
      <x v="22"/>
    </i>
    <i>
      <x v="68"/>
    </i>
    <i>
      <x v="62"/>
    </i>
    <i>
      <x v="27"/>
    </i>
    <i>
      <x v="92"/>
    </i>
    <i>
      <x v="25"/>
    </i>
    <i>
      <x v="94"/>
    </i>
    <i>
      <x v="21"/>
    </i>
    <i>
      <x v="63"/>
    </i>
    <i>
      <x v="129"/>
    </i>
    <i>
      <x v="118"/>
    </i>
    <i>
      <x v="20"/>
    </i>
    <i>
      <x v="95"/>
    </i>
    <i>
      <x v="116"/>
    </i>
    <i>
      <x v="74"/>
    </i>
    <i>
      <x v="147"/>
    </i>
    <i>
      <x v="87"/>
    </i>
    <i>
      <x v="121"/>
    </i>
    <i>
      <x v="112"/>
    </i>
    <i>
      <x v="110"/>
    </i>
    <i>
      <x v="89"/>
    </i>
    <i>
      <x v="81"/>
    </i>
    <i>
      <x v="82"/>
    </i>
    <i>
      <x v="80"/>
    </i>
    <i>
      <x v="144"/>
    </i>
    <i>
      <x v="64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illings" fld="4" baseField="0" baseItem="0" numFmtId="166"/>
    <dataField name="Sum of Margin" fld="6" baseField="0" baseItem="0" numFmtId="10"/>
    <dataField name="Sum of Focus" fld="7" baseField="0" baseItem="0" numFmtId="1"/>
  </dataFields>
  <formats count="5">
    <format dxfId="23">
      <pivotArea collapsedLevelsAreSubtotals="1" fieldPosition="0">
        <references count="2">
          <reference field="4294967294" count="1" selected="0">
            <x v="1"/>
          </reference>
          <reference field="0" count="1">
            <x v="0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">
      <pivotArea outline="0" fieldPosition="0">
        <references count="1">
          <reference field="4294967294" count="1">
            <x v="1"/>
          </reference>
        </references>
      </pivotArea>
    </format>
    <format dxfId="20">
      <pivotArea outline="0" fieldPosition="0">
        <references count="1">
          <reference field="4294967294" count="1">
            <x v="0"/>
          </reference>
        </references>
      </pivotArea>
    </format>
    <format dxfId="19">
      <pivotArea outline="0" fieldPosition="0">
        <references count="1">
          <reference field="4294967294" count="1">
            <x v="2"/>
          </reference>
        </references>
      </pivotArea>
    </format>
  </formats>
  <chartFormats count="7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1"/>
          </reference>
          <reference field="0" count="1" selected="0">
            <x v="74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GreaterThanOrEqual" evalOrder="-1" id="1" iMeasureFld="0">
      <autoFilter ref="A1">
        <filterColumn colId="0">
          <customFilters>
            <customFilter operator="greaterThanOrEqual" val="25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14B2EA-E9D0-4668-BD9C-369FDAD30DD9}" name="PivotTable1" cacheId="15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C19:D30" firstHeaderRow="1" firstDataRow="1" firstDataCol="1"/>
  <pivotFields count="5">
    <pivotField axis="axisRow" showAll="0" sortType="descending">
      <items count="16">
        <item m="1" x="12"/>
        <item x="2"/>
        <item x="5"/>
        <item x="8"/>
        <item x="7"/>
        <item x="6"/>
        <item x="4"/>
        <item x="1"/>
        <item x="9"/>
        <item m="1" x="11"/>
        <item m="1" x="10"/>
        <item m="1" x="13"/>
        <item m="1" x="14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4" showAll="0"/>
    <pivotField numFmtId="44" showAll="0"/>
    <pivotField dataField="1" numFmtId="44" showAll="0"/>
    <pivotField numFmtId="10" showAll="0"/>
  </pivotFields>
  <rowFields count="1">
    <field x="0"/>
  </rowFields>
  <rowItems count="11">
    <i>
      <x v="13"/>
    </i>
    <i>
      <x v="7"/>
    </i>
    <i>
      <x v="1"/>
    </i>
    <i>
      <x v="14"/>
    </i>
    <i>
      <x v="6"/>
    </i>
    <i>
      <x v="2"/>
    </i>
    <i>
      <x v="5"/>
    </i>
    <i>
      <x v="4"/>
    </i>
    <i>
      <x v="3"/>
    </i>
    <i>
      <x v="8"/>
    </i>
    <i t="grand">
      <x/>
    </i>
  </rowItems>
  <colItems count="1">
    <i/>
  </colItems>
  <dataFields count="1">
    <dataField name="Sum of Total Revenue" fld="3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FB5338-2133-4E80-ACB3-4BBD9494CD84}" name="Teamsheet_Data" cacheId="156" applyNumberFormats="0" applyBorderFormats="0" applyFontFormats="0" applyPatternFormats="0" applyAlignmentFormats="0" applyWidthHeightFormats="1" dataCaption="Values" updatedVersion="7" minRefreshableVersion="5" useAutoFormatting="1" rowGrandTotals="0" colGrandTotals="0" itemPrintTitles="1" createdVersion="7" indent="0" outline="1" outlineData="1" multipleFieldFilters="0" rowHeaderCaption="Job Ref">
  <location ref="AF2:AJ12" firstHeaderRow="0" firstDataRow="1" firstDataCol="1"/>
  <pivotFields count="12">
    <pivotField axis="axisRow" showAll="0" measureFilter="1" sortType="descending" defaultSubtotal="0">
      <items count="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31"/>
        <item x="32"/>
        <item x="33"/>
        <item x="34"/>
        <item x="35"/>
        <item x="36"/>
        <item x="37"/>
        <item m="1" x="152"/>
        <item x="38"/>
        <item x="39"/>
        <item x="40"/>
        <item x="41"/>
        <item x="46"/>
        <item m="1" x="149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m="1" x="153"/>
        <item x="70"/>
        <item x="71"/>
        <item x="72"/>
        <item x="73"/>
        <item m="1" x="150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m="1" x="151"/>
        <item x="63"/>
        <item x="64"/>
        <item x="65"/>
        <item x="124"/>
        <item x="125"/>
        <item x="126"/>
        <item m="1" x="154"/>
        <item x="127"/>
        <item x="128"/>
        <item x="18"/>
        <item x="19"/>
        <item x="66"/>
        <item x="67"/>
        <item x="68"/>
        <item x="42"/>
        <item x="43"/>
        <item x="44"/>
        <item x="69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20"/>
        <item x="21"/>
        <item x="22"/>
        <item x="23"/>
        <item x="24"/>
        <item x="25"/>
        <item x="26"/>
        <item x="27"/>
        <item x="28"/>
        <item x="29"/>
        <item x="30"/>
        <item x="45"/>
        <item x="142"/>
        <item x="143"/>
        <item x="144"/>
        <item x="145"/>
        <item x="146"/>
        <item x="147"/>
        <item x="14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numFmtId="14" showAll="0" defaultSubtotal="0"/>
    <pivotField numFmtId="14" showAll="0" defaultSubtotal="0"/>
    <pivotField dataField="1" numFmtId="44" showAll="0" defaultSubtotal="0"/>
    <pivotField dataField="1" numFmtId="44" showAll="0" defaultSubtotal="0"/>
    <pivotField dataField="1" numFmtId="10" showAll="0" defaultSubtotal="0"/>
    <pivotField showAll="0" defaultSubtotal="0"/>
    <pivotField showAll="0" defaultSubtotal="0"/>
    <pivotField showAll="0" defaultSubtotal="0"/>
    <pivotField showAll="0" defaultSubtotal="0"/>
    <pivotField dataField="1" dragToRow="0" dragToCol="0" dragToPage="0" showAll="0" defaultSubtotal="0"/>
  </pivotFields>
  <rowFields count="1">
    <field x="0"/>
  </rowFields>
  <rowItems count="10">
    <i>
      <x v="21"/>
    </i>
    <i>
      <x v="60"/>
    </i>
    <i>
      <x v="20"/>
    </i>
    <i>
      <x v="23"/>
    </i>
    <i>
      <x v="84"/>
    </i>
    <i>
      <x v="19"/>
    </i>
    <i>
      <x v="54"/>
    </i>
    <i>
      <x v="18"/>
    </i>
    <i>
      <x v="66"/>
    </i>
    <i>
      <x v="26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Revenue" fld="11" baseField="0" baseItem="14" numFmtId="42"/>
    <dataField name="Billings Total" fld="4" baseField="0" baseItem="14" numFmtId="44"/>
    <dataField name="Cost Total" fld="5" baseField="0" baseItem="14" numFmtId="44"/>
    <dataField name="Margin %" fld="6" baseField="0" baseItem="14" numFmtId="10"/>
  </dataFields>
  <formats count="7">
    <format dxfId="48">
      <pivotArea collapsedLevelsAreSubtotals="1" fieldPosition="0">
        <references count="2">
          <reference field="4294967294" count="1" selected="0">
            <x v="3"/>
          </reference>
          <reference field="0" count="1">
            <x v="1"/>
          </reference>
        </references>
      </pivotArea>
    </format>
    <format dxfId="4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3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4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Dark6" showRowHeaders="1" showColHeaders="1" showRowStripes="0" showColStripes="0" showLastColumn="1"/>
  <filters count="2">
    <filter fld="3" type="dateBetween" evalOrder="-1" id="9" name="End Date">
      <autoFilter ref="A1">
        <filterColumn colId="0">
          <customFilters and="1">
            <customFilter operator="greaterThanOrEqual" val="44501"/>
            <customFilter operator="lessThanOrEqual" val="4453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0" type="count" evalOrder="-1" id="1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8F0641-1082-4400-A2E2-B69F4F34B527}" name="PivotTable4" cacheId="15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S1:AT12" firstHeaderRow="1" firstDataRow="1" firstDataCol="1"/>
  <pivotFields count="5">
    <pivotField axis="axisRow" showAll="0">
      <items count="16">
        <item m="1" x="12"/>
        <item x="2"/>
        <item x="5"/>
        <item x="8"/>
        <item x="7"/>
        <item x="6"/>
        <item x="4"/>
        <item x="1"/>
        <item x="9"/>
        <item m="1" x="10"/>
        <item m="1" x="11"/>
        <item m="1" x="13"/>
        <item m="1" x="14"/>
        <item x="0"/>
        <item x="3"/>
        <item t="default"/>
      </items>
    </pivotField>
    <pivotField numFmtId="44" showAll="0"/>
    <pivotField numFmtId="44" showAll="0"/>
    <pivotField dataField="1" numFmtId="44" showAll="0"/>
    <pivotField numFmtId="10" showAll="0"/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3"/>
    </i>
    <i>
      <x v="14"/>
    </i>
    <i t="grand">
      <x/>
    </i>
  </rowItems>
  <colItems count="1">
    <i/>
  </colItems>
  <dataFields count="1">
    <dataField name="Sum of Total Reven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9B4FA9-B770-44B0-A60A-724FE4773CBC}" name="PivotTable3" cacheId="156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4">
  <location ref="AL15:AP25" firstHeaderRow="0" firstDataRow="1" firstDataCol="1"/>
  <pivotFields count="12">
    <pivotField axis="axisRow" showAll="0" measureFilter="1" sortType="descending">
      <items count="1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31"/>
        <item x="32"/>
        <item x="33"/>
        <item x="34"/>
        <item x="35"/>
        <item x="36"/>
        <item x="37"/>
        <item m="1" x="152"/>
        <item x="38"/>
        <item x="39"/>
        <item x="40"/>
        <item x="46"/>
        <item m="1" x="149"/>
        <item x="47"/>
        <item x="48"/>
        <item x="49"/>
        <item x="50"/>
        <item x="51"/>
        <item x="52"/>
        <item x="53"/>
        <item x="54"/>
        <item x="55"/>
        <item x="56"/>
        <item x="70"/>
        <item x="71"/>
        <item x="73"/>
        <item m="1" x="150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58"/>
        <item x="57"/>
        <item m="1" x="153"/>
        <item x="14"/>
        <item x="15"/>
        <item x="16"/>
        <item x="17"/>
        <item x="59"/>
        <item x="72"/>
        <item x="108"/>
        <item x="109"/>
        <item x="110"/>
        <item x="111"/>
        <item x="60"/>
        <item x="112"/>
        <item x="113"/>
        <item x="114"/>
        <item x="41"/>
        <item x="61"/>
        <item x="62"/>
        <item x="115"/>
        <item x="116"/>
        <item x="117"/>
        <item x="118"/>
        <item x="119"/>
        <item x="120"/>
        <item x="121"/>
        <item x="122"/>
        <item x="123"/>
        <item m="1" x="151"/>
        <item x="63"/>
        <item x="64"/>
        <item x="65"/>
        <item x="124"/>
        <item x="125"/>
        <item x="126"/>
        <item m="1" x="154"/>
        <item x="127"/>
        <item x="128"/>
        <item x="18"/>
        <item x="19"/>
        <item x="66"/>
        <item x="67"/>
        <item x="68"/>
        <item x="42"/>
        <item x="43"/>
        <item x="44"/>
        <item x="69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20"/>
        <item x="21"/>
        <item x="22"/>
        <item x="23"/>
        <item x="24"/>
        <item x="25"/>
        <item x="26"/>
        <item x="27"/>
        <item x="28"/>
        <item x="29"/>
        <item x="30"/>
        <item x="45"/>
        <item x="142"/>
        <item x="143"/>
        <item x="144"/>
        <item x="145"/>
        <item x="146"/>
        <item x="147"/>
        <item x="148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showAll="0"/>
    <pivotField numFmtId="14" showAll="0"/>
    <pivotField numFmtId="14" showAll="0"/>
    <pivotField dataField="1" numFmtId="44" showAll="0"/>
    <pivotField dataField="1" numFmtId="44" showAll="0"/>
    <pivotField dataField="1" numFmtId="10"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0"/>
  </rowFields>
  <rowItems count="10">
    <i>
      <x v="69"/>
    </i>
    <i>
      <x v="84"/>
    </i>
    <i>
      <x v="1"/>
    </i>
    <i>
      <x v="79"/>
    </i>
    <i>
      <x v="46"/>
    </i>
    <i>
      <x v="99"/>
    </i>
    <i>
      <x v="151"/>
    </i>
    <i>
      <x v="80"/>
    </i>
    <i>
      <x v="81"/>
    </i>
    <i>
      <x v="48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Billings" fld="4" baseField="0" baseItem="0" numFmtId="44"/>
    <dataField name="Sum of Cost" fld="5" baseField="0" baseItem="0" numFmtId="44"/>
    <dataField name="Sum of Revenue" fld="11" baseField="0" baseItem="0" numFmtId="44"/>
    <dataField name="Sum of Margin" fld="6" baseField="0" baseItem="0" numFmtId="10"/>
  </dataFields>
  <formats count="6">
    <format dxfId="54">
      <pivotArea collapsedLevelsAreSubtotals="1" fieldPosition="0">
        <references count="2">
          <reference field="4294967294" count="1" selected="0">
            <x v="3"/>
          </reference>
          <reference field="0" count="1">
            <x v="1"/>
          </reference>
        </references>
      </pivotArea>
    </format>
    <format dxfId="5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5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9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Dark6" showRowHeaders="1" showColHeaders="1" showRowStripes="0" showColStripes="0" showLastColumn="1"/>
  <filters count="1">
    <filter fld="0" type="count" evalOrder="-1" id="4" iMeasureFld="3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708EBB-1DE1-4885-A7EA-D9878B4F5084}" name="PivotTable2" cacheId="156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F15:AJ25" firstHeaderRow="0" firstDataRow="1" firstDataCol="1"/>
  <pivotFields count="12">
    <pivotField axis="axisRow" showAll="0" measureFilter="1" sortType="descending">
      <items count="1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31"/>
        <item x="32"/>
        <item x="33"/>
        <item x="34"/>
        <item x="35"/>
        <item x="36"/>
        <item x="37"/>
        <item m="1" x="152"/>
        <item x="38"/>
        <item x="39"/>
        <item x="40"/>
        <item x="46"/>
        <item m="1" x="149"/>
        <item x="47"/>
        <item x="48"/>
        <item x="49"/>
        <item x="50"/>
        <item x="51"/>
        <item x="52"/>
        <item x="53"/>
        <item x="54"/>
        <item x="55"/>
        <item x="56"/>
        <item x="70"/>
        <item x="71"/>
        <item x="73"/>
        <item m="1" x="150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58"/>
        <item x="57"/>
        <item m="1" x="153"/>
        <item x="14"/>
        <item x="15"/>
        <item x="16"/>
        <item x="17"/>
        <item x="59"/>
        <item x="72"/>
        <item x="108"/>
        <item x="109"/>
        <item x="110"/>
        <item x="111"/>
        <item x="60"/>
        <item x="112"/>
        <item x="113"/>
        <item x="114"/>
        <item x="41"/>
        <item x="61"/>
        <item x="62"/>
        <item x="115"/>
        <item x="116"/>
        <item x="117"/>
        <item x="118"/>
        <item x="119"/>
        <item x="120"/>
        <item x="121"/>
        <item x="122"/>
        <item x="123"/>
        <item m="1" x="151"/>
        <item x="63"/>
        <item x="64"/>
        <item x="65"/>
        <item x="124"/>
        <item x="125"/>
        <item x="126"/>
        <item m="1" x="154"/>
        <item x="127"/>
        <item x="128"/>
        <item x="18"/>
        <item x="19"/>
        <item x="66"/>
        <item x="67"/>
        <item x="68"/>
        <item x="42"/>
        <item x="43"/>
        <item x="44"/>
        <item x="69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20"/>
        <item x="21"/>
        <item x="22"/>
        <item x="23"/>
        <item x="24"/>
        <item x="25"/>
        <item x="26"/>
        <item x="27"/>
        <item x="28"/>
        <item x="29"/>
        <item x="30"/>
        <item x="45"/>
        <item x="142"/>
        <item x="143"/>
        <item x="144"/>
        <item x="145"/>
        <item x="146"/>
        <item x="147"/>
        <item x="148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showAll="0"/>
    <pivotField numFmtId="14" showAll="0"/>
    <pivotField numFmtId="14" showAll="0"/>
    <pivotField dataField="1" numFmtId="44" showAll="0"/>
    <pivotField dataField="1" numFmtId="44" showAll="0"/>
    <pivotField dataField="1" numFmtId="10"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0"/>
  </rowFields>
  <rowItems count="10">
    <i>
      <x v="17"/>
    </i>
    <i>
      <x v="67"/>
    </i>
    <i>
      <x v="76"/>
    </i>
    <i>
      <x v="97"/>
    </i>
    <i>
      <x v="38"/>
    </i>
    <i>
      <x v="6"/>
    </i>
    <i>
      <x v="106"/>
    </i>
    <i>
      <x v="83"/>
    </i>
    <i>
      <x v="82"/>
    </i>
    <i>
      <x v="29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Billings" fld="4" baseField="0" baseItem="0" numFmtId="44"/>
    <dataField name="Sum of Cost" fld="5" baseField="0" baseItem="0" numFmtId="44"/>
    <dataField name="Sum of Revenue" fld="11" baseField="0" baseItem="0" numFmtId="44"/>
    <dataField name="Sum of Margin" fld="6" baseField="0" baseItem="0" numFmtId="10"/>
  </dataFields>
  <formats count="6">
    <format dxfId="60">
      <pivotArea collapsedLevelsAreSubtotals="1" fieldPosition="0">
        <references count="2">
          <reference field="4294967294" count="1" selected="0">
            <x v="3"/>
          </reference>
          <reference field="0" count="1">
            <x v="1"/>
          </reference>
        </references>
      </pivotArea>
    </format>
    <format dxfId="5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5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5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5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</formats>
  <pivotTableStyleInfo name="PivotStyleDark6" showRowHeaders="1" showColHeaders="1" showRowStripes="0" showColStripes="0" showLastColumn="1"/>
  <filters count="1">
    <filter fld="0" type="count" evalOrder="-1" id="3" iMeasureFld="3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A7A234-21A1-48B5-A52C-7850AD9D7FB1}" name="PivotTable1" cacheId="156" applyNumberFormats="0" applyBorderFormats="0" applyFontFormats="0" applyPatternFormats="0" applyAlignmentFormats="0" applyWidthHeightFormats="1" dataCaption="Values" updatedVersion="7" minRefreshableVersion="5" useAutoFormatting="1" rowGrandTotals="0" colGrandTotals="0" itemPrintTitles="1" createdVersion="7" indent="0" outline="1" outlineData="1" multipleFieldFilters="0" chartFormat="1" rowHeaderCaption="Job Ref">
  <location ref="AL2:AP12" firstHeaderRow="0" firstDataRow="1" firstDataCol="1"/>
  <pivotFields count="12">
    <pivotField axis="axisRow" showAll="0" measureFilter="1" sortType="descending" defaultSubtotal="0">
      <items count="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31"/>
        <item x="32"/>
        <item x="33"/>
        <item x="34"/>
        <item x="35"/>
        <item x="36"/>
        <item x="37"/>
        <item m="1" x="152"/>
        <item x="38"/>
        <item x="39"/>
        <item x="40"/>
        <item x="46"/>
        <item m="1" x="149"/>
        <item x="47"/>
        <item x="48"/>
        <item x="49"/>
        <item x="50"/>
        <item x="51"/>
        <item x="52"/>
        <item x="53"/>
        <item x="54"/>
        <item x="55"/>
        <item x="56"/>
        <item x="70"/>
        <item x="71"/>
        <item x="73"/>
        <item m="1" x="150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58"/>
        <item x="57"/>
        <item m="1" x="153"/>
        <item x="14"/>
        <item x="15"/>
        <item x="16"/>
        <item x="17"/>
        <item x="59"/>
        <item x="72"/>
        <item x="108"/>
        <item x="109"/>
        <item x="110"/>
        <item x="111"/>
        <item x="60"/>
        <item x="112"/>
        <item x="113"/>
        <item x="114"/>
        <item x="41"/>
        <item x="61"/>
        <item x="62"/>
        <item x="115"/>
        <item x="116"/>
        <item x="117"/>
        <item x="118"/>
        <item x="119"/>
        <item x="120"/>
        <item x="121"/>
        <item x="122"/>
        <item x="123"/>
        <item m="1" x="151"/>
        <item x="63"/>
        <item x="64"/>
        <item x="65"/>
        <item x="124"/>
        <item x="125"/>
        <item x="126"/>
        <item m="1" x="154"/>
        <item x="127"/>
        <item x="128"/>
        <item x="18"/>
        <item x="19"/>
        <item x="66"/>
        <item x="67"/>
        <item x="68"/>
        <item x="42"/>
        <item x="43"/>
        <item x="44"/>
        <item x="69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20"/>
        <item x="21"/>
        <item x="22"/>
        <item x="23"/>
        <item x="24"/>
        <item x="25"/>
        <item x="26"/>
        <item x="27"/>
        <item x="28"/>
        <item x="29"/>
        <item x="30"/>
        <item x="45"/>
        <item x="142"/>
        <item x="143"/>
        <item x="144"/>
        <item x="145"/>
        <item x="146"/>
        <item x="147"/>
        <item x="148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 defaultSubtotal="0"/>
    <pivotField numFmtId="14" showAll="0" defaultSubtotal="0"/>
    <pivotField numFmtId="14" showAll="0" defaultSubtotal="0"/>
    <pivotField dataField="1" numFmtId="44" showAll="0" defaultSubtotal="0"/>
    <pivotField dataField="1" numFmtId="44" showAll="0" defaultSubtotal="0"/>
    <pivotField dataField="1" numFmtId="10" showAll="0" defaultSubtotal="0"/>
    <pivotField showAll="0" defaultSubtotal="0"/>
    <pivotField showAll="0" defaultSubtotal="0"/>
    <pivotField showAll="0" defaultSubtotal="0"/>
    <pivotField showAll="0" defaultSubtotal="0"/>
    <pivotField dataField="1" dragToRow="0" dragToCol="0" dragToPage="0" showAll="0" defaultSubtotal="0"/>
  </pivotFields>
  <rowFields count="1">
    <field x="0"/>
  </rowFields>
  <rowItems count="10">
    <i>
      <x v="152"/>
    </i>
    <i>
      <x v="35"/>
    </i>
    <i>
      <x v="80"/>
    </i>
    <i>
      <x v="36"/>
    </i>
    <i>
      <x v="31"/>
    </i>
    <i>
      <x v="81"/>
    </i>
    <i>
      <x v="28"/>
    </i>
    <i>
      <x v="27"/>
    </i>
    <i>
      <x v="18"/>
    </i>
    <i>
      <x v="48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illings Total" fld="4" baseField="0" baseItem="14" numFmtId="44"/>
    <dataField name="Cost Total" fld="5" baseField="0" baseItem="14" numFmtId="44"/>
    <dataField name="Total Revenue" fld="11" baseField="0" baseItem="14" numFmtId="44"/>
    <dataField name="Margin %" fld="6" baseField="0" baseItem="14" numFmtId="10"/>
  </dataFields>
  <formats count="6">
    <format dxfId="66">
      <pivotArea collapsedLevelsAreSubtotals="1" fieldPosition="0">
        <references count="2">
          <reference field="4294967294" count="1" selected="0">
            <x v="3"/>
          </reference>
          <reference field="0" count="1">
            <x v="1"/>
          </reference>
        </references>
      </pivotArea>
    </format>
    <format dxfId="6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6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6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1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</formats>
  <pivotTableStyleInfo name="PivotStyleDark6" showRowHeaders="1" showColHeaders="1" showRowStripes="0" showColStripes="0" showLastColumn="1"/>
  <filters count="2">
    <filter fld="0" type="count" evalOrder="-1" id="10" iMeasureFld="2">
      <autoFilter ref="A1">
        <filterColumn colId="0">
          <top10 top="0" val="10" filterVal="10"/>
        </filterColumn>
      </autoFilter>
    </filter>
    <filter fld="3" type="dateBetween" evalOrder="-1" id="9" name="End Date">
      <autoFilter ref="A1">
        <filterColumn colId="0">
          <customFilters and="1">
            <customFilter operator="greaterThanOrEqual" val="44501"/>
            <customFilter operator="lessThanOrEqual" val="4453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082AF8-CF29-423E-B549-2FDCC4C10F96}" name="PivotTable5" cacheId="15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S14:AT25" firstHeaderRow="1" firstDataRow="1" firstDataCol="1"/>
  <pivotFields count="5">
    <pivotField axis="axisRow" showAll="0">
      <items count="15">
        <item x="2"/>
        <item m="1" x="10"/>
        <item m="1" x="11"/>
        <item x="3"/>
        <item x="7"/>
        <item x="8"/>
        <item x="4"/>
        <item x="9"/>
        <item x="0"/>
        <item x="1"/>
        <item x="5"/>
        <item m="1" x="12"/>
        <item m="1" x="13"/>
        <item x="6"/>
        <item t="default"/>
      </items>
    </pivotField>
    <pivotField numFmtId="44" showAll="0"/>
    <pivotField numFmtId="44" showAll="0"/>
    <pivotField numFmtId="44" showAll="0"/>
    <pivotField dataField="1" numFmtId="10" showAll="0"/>
  </pivotFields>
  <rowFields count="1">
    <field x="0"/>
  </rowFields>
  <rowItems count="11">
    <i>
      <x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3"/>
    </i>
    <i t="grand">
      <x/>
    </i>
  </rowItems>
  <colItems count="1">
    <i/>
  </colItems>
  <dataFields count="1">
    <dataField name="Sum of Sum of Margin" fld="4" baseField="0" baseItem="0" numFmtId="10"/>
  </dataFields>
  <formats count="1">
    <format dxfId="6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198265-3DA5-44DC-852D-0D4B7AE28F77}" name="PivotTable6" cacheId="156" applyNumberFormats="0" applyBorderFormats="0" applyFontFormats="0" applyPatternFormats="0" applyAlignmentFormats="0" applyWidthHeightFormats="1" dataCaption="Values" updatedVersion="7" minRefreshableVersion="5" useAutoFormatting="1" rowGrandTotals="0" colGrandTotals="0" itemPrintTitles="1" createdVersion="7" indent="0" outline="1" outlineData="1" multipleFieldFilters="0" chartFormat="1" rowHeaderCaption="Job Ref">
  <location ref="AW2:BA5" firstHeaderRow="0" firstDataRow="1" firstDataCol="1"/>
  <pivotFields count="12">
    <pivotField axis="axisRow" showAll="0" measureFilter="1" sortType="descending" defaultSubtotal="0">
      <items count="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31"/>
        <item x="32"/>
        <item x="33"/>
        <item x="34"/>
        <item x="35"/>
        <item x="36"/>
        <item x="37"/>
        <item m="1" x="152"/>
        <item x="38"/>
        <item x="39"/>
        <item x="40"/>
        <item x="46"/>
        <item m="1" x="149"/>
        <item x="47"/>
        <item x="48"/>
        <item x="49"/>
        <item x="50"/>
        <item x="51"/>
        <item x="52"/>
        <item x="53"/>
        <item x="54"/>
        <item x="55"/>
        <item x="56"/>
        <item x="70"/>
        <item x="71"/>
        <item x="73"/>
        <item m="1" x="150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58"/>
        <item x="57"/>
        <item m="1" x="153"/>
        <item x="14"/>
        <item x="15"/>
        <item x="16"/>
        <item x="17"/>
        <item x="59"/>
        <item x="72"/>
        <item x="108"/>
        <item x="109"/>
        <item x="110"/>
        <item x="111"/>
        <item x="60"/>
        <item x="112"/>
        <item x="113"/>
        <item x="114"/>
        <item x="41"/>
        <item x="61"/>
        <item x="62"/>
        <item x="115"/>
        <item x="116"/>
        <item x="117"/>
        <item x="118"/>
        <item x="119"/>
        <item x="120"/>
        <item x="121"/>
        <item x="122"/>
        <item x="123"/>
        <item m="1" x="151"/>
        <item x="63"/>
        <item x="64"/>
        <item x="65"/>
        <item x="124"/>
        <item x="125"/>
        <item x="126"/>
        <item m="1" x="154"/>
        <item x="127"/>
        <item x="128"/>
        <item x="18"/>
        <item x="19"/>
        <item x="66"/>
        <item x="67"/>
        <item x="68"/>
        <item x="42"/>
        <item x="43"/>
        <item x="44"/>
        <item x="69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20"/>
        <item x="21"/>
        <item x="22"/>
        <item x="23"/>
        <item x="24"/>
        <item x="25"/>
        <item x="26"/>
        <item x="27"/>
        <item x="28"/>
        <item x="29"/>
        <item x="30"/>
        <item x="45"/>
        <item x="142"/>
        <item x="143"/>
        <item x="144"/>
        <item x="145"/>
        <item x="146"/>
        <item x="147"/>
        <item x="148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 defaultSubtotal="0"/>
    <pivotField numFmtId="14" showAll="0" defaultSubtotal="0"/>
    <pivotField numFmtId="14" showAll="0" defaultSubtotal="0"/>
    <pivotField dataField="1" numFmtId="44" showAll="0" defaultSubtotal="0"/>
    <pivotField dataField="1" numFmtId="44" showAll="0" defaultSubtotal="0"/>
    <pivotField dataField="1" numFmtId="10" showAll="0" defaultSubtotal="0"/>
    <pivotField showAll="0" defaultSubtotal="0"/>
    <pivotField showAll="0" defaultSubtotal="0"/>
    <pivotField showAll="0" defaultSubtotal="0"/>
    <pivotField showAll="0" defaultSubtotal="0"/>
    <pivotField dataField="1" dragToRow="0" dragToCol="0" dragToPage="0" showAll="0" defaultSubtotal="0"/>
  </pivotFields>
  <rowFields count="1">
    <field x="0"/>
  </rowFields>
  <rowItems count="3">
    <i>
      <x v="17"/>
    </i>
    <i>
      <x v="47"/>
    </i>
    <i>
      <x v="16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illings Total" fld="4" baseField="0" baseItem="14" numFmtId="44"/>
    <dataField name="Cost Total" fld="5" baseField="0" baseItem="14" numFmtId="44"/>
    <dataField name="Total Revenue" fld="11" baseField="0" baseItem="14" numFmtId="44"/>
    <dataField name="Margin %" fld="6" baseField="0" baseItem="14" numFmtId="10"/>
  </dataFields>
  <formats count="6">
    <format dxfId="73">
      <pivotArea collapsedLevelsAreSubtotals="1" fieldPosition="0">
        <references count="2">
          <reference field="4294967294" count="1" selected="0">
            <x v="3"/>
          </reference>
          <reference field="0" count="1">
            <x v="1"/>
          </reference>
        </references>
      </pivotArea>
    </format>
    <format dxfId="7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7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6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8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</formats>
  <pivotTableStyleInfo name="PivotStyleDark6" showRowHeaders="1" showColHeaders="1" showRowStripes="0" showColStripes="0" showLastColumn="1"/>
  <filters count="2">
    <filter fld="3" type="dateBetween" evalOrder="-1" id="9" name="End Date">
      <autoFilter ref="A1">
        <filterColumn colId="0">
          <customFilters and="1">
            <customFilter operator="greaterThanOrEqual" val="44501"/>
            <customFilter operator="lessThanOrEqual" val="4453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0" type="valueGreaterThanOrEqual" evalOrder="-1" id="11" iMeasureFld="2">
      <autoFilter ref="A1">
        <filterColumn colId="0">
          <customFilters>
            <customFilter operator="greaterThanOrEqual" val="2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8ECAA51-8E1C-4520-B890-2139F83AC125}" name="Table18" displayName="Table18" ref="B1:L150" totalsRowShown="0" headerRowDxfId="41" dataDxfId="40">
  <autoFilter ref="B1:L150" xr:uid="{16BEC0D7-993A-42A2-8B7A-230D60EB2687}"/>
  <sortState xmlns:xlrd2="http://schemas.microsoft.com/office/spreadsheetml/2017/richdata2" ref="B2:L125">
    <sortCondition ref="B1:B125"/>
  </sortState>
  <tableColumns count="11">
    <tableColumn id="2" xr3:uid="{35DF67D1-8A9D-446A-82BD-1E53821E76BD}" name="Job Code" dataDxfId="39"/>
    <tableColumn id="1" xr3:uid="{84391F91-2737-498A-8983-29569D4B8E31}" name="Store" dataDxfId="38"/>
    <tableColumn id="3" xr3:uid="{CA07D0C8-E394-4849-A3DB-44915B43DFEC}" name="Start Date" dataDxfId="37"/>
    <tableColumn id="4" xr3:uid="{1AF94B98-2666-4756-AD35-6E53518CCC80}" name="End Date" dataDxfId="36"/>
    <tableColumn id="5" xr3:uid="{7D1AE34A-CEB5-4E02-A835-1CFE27A35C71}" name="Billings" dataDxfId="35" dataCellStyle="Currency"/>
    <tableColumn id="6" xr3:uid="{2A32FDEA-32D3-4E2B-98D3-A7AEEF4847B1}" name="Cost" dataDxfId="34" dataCellStyle="Currency"/>
    <tableColumn id="7" xr3:uid="{A8E4E49D-BD7F-42E3-8BE5-9A728D4385C8}" name="Margin" dataDxfId="33" dataCellStyle="Percent">
      <calculatedColumnFormula>SUM(Table18[[#This Row],[Billings]]-Table18[[#This Row],[Cost]])/Table18[[#This Row],[Billings]]</calculatedColumnFormula>
    </tableColumn>
    <tableColumn id="8" xr3:uid="{FEB7B988-CB07-474E-BDEB-07F3524C73F6}" name="Prev. Billings" dataDxfId="32" dataCellStyle="Currency"/>
    <tableColumn id="9" xr3:uid="{51167BAE-DC47-4903-9A0F-6309479E0A37}" name="Prev. Cost" dataDxfId="31" dataCellStyle="Currency"/>
    <tableColumn id="10" xr3:uid="{53F6C169-8BCA-480D-8A16-9031FCC2C3F4}" name="Prev. Margin" dataDxfId="30" dataCellStyle="Percent">
      <calculatedColumnFormula>SUM(Table18[[#This Row],[Prev. Billings]]-Table18[[#This Row],[Prev. Cost]])/Table18[[#This Row],[Prev. Billings]]</calculatedColumnFormula>
    </tableColumn>
    <tableColumn id="11" xr3:uid="{0EA03396-478F-43C8-A96B-0808D9D8036B}" name="Variance" dataDxfId="29">
      <calculatedColumnFormula>SUM(Table18[[#This Row],[Margin]]-Table18[[#This Row],[Prev. Margin]])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89FAE4-2F74-4B76-8B60-19C88770F4A4}" name="Table1" displayName="Table1" ref="N32:O37" totalsRowShown="0" headerRowDxfId="28" dataDxfId="27" tableBorderDxfId="26">
  <tableColumns count="2">
    <tableColumn id="1" xr3:uid="{652312C2-619C-4D5F-8FBE-1B353FBC907F}" name="CLIENT" dataDxfId="25"/>
    <tableColumn id="2" xr3:uid="{483C920F-24BE-4E4C-B481-9246FE2B22F2}" name="MARGIN" dataDxfId="24"/>
  </tableColumns>
  <tableStyleInfo name="TableStyleDark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B31DAD-5803-46AB-96B4-4DA5AEC2B29D}" name="CompletedJobs" displayName="CompletedJobs" ref="B1:O163" totalsRowShown="0" headerRowDxfId="18" dataDxfId="17" dataCellStyle="Percent">
  <autoFilter ref="B1:O163" xr:uid="{C867166F-AABD-4812-A06D-FCBC77B07B9C}"/>
  <sortState xmlns:xlrd2="http://schemas.microsoft.com/office/spreadsheetml/2017/richdata2" ref="B2:O163">
    <sortCondition ref="D1:D163"/>
  </sortState>
  <tableColumns count="14">
    <tableColumn id="14" xr3:uid="{A0622A9A-DD1E-44C0-87ED-EBAF1F5F40FE}" name="CLIENT" dataDxfId="16" dataCellStyle="Percent"/>
    <tableColumn id="1" xr3:uid="{A5CCD86E-1AA3-4C11-98E4-CEE2345957B9}" name="JOB NAME" dataDxfId="15"/>
    <tableColumn id="2" xr3:uid="{CB053B3F-6B3A-4BCF-9C12-81EE05C0BB13}" name="JOB CODE" dataDxfId="14"/>
    <tableColumn id="3" xr3:uid="{2DB2C1A0-BD87-48DD-BAF1-85931744B17C}" name="START" dataDxfId="13"/>
    <tableColumn id="4" xr3:uid="{2371666A-7EDF-4158-B2EA-ADE1C12F3A74}" name="END" dataDxfId="12"/>
    <tableColumn id="5" xr3:uid="{A22FF6FC-F993-49F5-85E7-3BA7B4C8998B}" name="BILLINGS" dataDxfId="11"/>
    <tableColumn id="6" xr3:uid="{0E71E6E1-A751-4038-9347-9CD8256A2F3A}" name="COST" dataDxfId="10"/>
    <tableColumn id="7" xr3:uid="{142F5830-5DEC-4CF5-B0BB-9D2309A8F8F9}" name="Live Margin" dataDxfId="9" dataCellStyle="Percent"/>
    <tableColumn id="9" xr3:uid="{2ABA1CF7-7956-4914-B290-CF4E98B8A7D9}" name="ACTUAL MARGIN" dataDxfId="8"/>
    <tableColumn id="10" xr3:uid="{CA5D8A3C-7CF3-4F74-BDD8-70B48ED5AD3A}" name="Variance in Billings Projection" dataDxfId="7" dataCellStyle="Percent">
      <calculatedColumnFormula>CompletedJobs[[#This Row],[ACTUAL MARGIN]]-CompletedJobs[[#This Row],[Live Margin]]</calculatedColumnFormula>
    </tableColumn>
    <tableColumn id="11" xr3:uid="{7794011C-758F-492B-9E09-AA04E2036EBF}" name="HOTEL OCCUPANCY" dataDxfId="6" dataCellStyle="Percent">
      <calculatedColumnFormula>SUM(Table18[[#This Row],[Margin]]-Table18[[#This Row],[Prev. Margin]])</calculatedColumnFormula>
    </tableColumn>
    <tableColumn id="12" xr3:uid="{01EDDC5C-2813-4903-9609-AABA594CC7BF}" name="CAR HIRE DAYS" dataDxfId="5" dataCellStyle="Percent">
      <calculatedColumnFormula>IFERROR(VLOOKUP(CompletedJobs[[#This Row],[JOB CODE]],#REF!, 5,FALSE), "0")</calculatedColumnFormula>
    </tableColumn>
    <tableColumn id="13" xr3:uid="{A431BDF9-CB50-47F8-AD19-B7CADBC5DF74}" name="ABSENT DAYS" dataDxfId="4" dataCellStyle="Percent">
      <calculatedColumnFormula>IFERROR(VLOOKUP(CompletedJobs[[#This Row],[JOB CODE]],#REF!,2,FALSE), "0")</calculatedColumnFormula>
    </tableColumn>
    <tableColumn id="8" xr3:uid="{59476052-76C7-4FE5-A16A-F0C022B6E286}" name="Target" dataDxfId="3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B39754-DFEC-4CAB-9AD5-61EA5A241BBD}" name="Table3" displayName="Table3" ref="Q2:R6" totalsRowShown="0" headerRowDxfId="2">
  <autoFilter ref="Q2:R6" xr:uid="{DB865DA7-1DDF-4136-8904-700FD2628ACC}"/>
  <tableColumns count="2">
    <tableColumn id="1" xr3:uid="{092053BA-2A67-43CF-B65F-17DCDB227A83}" name="Description" dataDxfId="1"/>
    <tableColumn id="2" xr3:uid="{C17C0273-0303-47FF-9596-58BFF3167486}" name="Average" dataDxfId="0">
      <calculatedColumnFormula>AVERAGE(K2:K36)</calculatedColumnFormula>
    </tableColumn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pivotTable" Target="../pivotTables/pivotTable5.xml"/><Relationship Id="rId7" Type="http://schemas.openxmlformats.org/officeDocument/2006/relationships/pivotTable" Target="../pivotTables/pivotTable9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5" Type="http://schemas.openxmlformats.org/officeDocument/2006/relationships/pivotTable" Target="../pivotTables/pivotTable7.xml"/><Relationship Id="rId10" Type="http://schemas.openxmlformats.org/officeDocument/2006/relationships/table" Target="../tables/table2.xml"/><Relationship Id="rId4" Type="http://schemas.openxmlformats.org/officeDocument/2006/relationships/pivotTable" Target="../pivotTables/pivotTable6.xml"/><Relationship Id="rId9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E6A63-3E73-480F-B72C-B371263E57C6}">
  <sheetPr>
    <pageSetUpPr fitToPage="1"/>
  </sheetPr>
  <dimension ref="B1:K39"/>
  <sheetViews>
    <sheetView showGridLines="0" tabSelected="1" zoomScaleNormal="100" workbookViewId="0">
      <selection activeCell="P37" sqref="P37"/>
    </sheetView>
  </sheetViews>
  <sheetFormatPr defaultRowHeight="14.5" x14ac:dyDescent="0.35"/>
  <cols>
    <col min="3" max="3" width="12.6328125" bestFit="1" customWidth="1"/>
    <col min="4" max="4" width="19.6328125" bestFit="1" customWidth="1"/>
    <col min="5" max="5" width="10.90625" bestFit="1" customWidth="1"/>
    <col min="6" max="6" width="14.81640625" bestFit="1" customWidth="1"/>
    <col min="7" max="7" width="12.6328125" bestFit="1" customWidth="1"/>
    <col min="8" max="8" width="19.7265625" bestFit="1" customWidth="1"/>
    <col min="10" max="10" width="12.6328125" bestFit="1" customWidth="1"/>
    <col min="11" max="11" width="19.7265625" bestFit="1" customWidth="1"/>
    <col min="14" max="14" width="12.6328125" bestFit="1" customWidth="1"/>
    <col min="15" max="15" width="19.6328125" bestFit="1" customWidth="1"/>
  </cols>
  <sheetData>
    <row r="1" ht="7" customHeight="1" x14ac:dyDescent="0.35"/>
    <row r="3" ht="20.5" customHeight="1" x14ac:dyDescent="0.35"/>
    <row r="19" spans="3:11" x14ac:dyDescent="0.35">
      <c r="C19" s="88" t="s">
        <v>231</v>
      </c>
      <c r="D19" t="s">
        <v>292</v>
      </c>
      <c r="J19" s="88" t="s">
        <v>231</v>
      </c>
      <c r="K19" t="s">
        <v>293</v>
      </c>
    </row>
    <row r="20" spans="3:11" x14ac:dyDescent="0.35">
      <c r="C20" s="55" t="s">
        <v>391</v>
      </c>
      <c r="D20" s="125">
        <v>154.37999999999988</v>
      </c>
      <c r="J20" s="55" t="s">
        <v>217</v>
      </c>
      <c r="K20" s="124">
        <v>5.8106166620020536E-2</v>
      </c>
    </row>
    <row r="21" spans="3:11" x14ac:dyDescent="0.35">
      <c r="C21" s="55" t="s">
        <v>197</v>
      </c>
      <c r="D21" s="125">
        <v>153.29000000000008</v>
      </c>
      <c r="J21" s="55" t="s">
        <v>266</v>
      </c>
      <c r="K21" s="124">
        <v>5.1980392156862835E-2</v>
      </c>
    </row>
    <row r="22" spans="3:11" x14ac:dyDescent="0.35">
      <c r="C22" s="55" t="s">
        <v>258</v>
      </c>
      <c r="D22" s="125">
        <v>128.38999999999987</v>
      </c>
      <c r="J22" s="55" t="s">
        <v>48</v>
      </c>
      <c r="K22" s="124">
        <v>4.9356644163637518E-2</v>
      </c>
    </row>
    <row r="23" spans="3:11" x14ac:dyDescent="0.35">
      <c r="C23" s="55" t="s">
        <v>204</v>
      </c>
      <c r="D23" s="125">
        <v>124.83999999999992</v>
      </c>
      <c r="J23" s="55" t="s">
        <v>257</v>
      </c>
      <c r="K23" s="124">
        <v>4.6931000153162664E-2</v>
      </c>
    </row>
    <row r="24" spans="3:11" x14ac:dyDescent="0.35">
      <c r="C24" s="55" t="s">
        <v>159</v>
      </c>
      <c r="D24" s="125">
        <v>110.01999999999998</v>
      </c>
      <c r="J24" s="55" t="s">
        <v>60</v>
      </c>
      <c r="K24" s="124">
        <v>4.6660029703131829E-2</v>
      </c>
    </row>
    <row r="25" spans="3:11" x14ac:dyDescent="0.35">
      <c r="C25" s="55" t="s">
        <v>259</v>
      </c>
      <c r="D25" s="125">
        <v>87.159999999999854</v>
      </c>
      <c r="J25" s="55" t="s">
        <v>313</v>
      </c>
      <c r="K25" s="124">
        <v>4.6049335863377491E-2</v>
      </c>
    </row>
    <row r="26" spans="3:11" x14ac:dyDescent="0.35">
      <c r="C26" s="55" t="s">
        <v>145</v>
      </c>
      <c r="D26" s="125">
        <v>53.839999999999918</v>
      </c>
      <c r="J26" s="55" t="s">
        <v>390</v>
      </c>
      <c r="K26" s="124">
        <v>4.2392156862744883E-2</v>
      </c>
    </row>
    <row r="27" spans="3:11" x14ac:dyDescent="0.35">
      <c r="C27" s="55" t="s">
        <v>82</v>
      </c>
      <c r="D27" s="125">
        <v>38.509999999999991</v>
      </c>
      <c r="J27" s="55" t="s">
        <v>258</v>
      </c>
      <c r="K27" s="124">
        <v>3.2774289069280614E-2</v>
      </c>
    </row>
    <row r="28" spans="3:11" x14ac:dyDescent="0.35">
      <c r="C28" s="55" t="s">
        <v>143</v>
      </c>
      <c r="D28" s="125">
        <v>21.95999999999998</v>
      </c>
      <c r="J28" s="55" t="s">
        <v>259</v>
      </c>
      <c r="K28" s="124">
        <v>1.3376304481276835E-2</v>
      </c>
    </row>
    <row r="29" spans="3:11" x14ac:dyDescent="0.35">
      <c r="C29" s="55" t="s">
        <v>69</v>
      </c>
      <c r="D29" s="125">
        <v>11.259999999999764</v>
      </c>
      <c r="J29" s="55" t="s">
        <v>69</v>
      </c>
      <c r="K29" s="124">
        <v>7.0906801007555188E-3</v>
      </c>
    </row>
    <row r="30" spans="3:11" x14ac:dyDescent="0.35">
      <c r="C30" s="55" t="s">
        <v>291</v>
      </c>
      <c r="D30" s="125">
        <v>883.64999999999918</v>
      </c>
      <c r="J30" s="55" t="s">
        <v>291</v>
      </c>
      <c r="K30" s="124">
        <v>0.39471699917425074</v>
      </c>
    </row>
    <row r="34" spans="2:5" ht="7" customHeight="1" x14ac:dyDescent="0.35">
      <c r="B34" s="160" t="s">
        <v>352</v>
      </c>
      <c r="C34" s="160"/>
      <c r="D34" s="160"/>
      <c r="E34" s="160"/>
    </row>
    <row r="35" spans="2:5" x14ac:dyDescent="0.35">
      <c r="B35" s="160"/>
      <c r="C35" s="160"/>
      <c r="D35" s="160"/>
      <c r="E35" s="160"/>
    </row>
    <row r="36" spans="2:5" x14ac:dyDescent="0.35">
      <c r="B36" s="160"/>
      <c r="C36" s="160"/>
      <c r="D36" s="160"/>
      <c r="E36" s="160"/>
    </row>
    <row r="37" spans="2:5" x14ac:dyDescent="0.35">
      <c r="B37" s="160"/>
      <c r="C37" s="160"/>
      <c r="D37" s="160"/>
      <c r="E37" s="160"/>
    </row>
    <row r="38" spans="2:5" x14ac:dyDescent="0.35">
      <c r="B38" s="160"/>
      <c r="C38" s="160"/>
      <c r="D38" s="160"/>
      <c r="E38" s="160"/>
    </row>
    <row r="39" spans="2:5" x14ac:dyDescent="0.35">
      <c r="B39" s="160"/>
      <c r="C39" s="160"/>
      <c r="D39" s="160"/>
      <c r="E39" s="160"/>
    </row>
  </sheetData>
  <mergeCells count="1">
    <mergeCell ref="B34:E39"/>
  </mergeCells>
  <pageMargins left="0.25" right="0.25" top="0.75" bottom="0.75" header="0.3" footer="0.3"/>
  <pageSetup paperSize="9" scale="56"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8E44A-E7F5-4D6B-A52C-301804A9D035}">
  <dimension ref="A1"/>
  <sheetViews>
    <sheetView showGridLines="0" showRowColHeaders="0" workbookViewId="0">
      <selection activeCell="J43" sqref="J4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2DB68-A722-40F3-86D7-C873F624433B}">
  <dimension ref="B1:BA153"/>
  <sheetViews>
    <sheetView showGridLines="0" zoomScale="90" zoomScaleNormal="90" workbookViewId="0">
      <selection activeCell="C76" sqref="C76"/>
    </sheetView>
  </sheetViews>
  <sheetFormatPr defaultRowHeight="14.5" x14ac:dyDescent="0.35"/>
  <cols>
    <col min="1" max="1" width="3.36328125" customWidth="1"/>
    <col min="2" max="2" width="12.26953125" style="55" bestFit="1" customWidth="1"/>
    <col min="3" max="3" width="34.1796875" style="55" bestFit="1" customWidth="1"/>
    <col min="4" max="4" width="12.08984375" style="72" bestFit="1" customWidth="1"/>
    <col min="5" max="5" width="11" style="73" bestFit="1" customWidth="1"/>
    <col min="6" max="7" width="12.54296875" style="71" customWidth="1"/>
    <col min="8" max="8" width="9.36328125" style="55" bestFit="1" customWidth="1"/>
    <col min="9" max="9" width="15.1796875" style="71" customWidth="1"/>
    <col min="10" max="10" width="12.7265625" style="71" customWidth="1"/>
    <col min="11" max="11" width="14" style="55" bestFit="1" customWidth="1"/>
    <col min="12" max="12" width="16.08984375" style="135" customWidth="1"/>
    <col min="13" max="13" width="2.54296875" customWidth="1"/>
    <col min="14" max="14" width="14.453125" style="55" customWidth="1"/>
    <col min="15" max="17" width="12.81640625" customWidth="1"/>
    <col min="18" max="21" width="15.08984375" customWidth="1"/>
    <col min="22" max="22" width="14.453125" customWidth="1"/>
    <col min="23" max="23" width="2.7265625" customWidth="1"/>
    <col min="24" max="24" width="12.26953125" bestFit="1" customWidth="1"/>
    <col min="25" max="25" width="13.6328125" bestFit="1" customWidth="1"/>
    <col min="26" max="26" width="12.81640625" bestFit="1" customWidth="1"/>
    <col min="27" max="27" width="12.90625" bestFit="1" customWidth="1"/>
    <col min="28" max="28" width="11.54296875" bestFit="1" customWidth="1"/>
    <col min="29" max="29" width="14.7265625" bestFit="1" customWidth="1"/>
    <col min="30" max="30" width="13.08984375" bestFit="1" customWidth="1"/>
    <col min="32" max="32" width="10.1796875" bestFit="1" customWidth="1"/>
    <col min="33" max="33" width="12.81640625" bestFit="1" customWidth="1"/>
    <col min="34" max="35" width="12.6328125" bestFit="1" customWidth="1"/>
    <col min="36" max="36" width="8.6328125" bestFit="1" customWidth="1"/>
    <col min="38" max="38" width="12.81640625" bestFit="1" customWidth="1"/>
    <col min="39" max="39" width="12.90625" bestFit="1" customWidth="1"/>
    <col min="40" max="40" width="11.54296875" bestFit="1" customWidth="1"/>
    <col min="41" max="41" width="14.7265625" bestFit="1" customWidth="1"/>
    <col min="42" max="42" width="13.08984375" bestFit="1" customWidth="1"/>
    <col min="45" max="45" width="12.81640625" bestFit="1" customWidth="1"/>
    <col min="46" max="46" width="19.453125" style="118" bestFit="1" customWidth="1"/>
    <col min="49" max="49" width="10.1796875" bestFit="1" customWidth="1"/>
    <col min="50" max="51" width="12.6328125" bestFit="1" customWidth="1"/>
    <col min="52" max="52" width="12.81640625" bestFit="1" customWidth="1"/>
    <col min="53" max="53" width="8.6328125" bestFit="1" customWidth="1"/>
  </cols>
  <sheetData>
    <row r="1" spans="2:53" ht="21.5" thickBot="1" x14ac:dyDescent="0.4">
      <c r="B1" s="65" t="s">
        <v>1</v>
      </c>
      <c r="C1" s="66" t="s">
        <v>0</v>
      </c>
      <c r="D1" s="67" t="s">
        <v>2</v>
      </c>
      <c r="E1" s="67" t="s">
        <v>3</v>
      </c>
      <c r="F1" s="68" t="s">
        <v>4</v>
      </c>
      <c r="G1" s="68" t="s">
        <v>5</v>
      </c>
      <c r="H1" s="66" t="s">
        <v>6</v>
      </c>
      <c r="I1" s="69" t="s">
        <v>11</v>
      </c>
      <c r="J1" s="69" t="s">
        <v>12</v>
      </c>
      <c r="K1" s="70" t="s">
        <v>13</v>
      </c>
      <c r="L1" s="133" t="s">
        <v>21</v>
      </c>
      <c r="AF1" s="161" t="s">
        <v>239</v>
      </c>
      <c r="AG1" s="161"/>
      <c r="AH1" s="161"/>
      <c r="AI1" s="161"/>
      <c r="AJ1" s="161"/>
      <c r="AL1" s="161" t="s">
        <v>289</v>
      </c>
      <c r="AM1" s="161"/>
      <c r="AN1" s="161"/>
      <c r="AO1" s="161"/>
      <c r="AP1" s="161"/>
      <c r="AS1" s="88" t="s">
        <v>231</v>
      </c>
      <c r="AT1" t="s">
        <v>292</v>
      </c>
      <c r="AW1" s="161" t="s">
        <v>294</v>
      </c>
      <c r="AX1" s="161"/>
      <c r="AY1" s="161"/>
      <c r="AZ1" s="161"/>
      <c r="BA1" s="161"/>
    </row>
    <row r="2" spans="2:53" s="1" customFormat="1" ht="22" customHeight="1" thickTop="1" x14ac:dyDescent="0.35">
      <c r="B2" s="21" t="s">
        <v>46</v>
      </c>
      <c r="C2" s="21" t="s">
        <v>45</v>
      </c>
      <c r="D2" s="73">
        <v>44377</v>
      </c>
      <c r="E2" s="73">
        <v>44384</v>
      </c>
      <c r="F2" s="158">
        <v>6144.8</v>
      </c>
      <c r="G2" s="158">
        <v>5348.46</v>
      </c>
      <c r="H2" s="97">
        <f>SUM(Table18[[#This Row],[Billings]]-Table18[[#This Row],[Cost]])/Table18[[#This Row],[Billings]]</f>
        <v>0.12959575576096866</v>
      </c>
      <c r="I2" s="96">
        <v>6144.8</v>
      </c>
      <c r="J2" s="96">
        <v>5348.46</v>
      </c>
      <c r="K2" s="97">
        <f>SUM(Table18[[#This Row],[Prev. Billings]]-Table18[[#This Row],[Prev. Cost]])/Table18[[#This Row],[Prev. Billings]]</f>
        <v>0.12959575576096866</v>
      </c>
      <c r="L2" s="134">
        <f>SUM(Table18[[#This Row],[Margin]]-Table18[[#This Row],[Prev. Margin]])</f>
        <v>0</v>
      </c>
      <c r="N2" s="56" t="s">
        <v>86</v>
      </c>
      <c r="O2" s="40"/>
      <c r="P2" s="40"/>
      <c r="Q2" s="40"/>
      <c r="R2" s="40"/>
      <c r="S2" s="40"/>
      <c r="T2" s="40"/>
      <c r="U2" s="40"/>
      <c r="V2" s="41"/>
      <c r="AF2" s="88" t="s">
        <v>234</v>
      </c>
      <c r="AG2" t="s">
        <v>237</v>
      </c>
      <c r="AH2" t="s">
        <v>235</v>
      </c>
      <c r="AI2" t="s">
        <v>236</v>
      </c>
      <c r="AJ2" s="90" t="s">
        <v>238</v>
      </c>
      <c r="AL2" s="88" t="s">
        <v>234</v>
      </c>
      <c r="AM2" t="s">
        <v>235</v>
      </c>
      <c r="AN2" t="s">
        <v>236</v>
      </c>
      <c r="AO2" t="s">
        <v>237</v>
      </c>
      <c r="AP2" s="90" t="s">
        <v>238</v>
      </c>
      <c r="AS2" s="55" t="s">
        <v>258</v>
      </c>
      <c r="AT2" s="125">
        <v>128.38999999999987</v>
      </c>
      <c r="AW2" s="88" t="s">
        <v>234</v>
      </c>
      <c r="AX2" t="s">
        <v>235</v>
      </c>
      <c r="AY2" t="s">
        <v>236</v>
      </c>
      <c r="AZ2" t="s">
        <v>237</v>
      </c>
      <c r="BA2" s="90" t="s">
        <v>238</v>
      </c>
    </row>
    <row r="3" spans="2:53" s="1" customFormat="1" ht="22" customHeight="1" x14ac:dyDescent="0.35">
      <c r="B3" s="21" t="s">
        <v>48</v>
      </c>
      <c r="C3" s="21" t="s">
        <v>47</v>
      </c>
      <c r="D3" s="73">
        <v>44370</v>
      </c>
      <c r="E3" s="73">
        <v>44375</v>
      </c>
      <c r="F3" s="158">
        <v>3466.2000000000003</v>
      </c>
      <c r="G3" s="158">
        <v>3295.12</v>
      </c>
      <c r="H3" s="97">
        <f>SUM(Table18[[#This Row],[Billings]]-Table18[[#This Row],[Cost]])/Table18[[#This Row],[Billings]]</f>
        <v>4.9356644163637518E-2</v>
      </c>
      <c r="I3" s="96">
        <v>3466.2000000000003</v>
      </c>
      <c r="J3" s="96">
        <v>3295.12</v>
      </c>
      <c r="K3" s="97">
        <f>SUM(Table18[[#This Row],[Prev. Billings]]-Table18[[#This Row],[Prev. Cost]])/Table18[[#This Row],[Prev. Billings]]</f>
        <v>4.9356644163637518E-2</v>
      </c>
      <c r="L3" s="134">
        <f>SUM(Table18[[#This Row],[Margin]]-Table18[[#This Row],[Prev. Margin]])</f>
        <v>0</v>
      </c>
      <c r="N3" s="57"/>
      <c r="O3" s="42" t="s">
        <v>91</v>
      </c>
      <c r="P3" s="42" t="s">
        <v>92</v>
      </c>
      <c r="Q3" s="42" t="s">
        <v>93</v>
      </c>
      <c r="R3" s="42" t="s">
        <v>94</v>
      </c>
      <c r="S3" s="42" t="s">
        <v>170</v>
      </c>
      <c r="T3" s="42" t="s">
        <v>274</v>
      </c>
      <c r="U3" s="42" t="s">
        <v>275</v>
      </c>
      <c r="V3" s="43" t="s">
        <v>95</v>
      </c>
      <c r="AF3" s="55" t="s">
        <v>111</v>
      </c>
      <c r="AG3" s="132">
        <v>59459.97</v>
      </c>
      <c r="AH3" s="89">
        <v>152510.21000000002</v>
      </c>
      <c r="AI3" s="89">
        <v>93050.24000000002</v>
      </c>
      <c r="AJ3" s="90">
        <v>0.38987534014935782</v>
      </c>
      <c r="AL3" s="55" t="s">
        <v>391</v>
      </c>
      <c r="AM3" s="89">
        <v>2071.1999999999998</v>
      </c>
      <c r="AN3" s="89">
        <v>1916.82</v>
      </c>
      <c r="AO3" s="89">
        <v>154.37999999999988</v>
      </c>
      <c r="AP3" s="90">
        <v>7.4536500579374221E-2</v>
      </c>
      <c r="AS3" s="55" t="s">
        <v>259</v>
      </c>
      <c r="AT3" s="125">
        <v>87.159999999999854</v>
      </c>
      <c r="AW3" s="55" t="s">
        <v>111</v>
      </c>
      <c r="AX3" s="89">
        <v>152510.21000000002</v>
      </c>
      <c r="AY3" s="89">
        <v>93050.24000000002</v>
      </c>
      <c r="AZ3" s="89">
        <v>59459.97</v>
      </c>
      <c r="BA3" s="90">
        <v>0.38987534014935782</v>
      </c>
    </row>
    <row r="4" spans="2:53" s="1" customFormat="1" ht="22" customHeight="1" x14ac:dyDescent="0.35">
      <c r="B4" s="21" t="s">
        <v>64</v>
      </c>
      <c r="C4" s="21" t="s">
        <v>66</v>
      </c>
      <c r="D4" s="73">
        <v>44377</v>
      </c>
      <c r="E4" s="73">
        <v>44384</v>
      </c>
      <c r="F4" s="158">
        <v>6144.8</v>
      </c>
      <c r="G4" s="158">
        <v>5222.2</v>
      </c>
      <c r="H4" s="97">
        <f>SUM(Table18[[#This Row],[Billings]]-Table18[[#This Row],[Cost]])/Table18[[#This Row],[Billings]]</f>
        <v>0.15014321051946367</v>
      </c>
      <c r="I4" s="96">
        <v>6144.8</v>
      </c>
      <c r="J4" s="96">
        <v>5222.2</v>
      </c>
      <c r="K4" s="97">
        <f>SUM(Table18[[#This Row],[Prev. Billings]]-Table18[[#This Row],[Prev. Cost]])/Table18[[#This Row],[Prev. Billings]]</f>
        <v>0.15014321051946367</v>
      </c>
      <c r="L4" s="134">
        <f>SUM(Table18[[#This Row],[Margin]]-Table18[[#This Row],[Prev. Margin]])</f>
        <v>0</v>
      </c>
      <c r="N4" s="58" t="s">
        <v>89</v>
      </c>
      <c r="O4" s="84">
        <v>4622</v>
      </c>
      <c r="P4" s="84">
        <v>28297</v>
      </c>
      <c r="Q4" s="44">
        <v>33007</v>
      </c>
      <c r="R4" s="44">
        <v>31568</v>
      </c>
      <c r="S4" s="44">
        <v>51382</v>
      </c>
      <c r="T4" s="44">
        <v>29788</v>
      </c>
      <c r="U4" s="44">
        <v>0</v>
      </c>
      <c r="V4" s="45">
        <f t="shared" ref="V4:V9" si="0">SUM(O4:U4)</f>
        <v>178664</v>
      </c>
      <c r="AF4" s="55" t="s">
        <v>62</v>
      </c>
      <c r="AG4" s="132">
        <v>22860.449999999953</v>
      </c>
      <c r="AH4" s="89">
        <v>119040.45</v>
      </c>
      <c r="AI4" s="89">
        <v>96180.000000000044</v>
      </c>
      <c r="AJ4" s="90">
        <v>0.19203934460933197</v>
      </c>
      <c r="AL4" s="55" t="s">
        <v>197</v>
      </c>
      <c r="AM4" s="89">
        <v>1075.51</v>
      </c>
      <c r="AN4" s="89">
        <v>922.21999999999991</v>
      </c>
      <c r="AO4" s="89">
        <v>153.29000000000008</v>
      </c>
      <c r="AP4" s="90">
        <v>0.14252773102993005</v>
      </c>
      <c r="AS4" s="55" t="s">
        <v>143</v>
      </c>
      <c r="AT4" s="125">
        <v>21.95999999999998</v>
      </c>
      <c r="AW4" s="55" t="s">
        <v>62</v>
      </c>
      <c r="AX4" s="89">
        <v>119040.45</v>
      </c>
      <c r="AY4" s="89">
        <v>96180.000000000044</v>
      </c>
      <c r="AZ4" s="89">
        <v>22860.449999999953</v>
      </c>
      <c r="BA4" s="90">
        <v>0.19203934460933197</v>
      </c>
    </row>
    <row r="5" spans="2:53" s="1" customFormat="1" ht="22" customHeight="1" x14ac:dyDescent="0.35">
      <c r="B5" s="21" t="s">
        <v>65</v>
      </c>
      <c r="C5" s="21" t="s">
        <v>67</v>
      </c>
      <c r="D5" s="73">
        <v>44370</v>
      </c>
      <c r="E5" s="73">
        <v>44374</v>
      </c>
      <c r="F5" s="158">
        <v>3466.2000000000003</v>
      </c>
      <c r="G5" s="158">
        <v>2828.93</v>
      </c>
      <c r="H5" s="97">
        <f>SUM(Table18[[#This Row],[Billings]]-Table18[[#This Row],[Cost]])/Table18[[#This Row],[Billings]]</f>
        <v>0.18385263400842433</v>
      </c>
      <c r="I5" s="96">
        <v>3466.2000000000003</v>
      </c>
      <c r="J5" s="96">
        <v>2828.93</v>
      </c>
      <c r="K5" s="97">
        <f>SUM(Table18[[#This Row],[Prev. Billings]]-Table18[[#This Row],[Prev. Cost]])/Table18[[#This Row],[Prev. Billings]]</f>
        <v>0.18385263400842433</v>
      </c>
      <c r="L5" s="134">
        <f>SUM(Table18[[#This Row],[Margin]]-Table18[[#This Row],[Prev. Margin]])</f>
        <v>0</v>
      </c>
      <c r="N5" s="58" t="s">
        <v>22</v>
      </c>
      <c r="O5" s="84">
        <v>121597</v>
      </c>
      <c r="P5" s="84">
        <v>144592</v>
      </c>
      <c r="Q5" s="44">
        <v>144477</v>
      </c>
      <c r="R5" s="44">
        <v>169189</v>
      </c>
      <c r="S5" s="44">
        <v>47968</v>
      </c>
      <c r="T5" s="44">
        <v>8937</v>
      </c>
      <c r="U5" s="44">
        <v>0</v>
      </c>
      <c r="V5" s="45">
        <f t="shared" si="0"/>
        <v>636760</v>
      </c>
      <c r="AF5" s="55" t="s">
        <v>71</v>
      </c>
      <c r="AG5" s="132">
        <v>22526.999999999753</v>
      </c>
      <c r="AH5" s="89">
        <v>130819.47999999998</v>
      </c>
      <c r="AI5" s="89">
        <v>108292.48000000023</v>
      </c>
      <c r="AJ5" s="90">
        <v>0.17219912508442745</v>
      </c>
      <c r="AL5" s="55" t="s">
        <v>258</v>
      </c>
      <c r="AM5" s="89">
        <v>3917.3999999999996</v>
      </c>
      <c r="AN5" s="89">
        <v>3789.0099999999998</v>
      </c>
      <c r="AO5" s="89">
        <v>128.38999999999987</v>
      </c>
      <c r="AP5" s="90">
        <v>3.2774289069280614E-2</v>
      </c>
      <c r="AS5" s="55" t="s">
        <v>82</v>
      </c>
      <c r="AT5" s="125">
        <v>38.509999999999991</v>
      </c>
      <c r="AW5" s="55" t="s">
        <v>71</v>
      </c>
      <c r="AX5" s="89">
        <v>130819.47999999998</v>
      </c>
      <c r="AY5" s="89">
        <v>108292.48000000023</v>
      </c>
      <c r="AZ5" s="89">
        <v>22526.999999999753</v>
      </c>
      <c r="BA5" s="90">
        <v>0.17219912508442745</v>
      </c>
    </row>
    <row r="6" spans="2:53" s="1" customFormat="1" ht="22" customHeight="1" x14ac:dyDescent="0.35">
      <c r="B6" s="21" t="s">
        <v>100</v>
      </c>
      <c r="C6" s="21" t="s">
        <v>104</v>
      </c>
      <c r="D6" s="73">
        <v>44385</v>
      </c>
      <c r="E6" s="73">
        <v>44390</v>
      </c>
      <c r="F6" s="158">
        <v>4764</v>
      </c>
      <c r="G6" s="158">
        <v>3794.9199999999996</v>
      </c>
      <c r="H6" s="97">
        <f>SUM(Table18[[#This Row],[Billings]]-Table18[[#This Row],[Cost]])/Table18[[#This Row],[Billings]]</f>
        <v>0.20341729638958866</v>
      </c>
      <c r="I6" s="96">
        <v>4764</v>
      </c>
      <c r="J6" s="96">
        <v>3794.9199999999996</v>
      </c>
      <c r="K6" s="97">
        <f>SUM(Table18[[#This Row],[Prev. Billings]]-Table18[[#This Row],[Prev. Cost]])/Table18[[#This Row],[Prev. Billings]]</f>
        <v>0.20341729638958866</v>
      </c>
      <c r="L6" s="134">
        <f>SUM(Table18[[#This Row],[Margin]]-Table18[[#This Row],[Prev. Margin]])</f>
        <v>0</v>
      </c>
      <c r="N6" s="58" t="s">
        <v>28</v>
      </c>
      <c r="O6" s="84">
        <v>2703</v>
      </c>
      <c r="P6" s="84">
        <v>13423</v>
      </c>
      <c r="Q6" s="44">
        <v>25070</v>
      </c>
      <c r="R6" s="44">
        <v>39835</v>
      </c>
      <c r="S6" s="44">
        <v>1732</v>
      </c>
      <c r="T6" s="44">
        <v>0</v>
      </c>
      <c r="U6" s="44">
        <v>0</v>
      </c>
      <c r="V6" s="45">
        <f t="shared" si="0"/>
        <v>82763</v>
      </c>
      <c r="AF6" s="55" t="s">
        <v>169</v>
      </c>
      <c r="AG6" s="132">
        <v>19259.269999999917</v>
      </c>
      <c r="AH6" s="89">
        <v>106234.70000000001</v>
      </c>
      <c r="AI6" s="89">
        <v>86975.430000000095</v>
      </c>
      <c r="AJ6" s="90">
        <v>0.18128982338162497</v>
      </c>
      <c r="AL6" s="55" t="s">
        <v>204</v>
      </c>
      <c r="AM6" s="89">
        <v>1317.1299999999999</v>
      </c>
      <c r="AN6" s="89">
        <v>1192.29</v>
      </c>
      <c r="AO6" s="89">
        <v>124.83999999999992</v>
      </c>
      <c r="AP6" s="90">
        <v>9.4781836265212943E-2</v>
      </c>
      <c r="AS6" s="55" t="s">
        <v>145</v>
      </c>
      <c r="AT6" s="125">
        <v>53.839999999999918</v>
      </c>
      <c r="AW6"/>
      <c r="AX6"/>
      <c r="AY6"/>
      <c r="AZ6"/>
      <c r="BA6"/>
    </row>
    <row r="7" spans="2:53" s="1" customFormat="1" ht="22" customHeight="1" x14ac:dyDescent="0.35">
      <c r="B7" s="21" t="s">
        <v>101</v>
      </c>
      <c r="C7" s="21" t="s">
        <v>50</v>
      </c>
      <c r="D7" s="73">
        <v>44391</v>
      </c>
      <c r="E7" s="73">
        <v>44396</v>
      </c>
      <c r="F7" s="158">
        <v>5955</v>
      </c>
      <c r="G7" s="158">
        <v>5132.96</v>
      </c>
      <c r="H7" s="97">
        <f>SUM(Table18[[#This Row],[Billings]]-Table18[[#This Row],[Cost]])/Table18[[#This Row],[Billings]]</f>
        <v>0.13804198152812761</v>
      </c>
      <c r="I7" s="96">
        <v>5955</v>
      </c>
      <c r="J7" s="96">
        <v>5132.96</v>
      </c>
      <c r="K7" s="97">
        <f>SUM(Table18[[#This Row],[Prev. Billings]]-Table18[[#This Row],[Prev. Cost]])/Table18[[#This Row],[Prev. Billings]]</f>
        <v>0.13804198152812761</v>
      </c>
      <c r="L7" s="134">
        <f>SUM(Table18[[#This Row],[Margin]]-Table18[[#This Row],[Prev. Margin]])</f>
        <v>0</v>
      </c>
      <c r="N7" s="58" t="s">
        <v>23</v>
      </c>
      <c r="O7" s="84">
        <v>3398</v>
      </c>
      <c r="P7" s="84">
        <v>745</v>
      </c>
      <c r="Q7" s="44">
        <v>6237</v>
      </c>
      <c r="R7" s="44">
        <v>0</v>
      </c>
      <c r="S7" s="44">
        <v>0</v>
      </c>
      <c r="T7" s="44">
        <v>0</v>
      </c>
      <c r="U7" s="44">
        <v>0</v>
      </c>
      <c r="V7" s="45">
        <f t="shared" si="0"/>
        <v>10380</v>
      </c>
      <c r="AF7" s="55" t="s">
        <v>221</v>
      </c>
      <c r="AG7" s="132">
        <v>16778.350000000064</v>
      </c>
      <c r="AH7" s="89">
        <v>106250</v>
      </c>
      <c r="AI7" s="89">
        <v>89471.649999999936</v>
      </c>
      <c r="AJ7" s="90">
        <v>0.15791388235294179</v>
      </c>
      <c r="AL7" s="55" t="s">
        <v>159</v>
      </c>
      <c r="AM7" s="89">
        <v>734.26</v>
      </c>
      <c r="AN7" s="89">
        <v>624.24</v>
      </c>
      <c r="AO7" s="89">
        <v>110.01999999999998</v>
      </c>
      <c r="AP7" s="90">
        <v>0.14983793206765994</v>
      </c>
      <c r="AS7" s="55" t="s">
        <v>159</v>
      </c>
      <c r="AT7" s="125">
        <v>110.01999999999998</v>
      </c>
      <c r="AW7"/>
      <c r="AX7"/>
      <c r="AY7"/>
      <c r="AZ7"/>
      <c r="BA7"/>
    </row>
    <row r="8" spans="2:53" s="1" customFormat="1" ht="22" customHeight="1" x14ac:dyDescent="0.35">
      <c r="B8" s="21" t="s">
        <v>102</v>
      </c>
      <c r="C8" s="21" t="s">
        <v>75</v>
      </c>
      <c r="D8" s="73">
        <v>44398</v>
      </c>
      <c r="E8" s="73">
        <v>44404</v>
      </c>
      <c r="F8" s="158">
        <v>5359.5</v>
      </c>
      <c r="G8" s="158">
        <v>3855.75</v>
      </c>
      <c r="H8" s="97">
        <f>SUM(Table18[[#This Row],[Billings]]-Table18[[#This Row],[Cost]])/Table18[[#This Row],[Billings]]</f>
        <v>0.28057654631961937</v>
      </c>
      <c r="I8" s="96">
        <v>5359.5</v>
      </c>
      <c r="J8" s="96">
        <v>3855.75</v>
      </c>
      <c r="K8" s="97">
        <f>SUM(Table18[[#This Row],[Prev. Billings]]-Table18[[#This Row],[Prev. Cost]])/Table18[[#This Row],[Prev. Billings]]</f>
        <v>0.28057654631961937</v>
      </c>
      <c r="L8" s="134">
        <f>SUM(Table18[[#This Row],[Margin]]-Table18[[#This Row],[Prev. Margin]])</f>
        <v>0</v>
      </c>
      <c r="N8" s="58" t="s">
        <v>140</v>
      </c>
      <c r="O8" s="84">
        <v>0</v>
      </c>
      <c r="P8" s="84">
        <v>5024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5">
        <f t="shared" si="0"/>
        <v>5024</v>
      </c>
      <c r="AF8" s="55" t="s">
        <v>57</v>
      </c>
      <c r="AG8" s="132">
        <v>16605.01545454537</v>
      </c>
      <c r="AH8" s="89">
        <v>90613.6</v>
      </c>
      <c r="AI8" s="89">
        <v>74008.584545454636</v>
      </c>
      <c r="AJ8" s="90">
        <v>0.18325080842771249</v>
      </c>
      <c r="AL8" s="55" t="s">
        <v>259</v>
      </c>
      <c r="AM8" s="89">
        <v>6516</v>
      </c>
      <c r="AN8" s="89">
        <v>6428.84</v>
      </c>
      <c r="AO8" s="89">
        <v>87.159999999999854</v>
      </c>
      <c r="AP8" s="90">
        <v>1.3376304481276835E-2</v>
      </c>
      <c r="AS8" s="55" t="s">
        <v>197</v>
      </c>
      <c r="AT8" s="125">
        <v>153.29000000000008</v>
      </c>
      <c r="AW8"/>
      <c r="AX8"/>
      <c r="AY8"/>
      <c r="AZ8"/>
      <c r="BA8"/>
    </row>
    <row r="9" spans="2:53" s="1" customFormat="1" ht="22" customHeight="1" x14ac:dyDescent="0.35">
      <c r="B9" s="21" t="s">
        <v>103</v>
      </c>
      <c r="C9" s="21" t="s">
        <v>75</v>
      </c>
      <c r="D9" s="73">
        <v>44405</v>
      </c>
      <c r="E9" s="73">
        <v>44410</v>
      </c>
      <c r="F9" s="158">
        <v>8530.5375000000004</v>
      </c>
      <c r="G9" s="158">
        <v>6713.6149999999998</v>
      </c>
      <c r="H9" s="97">
        <f>SUM(Table18[[#This Row],[Billings]]-Table18[[#This Row],[Cost]])/Table18[[#This Row],[Billings]]</f>
        <v>0.21299038894090794</v>
      </c>
      <c r="I9" s="96">
        <v>8530.5375000000004</v>
      </c>
      <c r="J9" s="96">
        <v>6713.6149999999998</v>
      </c>
      <c r="K9" s="97">
        <f>SUM(Table18[[#This Row],[Prev. Billings]]-Table18[[#This Row],[Prev. Cost]])/Table18[[#This Row],[Prev. Billings]]</f>
        <v>0.21299038894090794</v>
      </c>
      <c r="L9" s="134">
        <f>SUM(Table18[[#This Row],[Margin]]-Table18[[#This Row],[Prev. Margin]])</f>
        <v>0</v>
      </c>
      <c r="N9" s="58" t="s">
        <v>90</v>
      </c>
      <c r="O9" s="84">
        <v>176891</v>
      </c>
      <c r="P9" s="84">
        <v>132701</v>
      </c>
      <c r="Q9" s="44">
        <v>290908</v>
      </c>
      <c r="R9" s="44">
        <v>366526</v>
      </c>
      <c r="S9" s="44">
        <v>215099</v>
      </c>
      <c r="T9" s="44">
        <v>277925</v>
      </c>
      <c r="U9" s="44">
        <v>121557</v>
      </c>
      <c r="V9" s="45">
        <f t="shared" si="0"/>
        <v>1581607</v>
      </c>
      <c r="AF9" s="55" t="s">
        <v>39</v>
      </c>
      <c r="AG9" s="132">
        <v>15389.514999999912</v>
      </c>
      <c r="AH9" s="89">
        <v>116130.46999999999</v>
      </c>
      <c r="AI9" s="89">
        <v>100740.95500000007</v>
      </c>
      <c r="AJ9" s="90">
        <v>0.13251918295000367</v>
      </c>
      <c r="AL9" s="55" t="s">
        <v>145</v>
      </c>
      <c r="AM9" s="89">
        <v>656.8</v>
      </c>
      <c r="AN9" s="89">
        <v>602.96</v>
      </c>
      <c r="AO9" s="89">
        <v>53.839999999999918</v>
      </c>
      <c r="AP9" s="90">
        <v>8.1973203410474912E-2</v>
      </c>
      <c r="AS9" s="55" t="s">
        <v>69</v>
      </c>
      <c r="AT9" s="125">
        <v>11.259999999999764</v>
      </c>
      <c r="AW9"/>
      <c r="AX9"/>
      <c r="AY9"/>
      <c r="AZ9"/>
      <c r="BA9"/>
    </row>
    <row r="10" spans="2:53" s="1" customFormat="1" ht="22" customHeight="1" thickBot="1" x14ac:dyDescent="0.4">
      <c r="B10" s="21" t="s">
        <v>109</v>
      </c>
      <c r="C10" s="21" t="s">
        <v>276</v>
      </c>
      <c r="D10" s="73">
        <v>44405</v>
      </c>
      <c r="E10" s="73">
        <v>44412</v>
      </c>
      <c r="F10" s="158">
        <v>4168.5</v>
      </c>
      <c r="G10" s="158">
        <v>3314.17</v>
      </c>
      <c r="H10" s="97">
        <f>SUM(Table18[[#This Row],[Billings]]-Table18[[#This Row],[Cost]])/Table18[[#This Row],[Billings]]</f>
        <v>0.20494902243013072</v>
      </c>
      <c r="I10" s="96">
        <v>4168.5</v>
      </c>
      <c r="J10" s="96">
        <v>3314.17</v>
      </c>
      <c r="K10" s="97">
        <f>SUM(Table18[[#This Row],[Prev. Billings]]-Table18[[#This Row],[Prev. Cost]])/Table18[[#This Row],[Prev. Billings]]</f>
        <v>0.20494902243013072</v>
      </c>
      <c r="L10" s="134">
        <f>SUM(Table18[[#This Row],[Margin]]-Table18[[#This Row],[Prev. Margin]])</f>
        <v>0</v>
      </c>
      <c r="N10" s="59" t="s">
        <v>85</v>
      </c>
      <c r="O10" s="85">
        <f t="shared" ref="O10:U10" si="1">SUM(O4:O9)</f>
        <v>309211</v>
      </c>
      <c r="P10" s="85">
        <f t="shared" si="1"/>
        <v>324782</v>
      </c>
      <c r="Q10" s="46">
        <f t="shared" si="1"/>
        <v>499699</v>
      </c>
      <c r="R10" s="46">
        <f t="shared" si="1"/>
        <v>607118</v>
      </c>
      <c r="S10" s="46">
        <f t="shared" si="1"/>
        <v>316181</v>
      </c>
      <c r="T10" s="46">
        <f t="shared" si="1"/>
        <v>316650</v>
      </c>
      <c r="U10" s="46">
        <f t="shared" si="1"/>
        <v>121557</v>
      </c>
      <c r="V10" s="76">
        <f t="shared" ref="V10" si="2">SUM(O10:U10)</f>
        <v>2495198</v>
      </c>
      <c r="AF10" s="55" t="s">
        <v>38</v>
      </c>
      <c r="AG10" s="132">
        <v>13220.119999999995</v>
      </c>
      <c r="AH10" s="89">
        <v>73070.91</v>
      </c>
      <c r="AI10" s="89">
        <v>59850.790000000008</v>
      </c>
      <c r="AJ10" s="90">
        <v>0.18092179227000177</v>
      </c>
      <c r="AL10" s="55" t="s">
        <v>82</v>
      </c>
      <c r="AM10" s="89">
        <v>323.08</v>
      </c>
      <c r="AN10" s="89">
        <v>284.57</v>
      </c>
      <c r="AO10" s="89">
        <v>38.509999999999991</v>
      </c>
      <c r="AP10" s="90">
        <v>0.119196483843011</v>
      </c>
      <c r="AS10" s="55" t="s">
        <v>391</v>
      </c>
      <c r="AT10" s="125">
        <v>154.37999999999988</v>
      </c>
      <c r="AW10"/>
      <c r="AX10"/>
      <c r="AY10"/>
      <c r="AZ10"/>
      <c r="BA10"/>
    </row>
    <row r="11" spans="2:53" s="1" customFormat="1" ht="22" customHeight="1" thickBot="1" x14ac:dyDescent="0.4">
      <c r="B11" s="21" t="s">
        <v>137</v>
      </c>
      <c r="C11" s="21" t="s">
        <v>277</v>
      </c>
      <c r="D11" s="73">
        <v>44411</v>
      </c>
      <c r="E11" s="73">
        <v>44424</v>
      </c>
      <c r="F11" s="158">
        <v>3573</v>
      </c>
      <c r="G11" s="158">
        <v>2901.91</v>
      </c>
      <c r="H11" s="97">
        <f>SUM(Table18[[#This Row],[Billings]]-Table18[[#This Row],[Cost]])/Table18[[#This Row],[Billings]]</f>
        <v>0.18782255807444728</v>
      </c>
      <c r="I11" s="96">
        <v>3573</v>
      </c>
      <c r="J11" s="96">
        <v>2901.91</v>
      </c>
      <c r="K11" s="97">
        <f>SUM(Table18[[#This Row],[Prev. Billings]]-Table18[[#This Row],[Prev. Cost]])/Table18[[#This Row],[Prev. Billings]]</f>
        <v>0.18782255807444728</v>
      </c>
      <c r="L11" s="134">
        <f>SUM(Table18[[#This Row],[Margin]]-Table18[[#This Row],[Prev. Margin]])</f>
        <v>0</v>
      </c>
      <c r="N11" s="55"/>
      <c r="AF11" s="55" t="s">
        <v>78</v>
      </c>
      <c r="AG11" s="132">
        <v>10855.360000000022</v>
      </c>
      <c r="AH11" s="89">
        <v>60955.439999999995</v>
      </c>
      <c r="AI11" s="89">
        <v>50100.079999999973</v>
      </c>
      <c r="AJ11" s="90">
        <v>0.17808681226810968</v>
      </c>
      <c r="AL11" s="55" t="s">
        <v>143</v>
      </c>
      <c r="AM11" s="89">
        <v>208.45</v>
      </c>
      <c r="AN11" s="89">
        <v>186.49</v>
      </c>
      <c r="AO11" s="89">
        <v>21.95999999999998</v>
      </c>
      <c r="AP11" s="90">
        <v>0.10534900455744774</v>
      </c>
      <c r="AS11" s="55" t="s">
        <v>204</v>
      </c>
      <c r="AT11" s="125">
        <v>124.83999999999992</v>
      </c>
      <c r="AW11"/>
      <c r="AX11"/>
      <c r="AY11"/>
      <c r="AZ11"/>
      <c r="BA11"/>
    </row>
    <row r="12" spans="2:53" s="47" customFormat="1" ht="22" customHeight="1" x14ac:dyDescent="0.35">
      <c r="B12" s="21" t="s">
        <v>138</v>
      </c>
      <c r="C12" s="21" t="s">
        <v>278</v>
      </c>
      <c r="D12" s="73">
        <v>44425</v>
      </c>
      <c r="E12" s="73">
        <v>44433</v>
      </c>
      <c r="F12" s="158">
        <v>7940</v>
      </c>
      <c r="G12" s="158">
        <v>6391.4000000000005</v>
      </c>
      <c r="H12" s="97">
        <f>SUM(Table18[[#This Row],[Billings]]-Table18[[#This Row],[Cost]])/Table18[[#This Row],[Billings]]</f>
        <v>0.1950377833753148</v>
      </c>
      <c r="I12" s="96">
        <v>8082.5</v>
      </c>
      <c r="J12" s="96">
        <v>6391.4000000000005</v>
      </c>
      <c r="K12" s="97">
        <f>SUM(Table18[[#This Row],[Prev. Billings]]-Table18[[#This Row],[Prev. Cost]])/Table18[[#This Row],[Prev. Billings]]</f>
        <v>0.2092298175069594</v>
      </c>
      <c r="L12" s="134">
        <f>SUM(Table18[[#This Row],[Margin]]-Table18[[#This Row],[Prev. Margin]])</f>
        <v>-1.4192034131644604E-2</v>
      </c>
      <c r="N12" s="56" t="s">
        <v>87</v>
      </c>
      <c r="O12" s="40"/>
      <c r="P12" s="40"/>
      <c r="Q12" s="40"/>
      <c r="R12" s="40"/>
      <c r="S12" s="40"/>
      <c r="T12" s="40"/>
      <c r="U12" s="40"/>
      <c r="V12" s="41"/>
      <c r="AF12" s="55" t="s">
        <v>191</v>
      </c>
      <c r="AG12" s="132">
        <v>10648.199999999822</v>
      </c>
      <c r="AH12" s="89">
        <v>110870.65000000001</v>
      </c>
      <c r="AI12" s="89">
        <v>100222.45000000019</v>
      </c>
      <c r="AJ12" s="90">
        <v>9.6041648533672544E-2</v>
      </c>
      <c r="AL12" s="55" t="s">
        <v>69</v>
      </c>
      <c r="AM12" s="89">
        <v>1588</v>
      </c>
      <c r="AN12" s="89">
        <v>1576.7400000000002</v>
      </c>
      <c r="AO12" s="89">
        <v>11.259999999999764</v>
      </c>
      <c r="AP12" s="90">
        <v>7.0906801007555188E-3</v>
      </c>
      <c r="AS12" s="55" t="s">
        <v>291</v>
      </c>
      <c r="AT12" s="125">
        <v>883.64999999999918</v>
      </c>
      <c r="AW12"/>
      <c r="AX12"/>
      <c r="AY12"/>
      <c r="AZ12"/>
      <c r="BA12"/>
    </row>
    <row r="13" spans="2:53" s="47" customFormat="1" ht="22" customHeight="1" x14ac:dyDescent="0.35">
      <c r="B13" s="21" t="s">
        <v>141</v>
      </c>
      <c r="C13" s="21" t="s">
        <v>142</v>
      </c>
      <c r="D13" s="73">
        <v>44413</v>
      </c>
      <c r="E13" s="73">
        <v>44420</v>
      </c>
      <c r="F13" s="158">
        <v>7940</v>
      </c>
      <c r="G13" s="158">
        <v>6411</v>
      </c>
      <c r="H13" s="97">
        <f>SUM(Table18[[#This Row],[Billings]]-Table18[[#This Row],[Cost]])/Table18[[#This Row],[Billings]]</f>
        <v>0.19256926952141057</v>
      </c>
      <c r="I13" s="96">
        <v>7940</v>
      </c>
      <c r="J13" s="96">
        <v>6411</v>
      </c>
      <c r="K13" s="97">
        <f>SUM(Table18[[#This Row],[Prev. Billings]]-Table18[[#This Row],[Prev. Cost]])/Table18[[#This Row],[Prev. Billings]]</f>
        <v>0.19256926952141057</v>
      </c>
      <c r="L13" s="134">
        <f>SUM(Table18[[#This Row],[Margin]]-Table18[[#This Row],[Prev. Margin]])</f>
        <v>0</v>
      </c>
      <c r="N13" s="60"/>
      <c r="O13" s="48" t="s">
        <v>91</v>
      </c>
      <c r="P13" s="48" t="s">
        <v>92</v>
      </c>
      <c r="Q13" s="48" t="s">
        <v>93</v>
      </c>
      <c r="R13" s="48" t="s">
        <v>94</v>
      </c>
      <c r="S13" s="48" t="s">
        <v>170</v>
      </c>
      <c r="T13" s="48" t="s">
        <v>274</v>
      </c>
      <c r="U13" s="48" t="s">
        <v>275</v>
      </c>
      <c r="V13" s="49" t="s">
        <v>95</v>
      </c>
      <c r="AF13"/>
      <c r="AG13"/>
      <c r="AH13"/>
      <c r="AI13"/>
      <c r="AJ13"/>
      <c r="AL13"/>
      <c r="AM13"/>
      <c r="AN13"/>
      <c r="AO13"/>
      <c r="AP13"/>
      <c r="AT13" s="119"/>
      <c r="AW13"/>
      <c r="AX13"/>
      <c r="AY13"/>
      <c r="AZ13"/>
      <c r="BA13"/>
    </row>
    <row r="14" spans="2:53" s="1" customFormat="1" ht="22" customHeight="1" x14ac:dyDescent="0.35">
      <c r="B14" s="21" t="s">
        <v>149</v>
      </c>
      <c r="C14" s="21" t="s">
        <v>99</v>
      </c>
      <c r="D14" s="73">
        <v>44441</v>
      </c>
      <c r="E14" s="73">
        <v>44446</v>
      </c>
      <c r="F14" s="158">
        <v>5955</v>
      </c>
      <c r="G14" s="158">
        <v>4809.08</v>
      </c>
      <c r="H14" s="97">
        <f>SUM(Table18[[#This Row],[Billings]]-Table18[[#This Row],[Cost]])/Table18[[#This Row],[Billings]]</f>
        <v>0.19242989084802689</v>
      </c>
      <c r="I14" s="96">
        <v>5955</v>
      </c>
      <c r="J14" s="96">
        <v>5055.7199999999993</v>
      </c>
      <c r="K14" s="97">
        <f>SUM(Table18[[#This Row],[Prev. Billings]]-Table18[[#This Row],[Prev. Cost]])/Table18[[#This Row],[Prev. Billings]]</f>
        <v>0.1510125944584384</v>
      </c>
      <c r="L14" s="134">
        <f>SUM(Table18[[#This Row],[Margin]]-Table18[[#This Row],[Prev. Margin]])</f>
        <v>4.1417296389588493E-2</v>
      </c>
      <c r="N14" s="58" t="s">
        <v>89</v>
      </c>
      <c r="O14" s="86">
        <v>1852</v>
      </c>
      <c r="P14" s="86">
        <v>23769</v>
      </c>
      <c r="Q14" s="50">
        <v>24307</v>
      </c>
      <c r="R14" s="50">
        <v>26208</v>
      </c>
      <c r="S14" s="50">
        <v>46474</v>
      </c>
      <c r="T14" s="50">
        <v>26865</v>
      </c>
      <c r="U14" s="50">
        <v>0</v>
      </c>
      <c r="V14" s="45">
        <f t="shared" ref="V14:V19" si="3">SUM(O14:U14)</f>
        <v>149475</v>
      </c>
      <c r="AF14" s="161" t="s">
        <v>240</v>
      </c>
      <c r="AG14" s="161"/>
      <c r="AH14" s="161"/>
      <c r="AI14" s="161"/>
      <c r="AJ14" s="161"/>
      <c r="AL14" s="161" t="s">
        <v>290</v>
      </c>
      <c r="AM14" s="161"/>
      <c r="AN14" s="161"/>
      <c r="AO14" s="161"/>
      <c r="AP14" s="161"/>
      <c r="AS14" s="88" t="s">
        <v>231</v>
      </c>
      <c r="AT14" t="s">
        <v>293</v>
      </c>
      <c r="AW14"/>
      <c r="AX14"/>
      <c r="AY14"/>
      <c r="AZ14"/>
      <c r="BA14"/>
    </row>
    <row r="15" spans="2:53" s="1" customFormat="1" ht="22" customHeight="1" x14ac:dyDescent="0.35">
      <c r="B15" s="21" t="s">
        <v>150</v>
      </c>
      <c r="C15" s="21" t="s">
        <v>99</v>
      </c>
      <c r="D15" s="73">
        <v>44447</v>
      </c>
      <c r="E15" s="73">
        <v>44450</v>
      </c>
      <c r="F15" s="158">
        <v>9925</v>
      </c>
      <c r="G15" s="158">
        <v>7956.92</v>
      </c>
      <c r="H15" s="97">
        <f>SUM(Table18[[#This Row],[Billings]]-Table18[[#This Row],[Cost]])/Table18[[#This Row],[Billings]]</f>
        <v>0.19829521410579345</v>
      </c>
      <c r="I15" s="96">
        <v>9925</v>
      </c>
      <c r="J15" s="96">
        <v>7956.92</v>
      </c>
      <c r="K15" s="97">
        <f>SUM(Table18[[#This Row],[Prev. Billings]]-Table18[[#This Row],[Prev. Cost]])/Table18[[#This Row],[Prev. Billings]]</f>
        <v>0.19829521410579345</v>
      </c>
      <c r="L15" s="134">
        <f>SUM(Table18[[#This Row],[Margin]]-Table18[[#This Row],[Prev. Margin]])</f>
        <v>0</v>
      </c>
      <c r="N15" s="58" t="s">
        <v>22</v>
      </c>
      <c r="O15" s="86">
        <v>100831</v>
      </c>
      <c r="P15" s="86">
        <v>112915</v>
      </c>
      <c r="Q15" s="50">
        <v>106299</v>
      </c>
      <c r="R15" s="50">
        <v>136967</v>
      </c>
      <c r="S15" s="50">
        <v>42661</v>
      </c>
      <c r="T15" s="50">
        <v>8168</v>
      </c>
      <c r="U15" s="50"/>
      <c r="V15" s="45">
        <f t="shared" si="3"/>
        <v>507841</v>
      </c>
      <c r="AF15" s="88" t="s">
        <v>231</v>
      </c>
      <c r="AG15" t="s">
        <v>229</v>
      </c>
      <c r="AH15" t="s">
        <v>230</v>
      </c>
      <c r="AI15" t="s">
        <v>232</v>
      </c>
      <c r="AJ15" s="90" t="s">
        <v>233</v>
      </c>
      <c r="AL15" s="88" t="s">
        <v>231</v>
      </c>
      <c r="AM15" t="s">
        <v>229</v>
      </c>
      <c r="AN15" t="s">
        <v>230</v>
      </c>
      <c r="AO15" t="s">
        <v>232</v>
      </c>
      <c r="AP15" s="90" t="s">
        <v>233</v>
      </c>
      <c r="AS15" s="55" t="s">
        <v>48</v>
      </c>
      <c r="AT15" s="124">
        <v>4.9356644163637518E-2</v>
      </c>
      <c r="AW15"/>
      <c r="AX15"/>
      <c r="AY15"/>
      <c r="AZ15"/>
      <c r="BA15"/>
    </row>
    <row r="16" spans="2:53" s="1" customFormat="1" ht="22" customHeight="1" x14ac:dyDescent="0.35">
      <c r="B16" s="21" t="s">
        <v>256</v>
      </c>
      <c r="C16" s="21" t="s">
        <v>279</v>
      </c>
      <c r="D16" s="73">
        <v>44461</v>
      </c>
      <c r="E16" s="73">
        <v>44466</v>
      </c>
      <c r="F16" s="158">
        <v>3466.2000000000003</v>
      </c>
      <c r="G16" s="158">
        <v>2857.24</v>
      </c>
      <c r="H16" s="97">
        <f>SUM(Table18[[#This Row],[Billings]]-Table18[[#This Row],[Cost]])/Table18[[#This Row],[Billings]]</f>
        <v>0.17568518839074504</v>
      </c>
      <c r="I16" s="96">
        <v>3466.2000000000003</v>
      </c>
      <c r="J16" s="96">
        <v>2857.24</v>
      </c>
      <c r="K16" s="97">
        <f>SUM(Table18[[#This Row],[Prev. Billings]]-Table18[[#This Row],[Prev. Cost]])/Table18[[#This Row],[Prev. Billings]]</f>
        <v>0.17568518839074504</v>
      </c>
      <c r="L16" s="134">
        <f>SUM(Table18[[#This Row],[Margin]]-Table18[[#This Row],[Prev. Margin]])</f>
        <v>0</v>
      </c>
      <c r="N16" s="58" t="s">
        <v>28</v>
      </c>
      <c r="O16" s="86">
        <v>1209</v>
      </c>
      <c r="P16" s="86">
        <v>10954</v>
      </c>
      <c r="Q16" s="50">
        <v>20891</v>
      </c>
      <c r="R16" s="50">
        <v>33049</v>
      </c>
      <c r="S16" s="50">
        <v>1362</v>
      </c>
      <c r="T16" s="50">
        <v>0</v>
      </c>
      <c r="U16" s="50">
        <v>0</v>
      </c>
      <c r="V16" s="45">
        <f t="shared" si="3"/>
        <v>67465</v>
      </c>
      <c r="AF16" s="55" t="s">
        <v>111</v>
      </c>
      <c r="AG16" s="89">
        <v>152510.21000000002</v>
      </c>
      <c r="AH16" s="89">
        <v>93050.24000000002</v>
      </c>
      <c r="AI16" s="89">
        <v>59459.97</v>
      </c>
      <c r="AJ16" s="90">
        <v>0.38987534014935782</v>
      </c>
      <c r="AL16" s="55" t="s">
        <v>217</v>
      </c>
      <c r="AM16" s="89">
        <v>5359.5</v>
      </c>
      <c r="AN16" s="89">
        <v>5048.08</v>
      </c>
      <c r="AO16" s="89">
        <v>311.42000000000007</v>
      </c>
      <c r="AP16" s="90">
        <v>5.8106166620020536E-2</v>
      </c>
      <c r="AS16" s="55" t="s">
        <v>257</v>
      </c>
      <c r="AT16" s="124">
        <v>4.6931000153162664E-2</v>
      </c>
      <c r="AW16"/>
      <c r="AX16"/>
      <c r="AY16"/>
      <c r="AZ16"/>
      <c r="BA16"/>
    </row>
    <row r="17" spans="2:53" s="1" customFormat="1" ht="22" customHeight="1" x14ac:dyDescent="0.35">
      <c r="B17" s="21" t="s">
        <v>257</v>
      </c>
      <c r="C17" s="21" t="s">
        <v>260</v>
      </c>
      <c r="D17" s="73">
        <v>44468</v>
      </c>
      <c r="E17" s="73">
        <v>44475</v>
      </c>
      <c r="F17" s="158">
        <v>5223.2</v>
      </c>
      <c r="G17" s="158">
        <v>4978.0700000000006</v>
      </c>
      <c r="H17" s="97">
        <f>SUM(Table18[[#This Row],[Billings]]-Table18[[#This Row],[Cost]])/Table18[[#This Row],[Billings]]</f>
        <v>4.6931000153162664E-2</v>
      </c>
      <c r="I17" s="96">
        <v>5223.2</v>
      </c>
      <c r="J17" s="96">
        <v>4978.0700000000006</v>
      </c>
      <c r="K17" s="97">
        <f>SUM(Table18[[#This Row],[Prev. Billings]]-Table18[[#This Row],[Prev. Cost]])/Table18[[#This Row],[Prev. Billings]]</f>
        <v>4.6931000153162664E-2</v>
      </c>
      <c r="L17" s="134">
        <f>SUM(Table18[[#This Row],[Margin]]-Table18[[#This Row],[Prev. Margin]])</f>
        <v>0</v>
      </c>
      <c r="N17" s="58" t="s">
        <v>23</v>
      </c>
      <c r="O17" s="86">
        <v>2440</v>
      </c>
      <c r="P17" s="86">
        <v>531</v>
      </c>
      <c r="Q17" s="50">
        <v>4504</v>
      </c>
      <c r="R17" s="50">
        <v>0</v>
      </c>
      <c r="S17" s="50">
        <v>0</v>
      </c>
      <c r="T17" s="50">
        <v>0</v>
      </c>
      <c r="U17" s="50">
        <v>0</v>
      </c>
      <c r="V17" s="45">
        <f t="shared" si="3"/>
        <v>7475</v>
      </c>
      <c r="AF17" s="55" t="s">
        <v>213</v>
      </c>
      <c r="AG17" s="89">
        <v>2157.6</v>
      </c>
      <c r="AH17" s="89">
        <v>1390.75</v>
      </c>
      <c r="AI17" s="89">
        <v>766.84999999999991</v>
      </c>
      <c r="AJ17" s="90">
        <v>0.35541805710048197</v>
      </c>
      <c r="AL17" s="55" t="s">
        <v>266</v>
      </c>
      <c r="AM17" s="89">
        <v>4080</v>
      </c>
      <c r="AN17" s="89">
        <v>3867.9199999999996</v>
      </c>
      <c r="AO17" s="89">
        <v>212.08000000000038</v>
      </c>
      <c r="AP17" s="90">
        <v>5.1980392156862835E-2</v>
      </c>
      <c r="AS17" s="55" t="s">
        <v>258</v>
      </c>
      <c r="AT17" s="124">
        <v>3.2774289069280614E-2</v>
      </c>
      <c r="AW17"/>
      <c r="AX17"/>
      <c r="AY17"/>
      <c r="AZ17"/>
      <c r="BA17"/>
    </row>
    <row r="18" spans="2:53" s="1" customFormat="1" ht="22" customHeight="1" x14ac:dyDescent="0.35">
      <c r="B18" s="21" t="s">
        <v>258</v>
      </c>
      <c r="C18" s="21" t="s">
        <v>261</v>
      </c>
      <c r="D18" s="73">
        <v>44482</v>
      </c>
      <c r="E18" s="73">
        <v>44487</v>
      </c>
      <c r="F18" s="158">
        <v>3917.3999999999996</v>
      </c>
      <c r="G18" s="158">
        <v>3789.0099999999998</v>
      </c>
      <c r="H18" s="97">
        <f>SUM(Table18[[#This Row],[Billings]]-Table18[[#This Row],[Cost]])/Table18[[#This Row],[Billings]]</f>
        <v>3.2774289069280614E-2</v>
      </c>
      <c r="I18" s="96">
        <v>3917.3999999999996</v>
      </c>
      <c r="J18" s="96">
        <v>3789.0099999999998</v>
      </c>
      <c r="K18" s="97">
        <f>SUM(Table18[[#This Row],[Prev. Billings]]-Table18[[#This Row],[Prev. Cost]])/Table18[[#This Row],[Prev. Billings]]</f>
        <v>3.2774289069280614E-2</v>
      </c>
      <c r="L18" s="134">
        <f>SUM(Table18[[#This Row],[Margin]]-Table18[[#This Row],[Prev. Margin]])</f>
        <v>0</v>
      </c>
      <c r="N18" s="58" t="s">
        <v>140</v>
      </c>
      <c r="O18" s="86">
        <v>0</v>
      </c>
      <c r="P18" s="86">
        <v>4059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45">
        <f t="shared" si="3"/>
        <v>4059</v>
      </c>
      <c r="AF18" s="55" t="s">
        <v>242</v>
      </c>
      <c r="AG18" s="89">
        <v>3774.96</v>
      </c>
      <c r="AH18" s="89">
        <v>2536.8000000000002</v>
      </c>
      <c r="AI18" s="89">
        <v>1238.1599999999999</v>
      </c>
      <c r="AJ18" s="90">
        <v>0.32799287939474853</v>
      </c>
      <c r="AL18" s="55" t="s">
        <v>48</v>
      </c>
      <c r="AM18" s="89">
        <v>3466.2000000000003</v>
      </c>
      <c r="AN18" s="89">
        <v>3295.12</v>
      </c>
      <c r="AO18" s="89">
        <v>171.08000000000038</v>
      </c>
      <c r="AP18" s="90">
        <v>4.9356644163637518E-2</v>
      </c>
      <c r="AS18" s="55" t="s">
        <v>259</v>
      </c>
      <c r="AT18" s="124">
        <v>1.3376304481276835E-2</v>
      </c>
      <c r="AW18"/>
      <c r="AX18"/>
      <c r="AY18"/>
      <c r="AZ18"/>
      <c r="BA18"/>
    </row>
    <row r="19" spans="2:53" s="1" customFormat="1" ht="22" customHeight="1" x14ac:dyDescent="0.35">
      <c r="B19" s="21" t="s">
        <v>259</v>
      </c>
      <c r="C19" s="99" t="s">
        <v>262</v>
      </c>
      <c r="D19" s="73">
        <v>44489</v>
      </c>
      <c r="E19" s="73">
        <v>44496</v>
      </c>
      <c r="F19" s="158">
        <v>6516</v>
      </c>
      <c r="G19" s="158">
        <v>6428.84</v>
      </c>
      <c r="H19" s="97">
        <f>SUM(Table18[[#This Row],[Billings]]-Table18[[#This Row],[Cost]])/Table18[[#This Row],[Billings]]</f>
        <v>1.3376304481276835E-2</v>
      </c>
      <c r="I19" s="96">
        <v>6516</v>
      </c>
      <c r="J19" s="96">
        <v>6428.84</v>
      </c>
      <c r="K19" s="97">
        <f>SUM(Table18[[#This Row],[Prev. Billings]]-Table18[[#This Row],[Prev. Cost]])/Table18[[#This Row],[Prev. Billings]]</f>
        <v>1.3376304481276835E-2</v>
      </c>
      <c r="L19" s="134">
        <f>SUM(Table18[[#This Row],[Margin]]-Table18[[#This Row],[Prev. Margin]])</f>
        <v>0</v>
      </c>
      <c r="N19" s="58" t="s">
        <v>90</v>
      </c>
      <c r="O19" s="86">
        <v>146958</v>
      </c>
      <c r="P19" s="86">
        <v>109316</v>
      </c>
      <c r="Q19" s="50">
        <v>242893</v>
      </c>
      <c r="R19" s="50">
        <v>315274</v>
      </c>
      <c r="S19" s="50">
        <v>190197</v>
      </c>
      <c r="T19" s="50">
        <v>241872</v>
      </c>
      <c r="U19" s="50">
        <v>108157</v>
      </c>
      <c r="V19" s="45">
        <f t="shared" si="3"/>
        <v>1354667</v>
      </c>
      <c r="AF19" s="55" t="s">
        <v>311</v>
      </c>
      <c r="AG19" s="89">
        <v>8337</v>
      </c>
      <c r="AH19" s="89">
        <v>5791.03</v>
      </c>
      <c r="AI19" s="89">
        <v>2545.9700000000003</v>
      </c>
      <c r="AJ19" s="90">
        <v>0.30538203190596142</v>
      </c>
      <c r="AL19" s="55" t="s">
        <v>257</v>
      </c>
      <c r="AM19" s="89">
        <v>5223.2</v>
      </c>
      <c r="AN19" s="89">
        <v>4978.0700000000006</v>
      </c>
      <c r="AO19" s="89">
        <v>245.1299999999992</v>
      </c>
      <c r="AP19" s="90">
        <v>4.6931000153162664E-2</v>
      </c>
      <c r="AS19" s="55" t="s">
        <v>60</v>
      </c>
      <c r="AT19" s="124">
        <v>4.6660029703131829E-2</v>
      </c>
      <c r="AW19"/>
      <c r="AX19"/>
      <c r="AY19"/>
      <c r="AZ19"/>
      <c r="BA19"/>
    </row>
    <row r="20" spans="2:53" s="1" customFormat="1" ht="22" customHeight="1" thickBot="1" x14ac:dyDescent="0.4">
      <c r="B20" s="21" t="s">
        <v>342</v>
      </c>
      <c r="C20" s="21" t="s">
        <v>344</v>
      </c>
      <c r="D20" s="73">
        <v>44468</v>
      </c>
      <c r="E20" s="73">
        <v>44477</v>
      </c>
      <c r="F20" s="158">
        <v>6800</v>
      </c>
      <c r="G20" s="158">
        <v>6210.13</v>
      </c>
      <c r="H20" s="97">
        <f>SUM(Table18[[#This Row],[Billings]]-Table18[[#This Row],[Cost]])/Table18[[#This Row],[Billings]]</f>
        <v>8.6745588235294102E-2</v>
      </c>
      <c r="I20" s="108">
        <v>6800</v>
      </c>
      <c r="J20" s="108">
        <v>6210.13</v>
      </c>
      <c r="K20" s="97">
        <f>SUM(Table18[[#This Row],[Prev. Billings]]-Table18[[#This Row],[Prev. Cost]])/Table18[[#This Row],[Prev. Billings]]</f>
        <v>8.6745588235294102E-2</v>
      </c>
      <c r="L20" s="134">
        <f>SUM(Table18[[#This Row],[Margin]]-Table18[[#This Row],[Prev. Margin]])</f>
        <v>0</v>
      </c>
      <c r="N20" s="59" t="s">
        <v>85</v>
      </c>
      <c r="O20" s="85">
        <f t="shared" ref="O20:U20" si="4">SUM(O14:O19)</f>
        <v>253290</v>
      </c>
      <c r="P20" s="85">
        <f t="shared" si="4"/>
        <v>261544</v>
      </c>
      <c r="Q20" s="46">
        <f t="shared" si="4"/>
        <v>398894</v>
      </c>
      <c r="R20" s="46">
        <f t="shared" si="4"/>
        <v>511498</v>
      </c>
      <c r="S20" s="46">
        <f t="shared" si="4"/>
        <v>280694</v>
      </c>
      <c r="T20" s="46">
        <f t="shared" si="4"/>
        <v>276905</v>
      </c>
      <c r="U20" s="46">
        <f t="shared" si="4"/>
        <v>108157</v>
      </c>
      <c r="V20" s="76">
        <f t="shared" ref="V20" si="5">SUM(O20:U20)</f>
        <v>2090982</v>
      </c>
      <c r="AF20" s="55" t="s">
        <v>136</v>
      </c>
      <c r="AG20" s="89">
        <v>745.28</v>
      </c>
      <c r="AH20" s="89">
        <v>531.6099999999999</v>
      </c>
      <c r="AI20" s="89">
        <v>213.67000000000007</v>
      </c>
      <c r="AJ20" s="90">
        <v>0.28669761700300567</v>
      </c>
      <c r="AL20" s="55" t="s">
        <v>60</v>
      </c>
      <c r="AM20" s="89">
        <v>24509.199999999997</v>
      </c>
      <c r="AN20" s="89">
        <v>23365.599999999999</v>
      </c>
      <c r="AO20" s="89">
        <v>1143.5999999999985</v>
      </c>
      <c r="AP20" s="90">
        <v>4.6660029703131829E-2</v>
      </c>
      <c r="AS20" s="55" t="s">
        <v>69</v>
      </c>
      <c r="AT20" s="124">
        <v>7.0906801007555188E-3</v>
      </c>
      <c r="AW20"/>
      <c r="AX20"/>
      <c r="AY20"/>
      <c r="AZ20"/>
      <c r="BA20"/>
    </row>
    <row r="21" spans="2:53" s="47" customFormat="1" ht="22" customHeight="1" thickBot="1" x14ac:dyDescent="0.4">
      <c r="B21" s="21" t="s">
        <v>343</v>
      </c>
      <c r="C21" s="21" t="s">
        <v>345</v>
      </c>
      <c r="D21" s="73">
        <v>44462</v>
      </c>
      <c r="E21" s="73">
        <v>44466</v>
      </c>
      <c r="F21" s="158">
        <v>3400</v>
      </c>
      <c r="G21" s="158">
        <v>3174.98</v>
      </c>
      <c r="H21" s="97">
        <f>SUM(Table18[[#This Row],[Billings]]-Table18[[#This Row],[Cost]])/Table18[[#This Row],[Billings]]</f>
        <v>6.618235294117647E-2</v>
      </c>
      <c r="I21" s="108">
        <v>3400</v>
      </c>
      <c r="J21" s="108">
        <v>3174.98</v>
      </c>
      <c r="K21" s="97">
        <f>SUM(Table18[[#This Row],[Prev. Billings]]-Table18[[#This Row],[Prev. Cost]])/Table18[[#This Row],[Prev. Billings]]</f>
        <v>6.618235294117647E-2</v>
      </c>
      <c r="L21" s="134">
        <f>SUM(Table18[[#This Row],[Margin]]-Table18[[#This Row],[Prev. Margin]])</f>
        <v>0</v>
      </c>
      <c r="N21" s="55"/>
      <c r="O21" s="1"/>
      <c r="P21" s="1"/>
      <c r="Q21" s="1"/>
      <c r="R21" s="1"/>
      <c r="S21" s="1"/>
      <c r="T21" s="1"/>
      <c r="U21" s="1"/>
      <c r="V21" s="1"/>
      <c r="AF21" s="55" t="s">
        <v>102</v>
      </c>
      <c r="AG21" s="89">
        <v>5359.5</v>
      </c>
      <c r="AH21" s="89">
        <v>3855.75</v>
      </c>
      <c r="AI21" s="89">
        <v>1503.75</v>
      </c>
      <c r="AJ21" s="90">
        <v>0.28057654631961937</v>
      </c>
      <c r="AL21" s="55" t="s">
        <v>313</v>
      </c>
      <c r="AM21" s="89">
        <v>5270</v>
      </c>
      <c r="AN21" s="89">
        <v>5027.3200000000006</v>
      </c>
      <c r="AO21" s="89">
        <v>242.67999999999938</v>
      </c>
      <c r="AP21" s="90">
        <v>4.6049335863377491E-2</v>
      </c>
      <c r="AS21" s="55" t="s">
        <v>217</v>
      </c>
      <c r="AT21" s="124">
        <v>5.8106166620020536E-2</v>
      </c>
      <c r="AW21"/>
      <c r="AX21"/>
      <c r="AY21"/>
      <c r="AZ21"/>
      <c r="BA21"/>
    </row>
    <row r="22" spans="2:53" s="47" customFormat="1" ht="22" customHeight="1" x14ac:dyDescent="0.35">
      <c r="B22" s="21" t="s">
        <v>394</v>
      </c>
      <c r="C22" s="21" t="s">
        <v>405</v>
      </c>
      <c r="D22" s="73">
        <v>44459</v>
      </c>
      <c r="E22" s="73">
        <v>44467</v>
      </c>
      <c r="F22" s="158">
        <v>5140.8</v>
      </c>
      <c r="G22" s="158">
        <v>4224.2</v>
      </c>
      <c r="H22" s="97">
        <f>SUM(Table18[[#This Row],[Billings]]-Table18[[#This Row],[Cost]])/Table18[[#This Row],[Billings]]</f>
        <v>0.17829909741674455</v>
      </c>
      <c r="I22" s="156"/>
      <c r="J22" s="156"/>
      <c r="K22" s="97"/>
      <c r="L22" s="134"/>
      <c r="N22" s="56" t="s">
        <v>88</v>
      </c>
      <c r="O22" s="40"/>
      <c r="P22" s="40"/>
      <c r="Q22" s="40"/>
      <c r="R22" s="40"/>
      <c r="S22" s="40"/>
      <c r="T22" s="40"/>
      <c r="U22" s="40"/>
      <c r="V22" s="41"/>
      <c r="AF22" s="55" t="s">
        <v>328</v>
      </c>
      <c r="AG22" s="89">
        <v>4566.96</v>
      </c>
      <c r="AH22" s="89">
        <v>3296.54</v>
      </c>
      <c r="AI22" s="89">
        <v>1270.42</v>
      </c>
      <c r="AJ22" s="90">
        <v>0.27817629232574842</v>
      </c>
      <c r="AL22" s="55" t="s">
        <v>390</v>
      </c>
      <c r="AM22" s="89">
        <v>4080</v>
      </c>
      <c r="AN22" s="89">
        <v>3907.0400000000009</v>
      </c>
      <c r="AO22" s="89">
        <v>172.95999999999913</v>
      </c>
      <c r="AP22" s="90">
        <v>4.2392156862744883E-2</v>
      </c>
      <c r="AS22" s="55" t="s">
        <v>266</v>
      </c>
      <c r="AT22" s="124">
        <v>5.1980392156862835E-2</v>
      </c>
      <c r="AW22"/>
      <c r="AX22"/>
      <c r="AY22"/>
      <c r="AZ22"/>
      <c r="BA22"/>
    </row>
    <row r="23" spans="2:53" s="1" customFormat="1" ht="22" customHeight="1" x14ac:dyDescent="0.35">
      <c r="B23" s="21" t="s">
        <v>395</v>
      </c>
      <c r="C23" s="21" t="s">
        <v>406</v>
      </c>
      <c r="D23" s="73">
        <v>44468</v>
      </c>
      <c r="E23" s="73">
        <v>44475</v>
      </c>
      <c r="F23" s="158">
        <v>4621.6000000000004</v>
      </c>
      <c r="G23" s="158">
        <v>3758.2700000000004</v>
      </c>
      <c r="H23" s="97">
        <f>SUM(Table18[[#This Row],[Billings]]-Table18[[#This Row],[Cost]])/Table18[[#This Row],[Billings]]</f>
        <v>0.18680327159425303</v>
      </c>
      <c r="I23" s="156"/>
      <c r="J23" s="156"/>
      <c r="K23" s="97"/>
      <c r="L23" s="134"/>
      <c r="N23" s="61"/>
      <c r="O23" s="51" t="s">
        <v>91</v>
      </c>
      <c r="P23" s="51" t="s">
        <v>92</v>
      </c>
      <c r="Q23" s="51" t="s">
        <v>93</v>
      </c>
      <c r="R23" s="51" t="s">
        <v>94</v>
      </c>
      <c r="S23" s="51" t="s">
        <v>170</v>
      </c>
      <c r="T23" s="51" t="s">
        <v>274</v>
      </c>
      <c r="U23" s="51" t="s">
        <v>275</v>
      </c>
      <c r="V23" s="52" t="s">
        <v>95</v>
      </c>
      <c r="AF23" s="55" t="s">
        <v>264</v>
      </c>
      <c r="AG23" s="89">
        <v>6237</v>
      </c>
      <c r="AH23" s="89">
        <v>4504.03</v>
      </c>
      <c r="AI23" s="89">
        <v>1732.9700000000003</v>
      </c>
      <c r="AJ23" s="90">
        <v>0.2778531345198012</v>
      </c>
      <c r="AL23" s="55" t="s">
        <v>258</v>
      </c>
      <c r="AM23" s="89">
        <v>3917.3999999999996</v>
      </c>
      <c r="AN23" s="89">
        <v>3789.0099999999998</v>
      </c>
      <c r="AO23" s="89">
        <v>128.38999999999987</v>
      </c>
      <c r="AP23" s="90">
        <v>3.2774289069280614E-2</v>
      </c>
      <c r="AS23" s="55" t="s">
        <v>313</v>
      </c>
      <c r="AT23" s="124">
        <v>4.6049335863377491E-2</v>
      </c>
      <c r="AW23"/>
      <c r="AX23"/>
      <c r="AY23"/>
      <c r="AZ23"/>
      <c r="BA23"/>
    </row>
    <row r="24" spans="2:53" s="1" customFormat="1" ht="22" customHeight="1" x14ac:dyDescent="0.35">
      <c r="B24" s="21" t="s">
        <v>396</v>
      </c>
      <c r="C24" s="21" t="s">
        <v>407</v>
      </c>
      <c r="D24" s="73">
        <v>44461</v>
      </c>
      <c r="E24" s="73">
        <v>44468</v>
      </c>
      <c r="F24" s="158">
        <v>4621.6000000000004</v>
      </c>
      <c r="G24" s="158">
        <v>3815.7400000000002</v>
      </c>
      <c r="H24" s="97">
        <f>SUM(Table18[[#This Row],[Billings]]-Table18[[#This Row],[Cost]])/Table18[[#This Row],[Billings]]</f>
        <v>0.17436818417863945</v>
      </c>
      <c r="I24" s="156"/>
      <c r="J24" s="156"/>
      <c r="K24" s="97"/>
      <c r="L24" s="134"/>
      <c r="N24" s="58" t="s">
        <v>89</v>
      </c>
      <c r="O24" s="87">
        <f t="shared" ref="O24:U27" si="6">IFERROR(SUM(O4-O14)/O4,0)</f>
        <v>0.5993076590220684</v>
      </c>
      <c r="P24" s="87">
        <f t="shared" si="6"/>
        <v>0.16001696292893239</v>
      </c>
      <c r="Q24" s="53">
        <f t="shared" si="6"/>
        <v>0.26358045263126001</v>
      </c>
      <c r="R24" s="53">
        <f t="shared" si="6"/>
        <v>0.16979219462747086</v>
      </c>
      <c r="S24" s="53">
        <f t="shared" si="6"/>
        <v>9.5519831847728776E-2</v>
      </c>
      <c r="T24" s="53">
        <f t="shared" si="6"/>
        <v>9.8126762454679731E-2</v>
      </c>
      <c r="U24" s="53">
        <f t="shared" si="6"/>
        <v>0</v>
      </c>
      <c r="V24" s="54">
        <f t="shared" ref="V24:V29" si="7">SUM(V4-V14)/V4</f>
        <v>0.16337370707025478</v>
      </c>
      <c r="AF24" s="55" t="s">
        <v>263</v>
      </c>
      <c r="AG24" s="89">
        <v>866.15</v>
      </c>
      <c r="AH24" s="89">
        <v>627.61</v>
      </c>
      <c r="AI24" s="89">
        <v>238.53999999999996</v>
      </c>
      <c r="AJ24" s="90">
        <v>0.27540264388385383</v>
      </c>
      <c r="AL24" s="55" t="s">
        <v>259</v>
      </c>
      <c r="AM24" s="89">
        <v>6516</v>
      </c>
      <c r="AN24" s="89">
        <v>6428.84</v>
      </c>
      <c r="AO24" s="89">
        <v>87.159999999999854</v>
      </c>
      <c r="AP24" s="90">
        <v>1.3376304481276835E-2</v>
      </c>
      <c r="AS24" s="55" t="s">
        <v>390</v>
      </c>
      <c r="AT24" s="124">
        <v>4.2392156862744883E-2</v>
      </c>
      <c r="AW24"/>
      <c r="AX24"/>
      <c r="AY24"/>
      <c r="AZ24"/>
      <c r="BA24"/>
    </row>
    <row r="25" spans="2:53" s="1" customFormat="1" ht="22" customHeight="1" x14ac:dyDescent="0.35">
      <c r="B25" s="21" t="s">
        <v>397</v>
      </c>
      <c r="C25" s="21" t="s">
        <v>408</v>
      </c>
      <c r="D25" s="73">
        <v>44469</v>
      </c>
      <c r="E25" s="73">
        <v>44474</v>
      </c>
      <c r="F25" s="158">
        <v>3917.3999999999996</v>
      </c>
      <c r="G25" s="158">
        <v>3349.0099999999998</v>
      </c>
      <c r="H25" s="97">
        <f>SUM(Table18[[#This Row],[Billings]]-Table18[[#This Row],[Cost]])/Table18[[#This Row],[Billings]]</f>
        <v>0.14509368458671565</v>
      </c>
      <c r="I25" s="156"/>
      <c r="J25" s="156"/>
      <c r="K25" s="97"/>
      <c r="L25" s="134"/>
      <c r="N25" s="58" t="s">
        <v>22</v>
      </c>
      <c r="O25" s="87">
        <f t="shared" si="6"/>
        <v>0.17077723957005519</v>
      </c>
      <c r="P25" s="87">
        <f t="shared" si="6"/>
        <v>0.21907851056766625</v>
      </c>
      <c r="Q25" s="53">
        <f t="shared" si="6"/>
        <v>0.26424967295832552</v>
      </c>
      <c r="R25" s="53">
        <f t="shared" si="6"/>
        <v>0.1904497337297342</v>
      </c>
      <c r="S25" s="53">
        <f t="shared" si="6"/>
        <v>0.11063625750500333</v>
      </c>
      <c r="T25" s="53">
        <f t="shared" si="6"/>
        <v>8.604677184737608E-2</v>
      </c>
      <c r="U25" s="53">
        <f t="shared" si="6"/>
        <v>0</v>
      </c>
      <c r="V25" s="54">
        <f t="shared" si="7"/>
        <v>0.20246089578491111</v>
      </c>
      <c r="AF25" s="55" t="s">
        <v>155</v>
      </c>
      <c r="AG25" s="89">
        <v>1301.3899999999999</v>
      </c>
      <c r="AH25" s="89">
        <v>948.61</v>
      </c>
      <c r="AI25" s="89">
        <v>352.77999999999986</v>
      </c>
      <c r="AJ25" s="90">
        <v>0.27107938435057893</v>
      </c>
      <c r="AL25" s="55" t="s">
        <v>69</v>
      </c>
      <c r="AM25" s="89">
        <v>1588</v>
      </c>
      <c r="AN25" s="89">
        <v>1576.7400000000002</v>
      </c>
      <c r="AO25" s="89">
        <v>11.259999999999764</v>
      </c>
      <c r="AP25" s="90">
        <v>7.0906801007555188E-3</v>
      </c>
      <c r="AS25" s="55" t="s">
        <v>291</v>
      </c>
      <c r="AT25" s="124">
        <v>0.39471699917425074</v>
      </c>
      <c r="AW25"/>
      <c r="AX25"/>
      <c r="AY25"/>
      <c r="AZ25"/>
      <c r="BA25"/>
    </row>
    <row r="26" spans="2:53" s="1" customFormat="1" ht="22" customHeight="1" x14ac:dyDescent="0.35">
      <c r="B26" s="21" t="s">
        <v>398</v>
      </c>
      <c r="C26" s="21" t="s">
        <v>409</v>
      </c>
      <c r="D26" s="73">
        <v>44463</v>
      </c>
      <c r="E26" s="73">
        <v>44470</v>
      </c>
      <c r="F26" s="158">
        <v>6516</v>
      </c>
      <c r="G26" s="158">
        <v>6089.34</v>
      </c>
      <c r="H26" s="97">
        <f>SUM(Table18[[#This Row],[Billings]]-Table18[[#This Row],[Cost]])/Table18[[#This Row],[Billings]]</f>
        <v>6.5478821362799242E-2</v>
      </c>
      <c r="I26" s="156"/>
      <c r="J26" s="156"/>
      <c r="K26" s="97"/>
      <c r="L26" s="134"/>
      <c r="N26" s="58" t="s">
        <v>28</v>
      </c>
      <c r="O26" s="87">
        <f t="shared" si="6"/>
        <v>0.55271920088790238</v>
      </c>
      <c r="P26" s="87">
        <f t="shared" si="6"/>
        <v>0.18393801683677272</v>
      </c>
      <c r="Q26" s="53">
        <f t="shared" si="6"/>
        <v>0.16669325887514957</v>
      </c>
      <c r="R26" s="53">
        <f t="shared" si="6"/>
        <v>0.17035270490774446</v>
      </c>
      <c r="S26" s="53">
        <f t="shared" si="6"/>
        <v>0.21362586605080833</v>
      </c>
      <c r="T26" s="53">
        <f t="shared" si="6"/>
        <v>0</v>
      </c>
      <c r="U26" s="53">
        <f t="shared" si="6"/>
        <v>0</v>
      </c>
      <c r="V26" s="54">
        <f t="shared" si="7"/>
        <v>0.18484105216098981</v>
      </c>
      <c r="AF26"/>
      <c r="AG26"/>
      <c r="AH26"/>
      <c r="AI26"/>
      <c r="AJ26"/>
      <c r="AS26"/>
      <c r="AT26" s="123"/>
      <c r="AW26"/>
      <c r="AX26"/>
      <c r="AY26"/>
      <c r="AZ26"/>
      <c r="BA26"/>
    </row>
    <row r="27" spans="2:53" s="1" customFormat="1" ht="22" customHeight="1" x14ac:dyDescent="0.35">
      <c r="B27" s="21" t="s">
        <v>399</v>
      </c>
      <c r="C27" s="21" t="s">
        <v>410</v>
      </c>
      <c r="D27" s="73">
        <v>44482</v>
      </c>
      <c r="E27" s="73">
        <v>44488</v>
      </c>
      <c r="F27" s="158">
        <v>5701.5</v>
      </c>
      <c r="G27" s="158">
        <v>5143.3799999999992</v>
      </c>
      <c r="H27" s="97">
        <f>SUM(Table18[[#This Row],[Billings]]-Table18[[#This Row],[Cost]])/Table18[[#This Row],[Billings]]</f>
        <v>9.7890028939752835E-2</v>
      </c>
      <c r="I27" s="156"/>
      <c r="J27" s="156"/>
      <c r="K27" s="97"/>
      <c r="L27" s="134"/>
      <c r="N27" s="58" t="s">
        <v>23</v>
      </c>
      <c r="O27" s="87">
        <f t="shared" si="6"/>
        <v>0.28193054738081225</v>
      </c>
      <c r="P27" s="87">
        <f t="shared" si="6"/>
        <v>0.287248322147651</v>
      </c>
      <c r="Q27" s="53">
        <f t="shared" si="6"/>
        <v>0.27785794452461121</v>
      </c>
      <c r="R27" s="53">
        <f t="shared" si="6"/>
        <v>0</v>
      </c>
      <c r="S27" s="53">
        <f t="shared" si="6"/>
        <v>0</v>
      </c>
      <c r="T27" s="53">
        <f t="shared" si="6"/>
        <v>0</v>
      </c>
      <c r="U27" s="53">
        <f t="shared" si="6"/>
        <v>0</v>
      </c>
      <c r="V27" s="54">
        <f t="shared" si="7"/>
        <v>0.27986512524084778</v>
      </c>
      <c r="AF27"/>
      <c r="AG27"/>
      <c r="AH27"/>
      <c r="AI27"/>
      <c r="AJ27"/>
      <c r="AS27"/>
      <c r="AT27"/>
      <c r="AW27"/>
      <c r="AX27"/>
      <c r="AY27"/>
      <c r="AZ27"/>
      <c r="BA27"/>
    </row>
    <row r="28" spans="2:53" s="1" customFormat="1" ht="22" customHeight="1" x14ac:dyDescent="0.35">
      <c r="B28" s="21" t="s">
        <v>400</v>
      </c>
      <c r="C28" s="21" t="s">
        <v>411</v>
      </c>
      <c r="D28" s="73">
        <v>44489</v>
      </c>
      <c r="E28" s="73">
        <v>44494</v>
      </c>
      <c r="F28" s="158">
        <v>5856.5999999999995</v>
      </c>
      <c r="G28" s="158">
        <v>5256.0199999999995</v>
      </c>
      <c r="H28" s="97">
        <f>SUM(Table18[[#This Row],[Billings]]-Table18[[#This Row],[Cost]])/Table18[[#This Row],[Billings]]</f>
        <v>0.10254755318785644</v>
      </c>
      <c r="I28" s="156"/>
      <c r="J28" s="156"/>
      <c r="K28" s="97"/>
      <c r="L28" s="134"/>
      <c r="N28" s="58" t="s">
        <v>140</v>
      </c>
      <c r="O28" s="87">
        <v>0</v>
      </c>
      <c r="P28" s="87">
        <f t="shared" ref="P28:U29" si="8">IFERROR(SUM(P8-P18)/P8,0)</f>
        <v>0.192078025477707</v>
      </c>
      <c r="Q28" s="53">
        <f t="shared" si="8"/>
        <v>0</v>
      </c>
      <c r="R28" s="53">
        <f t="shared" si="8"/>
        <v>0</v>
      </c>
      <c r="S28" s="53">
        <f t="shared" si="8"/>
        <v>0</v>
      </c>
      <c r="T28" s="53">
        <f t="shared" si="8"/>
        <v>0</v>
      </c>
      <c r="U28" s="53">
        <f t="shared" si="8"/>
        <v>0</v>
      </c>
      <c r="V28" s="54">
        <f t="shared" si="7"/>
        <v>0.192078025477707</v>
      </c>
      <c r="AF28"/>
      <c r="AG28"/>
      <c r="AH28"/>
      <c r="AI28"/>
      <c r="AJ28"/>
      <c r="AT28" s="120"/>
      <c r="AW28"/>
      <c r="AX28"/>
      <c r="AY28"/>
      <c r="AZ28"/>
      <c r="BA28"/>
    </row>
    <row r="29" spans="2:53" s="1" customFormat="1" ht="22" customHeight="1" x14ac:dyDescent="0.35">
      <c r="B29" s="21" t="s">
        <v>401</v>
      </c>
      <c r="C29" s="21" t="s">
        <v>412</v>
      </c>
      <c r="D29" s="73">
        <v>44499</v>
      </c>
      <c r="E29" s="73">
        <v>44505</v>
      </c>
      <c r="F29" s="158">
        <v>5701.5</v>
      </c>
      <c r="G29" s="158">
        <v>5127.3799999999992</v>
      </c>
      <c r="H29" s="97">
        <f>SUM(Table18[[#This Row],[Billings]]-Table18[[#This Row],[Cost]])/Table18[[#This Row],[Billings]]</f>
        <v>0.10069630798912581</v>
      </c>
      <c r="I29" s="156"/>
      <c r="J29" s="156"/>
      <c r="K29" s="97"/>
      <c r="L29" s="134"/>
      <c r="N29" s="58" t="s">
        <v>90</v>
      </c>
      <c r="O29" s="87">
        <f>IFERROR(SUM(O9-O19)/O9,0)</f>
        <v>0.16921720155349904</v>
      </c>
      <c r="P29" s="87">
        <f t="shared" si="8"/>
        <v>0.17622323870958018</v>
      </c>
      <c r="Q29" s="53">
        <f t="shared" si="8"/>
        <v>0.16505218144568043</v>
      </c>
      <c r="R29" s="53">
        <f t="shared" si="8"/>
        <v>0.13983182639157932</v>
      </c>
      <c r="S29" s="53">
        <f t="shared" si="8"/>
        <v>0.11576994779148206</v>
      </c>
      <c r="T29" s="53">
        <f t="shared" si="8"/>
        <v>0.12972204731492309</v>
      </c>
      <c r="U29" s="53">
        <f t="shared" si="8"/>
        <v>0.11023635002509111</v>
      </c>
      <c r="V29" s="54">
        <f t="shared" si="7"/>
        <v>0.14348697242741085</v>
      </c>
      <c r="AF29"/>
      <c r="AG29"/>
      <c r="AH29"/>
      <c r="AI29"/>
      <c r="AJ29"/>
      <c r="AT29" s="120"/>
      <c r="AW29"/>
      <c r="AX29"/>
      <c r="AY29"/>
      <c r="AZ29"/>
      <c r="BA29"/>
    </row>
    <row r="30" spans="2:53" s="1" customFormat="1" ht="22" customHeight="1" thickBot="1" x14ac:dyDescent="0.4">
      <c r="B30" s="21" t="s">
        <v>402</v>
      </c>
      <c r="C30" s="21" t="s">
        <v>413</v>
      </c>
      <c r="D30" s="73">
        <v>44510</v>
      </c>
      <c r="E30" s="73">
        <v>44518</v>
      </c>
      <c r="F30" s="158">
        <v>11693.699999999999</v>
      </c>
      <c r="G30" s="158">
        <v>10412</v>
      </c>
      <c r="H30" s="97">
        <f>SUM(Table18[[#This Row],[Billings]]-Table18[[#This Row],[Cost]])/Table18[[#This Row],[Billings]]</f>
        <v>0.10960602717702686</v>
      </c>
      <c r="I30" s="156"/>
      <c r="J30" s="156"/>
      <c r="K30" s="97"/>
      <c r="L30" s="134"/>
      <c r="N30" s="93" t="s">
        <v>85</v>
      </c>
      <c r="O30" s="94">
        <f t="shared" ref="O30:U30" si="9">SUM(O10-O20)/O10</f>
        <v>0.18085061656926824</v>
      </c>
      <c r="P30" s="94">
        <f t="shared" si="9"/>
        <v>0.19470906638914717</v>
      </c>
      <c r="Q30" s="94">
        <f t="shared" si="9"/>
        <v>0.20173144232828163</v>
      </c>
      <c r="R30" s="94">
        <f t="shared" si="9"/>
        <v>0.15749821286800919</v>
      </c>
      <c r="S30" s="94">
        <f t="shared" si="9"/>
        <v>0.11223634563746715</v>
      </c>
      <c r="T30" s="94">
        <f t="shared" si="9"/>
        <v>0.12551713248065688</v>
      </c>
      <c r="U30" s="94">
        <f t="shared" si="9"/>
        <v>0.11023635002509111</v>
      </c>
      <c r="V30" s="95">
        <f t="shared" ref="V30" si="10">SUM(V10-V20)/V10</f>
        <v>0.16199756492270354</v>
      </c>
      <c r="AF30"/>
      <c r="AG30"/>
      <c r="AH30"/>
      <c r="AI30"/>
      <c r="AJ30"/>
      <c r="AT30" s="120"/>
      <c r="AW30"/>
      <c r="AX30"/>
      <c r="AY30"/>
      <c r="AZ30"/>
      <c r="BA30"/>
    </row>
    <row r="31" spans="2:53" s="1" customFormat="1" ht="22" customHeight="1" thickBot="1" x14ac:dyDescent="0.4">
      <c r="B31" s="21" t="s">
        <v>403</v>
      </c>
      <c r="C31" s="21" t="s">
        <v>414</v>
      </c>
      <c r="D31" s="73">
        <v>44489</v>
      </c>
      <c r="E31" s="73">
        <v>44495</v>
      </c>
      <c r="F31" s="158">
        <v>4570.3</v>
      </c>
      <c r="G31" s="158">
        <v>3949.0399999999995</v>
      </c>
      <c r="H31" s="97">
        <f>SUM(Table18[[#This Row],[Billings]]-Table18[[#This Row],[Cost]])/Table18[[#This Row],[Billings]]</f>
        <v>0.13593418375161381</v>
      </c>
      <c r="I31" s="156"/>
      <c r="J31" s="156"/>
      <c r="K31" s="97"/>
      <c r="L31" s="134"/>
      <c r="N31" s="141"/>
      <c r="O31" s="140"/>
      <c r="P31" s="53"/>
      <c r="Q31" s="53"/>
      <c r="R31" s="53"/>
      <c r="S31" s="53"/>
      <c r="T31" s="53"/>
      <c r="U31" s="53"/>
      <c r="V31" s="91"/>
      <c r="AF31"/>
      <c r="AG31"/>
      <c r="AH31"/>
      <c r="AI31"/>
      <c r="AJ31"/>
      <c r="AT31" s="120"/>
      <c r="AW31"/>
      <c r="AX31"/>
      <c r="AY31"/>
      <c r="AZ31"/>
      <c r="BA31"/>
    </row>
    <row r="32" spans="2:53" s="1" customFormat="1" ht="22" customHeight="1" thickBot="1" x14ac:dyDescent="0.4">
      <c r="B32" s="21" t="s">
        <v>404</v>
      </c>
      <c r="C32" s="21" t="s">
        <v>415</v>
      </c>
      <c r="D32" s="73">
        <v>44496</v>
      </c>
      <c r="E32" s="73">
        <v>44503</v>
      </c>
      <c r="F32" s="158">
        <v>5223.2</v>
      </c>
      <c r="G32" s="158">
        <v>4666.0700000000006</v>
      </c>
      <c r="H32" s="97">
        <f>SUM(Table18[[#This Row],[Billings]]-Table18[[#This Row],[Cost]])/Table18[[#This Row],[Billings]]</f>
        <v>0.1066644968601622</v>
      </c>
      <c r="I32" s="156"/>
      <c r="J32" s="156"/>
      <c r="K32" s="97"/>
      <c r="L32" s="134"/>
      <c r="N32" s="82" t="s">
        <v>31</v>
      </c>
      <c r="O32" s="82" t="s">
        <v>36</v>
      </c>
      <c r="Q32" s="74" t="s">
        <v>77</v>
      </c>
      <c r="R32" s="75">
        <f>S35</f>
        <v>0.15844382532008119</v>
      </c>
      <c r="S32" s="130">
        <f>SUM(Table18[Billings])</f>
        <v>2696098.7321000006</v>
      </c>
      <c r="T32" s="142"/>
      <c r="AF32"/>
      <c r="AG32"/>
      <c r="AH32"/>
      <c r="AI32"/>
      <c r="AJ32"/>
      <c r="AT32" s="120"/>
      <c r="AW32"/>
      <c r="AX32"/>
      <c r="AY32"/>
      <c r="AZ32"/>
      <c r="BA32"/>
    </row>
    <row r="33" spans="2:53" s="1" customFormat="1" ht="22" customHeight="1" x14ac:dyDescent="0.35">
      <c r="B33" s="100" t="s">
        <v>38</v>
      </c>
      <c r="C33" s="101" t="s">
        <v>37</v>
      </c>
      <c r="D33" s="102">
        <v>44299</v>
      </c>
      <c r="E33" s="102">
        <v>44350</v>
      </c>
      <c r="F33" s="158">
        <v>73070.91</v>
      </c>
      <c r="G33" s="158">
        <v>59850.790000000008</v>
      </c>
      <c r="H33" s="97">
        <f>SUM(Table18[[#This Row],[Billings]]-Table18[[#This Row],[Cost]])/Table18[[#This Row],[Billings]]</f>
        <v>0.18092179227000177</v>
      </c>
      <c r="I33" s="108">
        <v>73070.91</v>
      </c>
      <c r="J33" s="108">
        <v>59908.39</v>
      </c>
      <c r="K33" s="97">
        <f>SUM(Table18[[#This Row],[Prev. Billings]]-Table18[[#This Row],[Prev. Cost]])/Table18[[#This Row],[Prev. Billings]]</f>
        <v>0.18013351688106805</v>
      </c>
      <c r="L33" s="134">
        <f>SUM(Table18[[#This Row],[Margin]]-Table18[[#This Row],[Prev. Margin]])</f>
        <v>7.8827538893372351E-4</v>
      </c>
      <c r="N33" s="82" t="s">
        <v>35</v>
      </c>
      <c r="O33" s="83">
        <f>Margins_Workings!A5</f>
        <v>0.14195010868190469</v>
      </c>
      <c r="S33" s="130">
        <f>SUM(Table18[Cost])</f>
        <v>2268918.5355454558</v>
      </c>
      <c r="AF33"/>
      <c r="AG33"/>
      <c r="AH33"/>
      <c r="AI33"/>
      <c r="AJ33"/>
      <c r="AT33" s="120"/>
      <c r="AW33"/>
      <c r="AX33"/>
      <c r="AY33"/>
      <c r="AZ33"/>
      <c r="BA33"/>
    </row>
    <row r="34" spans="2:53" s="1" customFormat="1" ht="22" customHeight="1" x14ac:dyDescent="0.35">
      <c r="B34" s="100" t="s">
        <v>57</v>
      </c>
      <c r="C34" s="101" t="s">
        <v>58</v>
      </c>
      <c r="D34" s="102">
        <v>44325</v>
      </c>
      <c r="E34" s="102">
        <v>44409</v>
      </c>
      <c r="F34" s="158">
        <v>90613.6</v>
      </c>
      <c r="G34" s="158">
        <v>74008.584545454636</v>
      </c>
      <c r="H34" s="97">
        <f>SUM(Table18[[#This Row],[Billings]]-Table18[[#This Row],[Cost]])/Table18[[#This Row],[Billings]]</f>
        <v>0.18325080842771249</v>
      </c>
      <c r="I34" s="108">
        <v>91299.3</v>
      </c>
      <c r="J34" s="108">
        <v>73250.73454545463</v>
      </c>
      <c r="K34" s="97">
        <f>SUM(Table18[[#This Row],[Prev. Billings]]-Table18[[#This Row],[Prev. Cost]])/Table18[[#This Row],[Prev. Billings]]</f>
        <v>0.19768569369694369</v>
      </c>
      <c r="L34" s="134">
        <f>SUM(Table18[[#This Row],[Margin]]-Table18[[#This Row],[Prev. Margin]])</f>
        <v>-1.4434885269231201E-2</v>
      </c>
      <c r="N34" s="82" t="s">
        <v>22</v>
      </c>
      <c r="O34" s="83">
        <f>Margins_Workings!C5</f>
        <v>0.21082717348574198</v>
      </c>
      <c r="P34" s="47"/>
      <c r="Q34" s="47"/>
      <c r="R34" s="47"/>
      <c r="S34" s="130">
        <f>SUM(S32-S33)</f>
        <v>427180.19655454485</v>
      </c>
      <c r="W34" s="2"/>
      <c r="AF34"/>
      <c r="AG34"/>
      <c r="AH34"/>
      <c r="AI34"/>
      <c r="AJ34"/>
      <c r="AT34" s="120"/>
      <c r="AW34"/>
      <c r="AX34"/>
      <c r="AY34"/>
      <c r="AZ34"/>
      <c r="BA34"/>
    </row>
    <row r="35" spans="2:53" s="1" customFormat="1" ht="22" customHeight="1" x14ac:dyDescent="0.35">
      <c r="B35" s="101" t="s">
        <v>71</v>
      </c>
      <c r="C35" s="101" t="s">
        <v>72</v>
      </c>
      <c r="D35" s="102">
        <v>44339</v>
      </c>
      <c r="E35" s="102">
        <v>44417</v>
      </c>
      <c r="F35" s="158">
        <v>130819.47999999998</v>
      </c>
      <c r="G35" s="158">
        <v>108292.48000000023</v>
      </c>
      <c r="H35" s="97">
        <f>SUM(Table18[[#This Row],[Billings]]-Table18[[#This Row],[Cost]])/Table18[[#This Row],[Billings]]</f>
        <v>0.17219912508442745</v>
      </c>
      <c r="I35" s="108">
        <v>132487.07999999999</v>
      </c>
      <c r="J35" s="108">
        <v>110635.72000000025</v>
      </c>
      <c r="K35" s="97">
        <f>SUM(Table18[[#This Row],[Prev. Billings]]-Table18[[#This Row],[Prev. Cost]])/Table18[[#This Row],[Prev. Billings]]</f>
        <v>0.16493200695494037</v>
      </c>
      <c r="L35" s="134">
        <f>SUM(Table18[[#This Row],[Margin]]-Table18[[#This Row],[Prev. Margin]])</f>
        <v>7.2671181294870768E-3</v>
      </c>
      <c r="N35" s="82" t="s">
        <v>28</v>
      </c>
      <c r="O35" s="83">
        <f>Margins_Workings!E5</f>
        <v>0.17665279343437046</v>
      </c>
      <c r="P35" s="47"/>
      <c r="Q35" s="47"/>
      <c r="R35" s="47"/>
      <c r="S35" s="131">
        <f>SUM(S34/S32)</f>
        <v>0.15844382532008119</v>
      </c>
      <c r="W35" s="2"/>
      <c r="AF35"/>
      <c r="AG35"/>
      <c r="AH35"/>
      <c r="AI35"/>
      <c r="AJ35"/>
      <c r="AT35" s="120"/>
      <c r="AW35"/>
      <c r="AX35"/>
      <c r="AY35"/>
      <c r="AZ35"/>
      <c r="BA35"/>
    </row>
    <row r="36" spans="2:53" s="1" customFormat="1" ht="22" customHeight="1" x14ac:dyDescent="0.35">
      <c r="B36" s="103" t="s">
        <v>111</v>
      </c>
      <c r="C36" s="104" t="s">
        <v>110</v>
      </c>
      <c r="D36" s="105">
        <v>44374</v>
      </c>
      <c r="E36" s="105">
        <v>44459</v>
      </c>
      <c r="F36" s="158">
        <v>152510.21000000002</v>
      </c>
      <c r="G36" s="158">
        <v>93050.24000000002</v>
      </c>
      <c r="H36" s="97">
        <f>SUM(Table18[[#This Row],[Billings]]-Table18[[#This Row],[Cost]])/Table18[[#This Row],[Billings]]</f>
        <v>0.38987534014935782</v>
      </c>
      <c r="I36" s="108">
        <v>147652.78500000003</v>
      </c>
      <c r="J36" s="108">
        <v>94099.240000000034</v>
      </c>
      <c r="K36" s="97">
        <f>SUM(Table18[[#This Row],[Prev. Billings]]-Table18[[#This Row],[Prev. Cost]])/Table18[[#This Row],[Prev. Billings]]</f>
        <v>0.36269918647318428</v>
      </c>
      <c r="L36" s="134">
        <f>SUM(Table18[[#This Row],[Margin]]-Table18[[#This Row],[Prev. Margin]])</f>
        <v>2.7176153676173542E-2</v>
      </c>
      <c r="N36" s="82" t="s">
        <v>29</v>
      </c>
      <c r="O36" s="83">
        <f>Margins_Workings!G5</f>
        <v>0.24794459312866923</v>
      </c>
      <c r="W36" s="2"/>
      <c r="AF36"/>
      <c r="AG36"/>
      <c r="AH36"/>
      <c r="AI36"/>
      <c r="AJ36"/>
      <c r="AT36" s="120"/>
      <c r="AW36"/>
      <c r="AX36"/>
      <c r="AY36"/>
      <c r="AZ36"/>
      <c r="BA36"/>
    </row>
    <row r="37" spans="2:53" s="1" customFormat="1" ht="22" customHeight="1" x14ac:dyDescent="0.35">
      <c r="B37" s="101" t="s">
        <v>143</v>
      </c>
      <c r="C37" s="104" t="s">
        <v>144</v>
      </c>
      <c r="D37" s="105">
        <v>44368</v>
      </c>
      <c r="E37" s="105">
        <v>44369</v>
      </c>
      <c r="F37" s="158">
        <v>208.45</v>
      </c>
      <c r="G37" s="158">
        <v>186.49</v>
      </c>
      <c r="H37" s="97">
        <f>SUM(Table18[[#This Row],[Billings]]-Table18[[#This Row],[Cost]])/Table18[[#This Row],[Billings]]</f>
        <v>0.10534900455744774</v>
      </c>
      <c r="I37" s="108">
        <v>208.45</v>
      </c>
      <c r="J37" s="108">
        <v>186.49</v>
      </c>
      <c r="K37" s="97">
        <f>SUM(Table18[[#This Row],[Prev. Billings]]-Table18[[#This Row],[Prev. Cost]])/Table18[[#This Row],[Prev. Billings]]</f>
        <v>0.10534900455744774</v>
      </c>
      <c r="L37" s="134">
        <f>SUM(Table18[[#This Row],[Margin]]-Table18[[#This Row],[Prev. Margin]])</f>
        <v>0</v>
      </c>
      <c r="N37" s="82" t="s">
        <v>30</v>
      </c>
      <c r="O37" s="83">
        <f>Margins_Workings!I5</f>
        <v>0.13744889245921169</v>
      </c>
      <c r="W37" s="2"/>
      <c r="AF37"/>
      <c r="AG37"/>
      <c r="AH37"/>
      <c r="AI37"/>
      <c r="AJ37"/>
      <c r="AT37" s="120"/>
      <c r="AW37"/>
      <c r="AX37"/>
      <c r="AY37"/>
      <c r="AZ37"/>
      <c r="BA37"/>
    </row>
    <row r="38" spans="2:53" s="1" customFormat="1" ht="22" customHeight="1" x14ac:dyDescent="0.35">
      <c r="B38" s="103" t="s">
        <v>169</v>
      </c>
      <c r="C38" s="106" t="s">
        <v>152</v>
      </c>
      <c r="D38" s="105">
        <v>44402</v>
      </c>
      <c r="E38" s="105">
        <v>44472</v>
      </c>
      <c r="F38" s="158">
        <v>106234.70000000001</v>
      </c>
      <c r="G38" s="158">
        <v>86975.430000000095</v>
      </c>
      <c r="H38" s="97">
        <f>SUM(Table18[[#This Row],[Billings]]-Table18[[#This Row],[Cost]])/Table18[[#This Row],[Billings]]</f>
        <v>0.18128982338162497</v>
      </c>
      <c r="I38" s="108">
        <v>106805.67500000002</v>
      </c>
      <c r="J38" s="108">
        <v>89068.030000000101</v>
      </c>
      <c r="K38" s="97">
        <f>SUM(Table18[[#This Row],[Prev. Billings]]-Table18[[#This Row],[Prev. Cost]])/Table18[[#This Row],[Prev. Billings]]</f>
        <v>0.16607399372739243</v>
      </c>
      <c r="L38" s="134">
        <f>SUM(Table18[[#This Row],[Margin]]-Table18[[#This Row],[Prev. Margin]])</f>
        <v>1.5215829654232543E-2</v>
      </c>
      <c r="N38" s="55"/>
      <c r="W38" s="2"/>
      <c r="AF38"/>
      <c r="AG38"/>
      <c r="AH38"/>
      <c r="AI38"/>
      <c r="AJ38"/>
      <c r="AT38" s="120"/>
      <c r="AW38"/>
      <c r="AX38"/>
      <c r="AY38"/>
      <c r="AZ38"/>
      <c r="BA38"/>
    </row>
    <row r="39" spans="2:53" s="2" customFormat="1" ht="22" customHeight="1" x14ac:dyDescent="0.35">
      <c r="B39" s="101" t="s">
        <v>153</v>
      </c>
      <c r="C39" s="106" t="s">
        <v>151</v>
      </c>
      <c r="D39" s="105">
        <v>44385</v>
      </c>
      <c r="E39" s="105">
        <v>44386</v>
      </c>
      <c r="F39" s="158">
        <v>1261.2599999999998</v>
      </c>
      <c r="G39" s="158">
        <v>1092.43</v>
      </c>
      <c r="H39" s="97">
        <f>SUM(Table18[[#This Row],[Billings]]-Table18[[#This Row],[Cost]])/Table18[[#This Row],[Billings]]</f>
        <v>0.1338582052867765</v>
      </c>
      <c r="I39" s="108">
        <v>1261.2599999999998</v>
      </c>
      <c r="J39" s="108">
        <v>1092.43</v>
      </c>
      <c r="K39" s="97">
        <f>SUM(Table18[[#This Row],[Prev. Billings]]-Table18[[#This Row],[Prev. Cost]])/Table18[[#This Row],[Prev. Billings]]</f>
        <v>0.1338582052867765</v>
      </c>
      <c r="L39" s="134">
        <f>SUM(Table18[[#This Row],[Margin]]-Table18[[#This Row],[Prev. Margin]])</f>
        <v>0</v>
      </c>
      <c r="N39" s="62"/>
      <c r="AF39"/>
      <c r="AG39"/>
      <c r="AH39"/>
      <c r="AI39"/>
      <c r="AJ39"/>
      <c r="AT39" s="121"/>
      <c r="AW39"/>
      <c r="AX39"/>
      <c r="AY39"/>
      <c r="AZ39"/>
      <c r="BA39"/>
    </row>
    <row r="40" spans="2:53" s="21" customFormat="1" ht="19.5" customHeight="1" x14ac:dyDescent="0.35">
      <c r="B40" s="101" t="s">
        <v>191</v>
      </c>
      <c r="C40" s="104" t="s">
        <v>194</v>
      </c>
      <c r="D40" s="105">
        <v>44430</v>
      </c>
      <c r="E40" s="105">
        <v>44508</v>
      </c>
      <c r="F40" s="158">
        <v>110870.65000000001</v>
      </c>
      <c r="G40" s="158">
        <v>100222.45000000019</v>
      </c>
      <c r="H40" s="97">
        <f>SUM(Table18[[#This Row],[Billings]]-Table18[[#This Row],[Cost]])/Table18[[#This Row],[Billings]]</f>
        <v>9.6041648533672544E-2</v>
      </c>
      <c r="I40" s="108">
        <v>111416.8</v>
      </c>
      <c r="J40" s="108">
        <v>101819.0300000002</v>
      </c>
      <c r="K40" s="97">
        <f>SUM(Table18[[#This Row],[Prev. Billings]]-Table18[[#This Row],[Prev. Cost]])/Table18[[#This Row],[Prev. Billings]]</f>
        <v>8.6142933561184673E-2</v>
      </c>
      <c r="L40" s="134">
        <f>SUM(Table18[[#This Row],[Margin]]-Table18[[#This Row],[Prev. Margin]])</f>
        <v>9.8987149724878709E-3</v>
      </c>
      <c r="N40" s="62"/>
      <c r="O40" s="1"/>
      <c r="P40" s="1"/>
      <c r="Q40" s="1"/>
      <c r="R40" s="1"/>
      <c r="S40" s="1"/>
      <c r="T40" s="1"/>
      <c r="U40" s="1"/>
      <c r="V40" s="1"/>
      <c r="AF40"/>
      <c r="AG40"/>
      <c r="AH40"/>
      <c r="AI40"/>
      <c r="AJ40"/>
      <c r="AT40" s="96"/>
      <c r="AW40"/>
      <c r="AX40"/>
      <c r="AY40"/>
      <c r="AZ40"/>
      <c r="BA40"/>
    </row>
    <row r="41" spans="2:53" s="4" customFormat="1" ht="19.5" customHeight="1" x14ac:dyDescent="0.35">
      <c r="B41" s="103" t="s">
        <v>192</v>
      </c>
      <c r="C41" s="104" t="s">
        <v>195</v>
      </c>
      <c r="D41" s="105">
        <v>44392</v>
      </c>
      <c r="E41" s="105">
        <v>44395</v>
      </c>
      <c r="F41" s="158">
        <v>8369.68</v>
      </c>
      <c r="G41" s="158">
        <v>7122.2499999999982</v>
      </c>
      <c r="H41" s="97">
        <f>SUM(Table18[[#This Row],[Billings]]-Table18[[#This Row],[Cost]])/Table18[[#This Row],[Billings]]</f>
        <v>0.14904154041731607</v>
      </c>
      <c r="I41" s="108">
        <v>8369.68</v>
      </c>
      <c r="J41" s="108">
        <v>7122.2499999999982</v>
      </c>
      <c r="K41" s="97">
        <f>SUM(Table18[[#This Row],[Prev. Billings]]-Table18[[#This Row],[Prev. Cost]])/Table18[[#This Row],[Prev. Billings]]</f>
        <v>0.14904154041731607</v>
      </c>
      <c r="L41" s="134">
        <f>SUM(Table18[[#This Row],[Margin]]-Table18[[#This Row],[Prev. Margin]])</f>
        <v>0</v>
      </c>
      <c r="N41" s="62"/>
      <c r="O41" s="2"/>
      <c r="P41" s="2"/>
      <c r="Q41" s="2"/>
      <c r="R41" s="2"/>
      <c r="S41" s="2"/>
      <c r="T41" s="2"/>
      <c r="U41" s="2"/>
      <c r="V41" s="2"/>
      <c r="AF41"/>
      <c r="AG41"/>
      <c r="AH41"/>
      <c r="AI41"/>
      <c r="AJ41"/>
      <c r="AT41" s="109"/>
      <c r="AW41"/>
      <c r="AX41"/>
      <c r="AY41"/>
      <c r="AZ41"/>
      <c r="BA41"/>
    </row>
    <row r="42" spans="2:53" s="22" customFormat="1" ht="19.5" customHeight="1" x14ac:dyDescent="0.35">
      <c r="B42" s="101" t="s">
        <v>193</v>
      </c>
      <c r="C42" s="104" t="s">
        <v>37</v>
      </c>
      <c r="D42" s="105">
        <v>44403</v>
      </c>
      <c r="E42" s="105">
        <v>44404</v>
      </c>
      <c r="F42" s="158">
        <v>2095.06</v>
      </c>
      <c r="G42" s="158">
        <v>1898.53</v>
      </c>
      <c r="H42" s="97">
        <f>SUM(Table18[[#This Row],[Billings]]-Table18[[#This Row],[Cost]])/Table18[[#This Row],[Billings]]</f>
        <v>9.3806382633432925E-2</v>
      </c>
      <c r="I42" s="108">
        <v>2095.06</v>
      </c>
      <c r="J42" s="108">
        <v>1898.53</v>
      </c>
      <c r="K42" s="97">
        <f>SUM(Table18[[#This Row],[Prev. Billings]]-Table18[[#This Row],[Prev. Cost]])/Table18[[#This Row],[Prev. Billings]]</f>
        <v>9.3806382633432925E-2</v>
      </c>
      <c r="L42" s="134">
        <f>SUM(Table18[[#This Row],[Margin]]-Table18[[#This Row],[Prev. Margin]])</f>
        <v>0</v>
      </c>
      <c r="N42" s="62"/>
      <c r="O42" s="1"/>
      <c r="P42" s="1"/>
      <c r="Q42" s="1"/>
      <c r="R42" s="1"/>
      <c r="S42" s="1"/>
      <c r="T42" s="1"/>
      <c r="U42" s="1"/>
      <c r="V42" s="1"/>
      <c r="AF42"/>
      <c r="AG42"/>
      <c r="AH42"/>
      <c r="AI42"/>
      <c r="AJ42"/>
      <c r="AT42" s="122"/>
      <c r="AW42"/>
      <c r="AX42"/>
      <c r="AY42"/>
      <c r="AZ42"/>
      <c r="BA42"/>
    </row>
    <row r="43" spans="2:53" s="21" customFormat="1" ht="19.5" customHeight="1" x14ac:dyDescent="0.35">
      <c r="B43" s="103" t="s">
        <v>304</v>
      </c>
      <c r="C43" s="104" t="s">
        <v>305</v>
      </c>
      <c r="D43" s="105">
        <v>44399</v>
      </c>
      <c r="E43" s="105">
        <v>44401</v>
      </c>
      <c r="F43" s="158">
        <v>3441.9996000000001</v>
      </c>
      <c r="G43" s="158">
        <v>2752.9399999999996</v>
      </c>
      <c r="H43" s="97">
        <f>SUM(Table18[[#This Row],[Billings]]-Table18[[#This Row],[Cost]])/Table18[[#This Row],[Billings]]</f>
        <v>0.20019165603621816</v>
      </c>
      <c r="I43" s="108">
        <v>3441.9996000000001</v>
      </c>
      <c r="J43" s="108">
        <v>2752.9399999999996</v>
      </c>
      <c r="K43" s="97">
        <f>SUM(Table18[[#This Row],[Prev. Billings]]-Table18[[#This Row],[Prev. Cost]])/Table18[[#This Row],[Prev. Billings]]</f>
        <v>0.20019165603621816</v>
      </c>
      <c r="L43" s="134">
        <f>SUM(Table18[[#This Row],[Margin]]-Table18[[#This Row],[Prev. Margin]])</f>
        <v>0</v>
      </c>
      <c r="N43" s="63"/>
      <c r="AF43"/>
      <c r="AG43"/>
      <c r="AH43"/>
      <c r="AI43"/>
      <c r="AJ43"/>
      <c r="AT43" s="96"/>
      <c r="AW43"/>
      <c r="AX43"/>
      <c r="AY43"/>
      <c r="AZ43"/>
      <c r="BA43"/>
    </row>
    <row r="44" spans="2:53" s="21" customFormat="1" ht="19.5" customHeight="1" x14ac:dyDescent="0.35">
      <c r="B44" s="103" t="s">
        <v>353</v>
      </c>
      <c r="C44" s="104" t="s">
        <v>25</v>
      </c>
      <c r="D44" s="73">
        <v>44458</v>
      </c>
      <c r="E44" s="73">
        <v>44463</v>
      </c>
      <c r="F44" s="158">
        <v>4425.3</v>
      </c>
      <c r="G44" s="158">
        <v>4035.7</v>
      </c>
      <c r="H44" s="97">
        <f>SUM(Table18[[#This Row],[Billings]]-Table18[[#This Row],[Cost]])/Table18[[#This Row],[Billings]]</f>
        <v>8.8039228978826378E-2</v>
      </c>
      <c r="I44" s="108">
        <v>4425.3</v>
      </c>
      <c r="J44" s="108">
        <v>4035.7</v>
      </c>
      <c r="K44" s="97">
        <f>SUM(Table18[[#This Row],[Prev. Billings]]-Table18[[#This Row],[Prev. Cost]])/Table18[[#This Row],[Prev. Billings]]</f>
        <v>8.8039228978826378E-2</v>
      </c>
      <c r="L44" s="134">
        <f>SUM(Table18[[#This Row],[Margin]]-Table18[[#This Row],[Prev. Margin]])</f>
        <v>0</v>
      </c>
      <c r="N44" s="63"/>
      <c r="AF44"/>
      <c r="AG44"/>
      <c r="AH44"/>
      <c r="AI44"/>
      <c r="AJ44"/>
      <c r="AT44" s="96"/>
      <c r="AW44"/>
      <c r="AX44"/>
      <c r="AY44"/>
      <c r="AZ44"/>
      <c r="BA44"/>
    </row>
    <row r="45" spans="2:53" s="21" customFormat="1" ht="19.5" customHeight="1" x14ac:dyDescent="0.35">
      <c r="B45" s="103" t="s">
        <v>354</v>
      </c>
      <c r="C45" s="104" t="s">
        <v>356</v>
      </c>
      <c r="D45" s="73">
        <v>44459</v>
      </c>
      <c r="E45" s="73">
        <v>44463</v>
      </c>
      <c r="F45" s="158">
        <v>3687.75</v>
      </c>
      <c r="G45" s="158">
        <v>3373.36</v>
      </c>
      <c r="H45" s="97">
        <f>SUM(Table18[[#This Row],[Billings]]-Table18[[#This Row],[Cost]])/Table18[[#This Row],[Billings]]</f>
        <v>8.5252525252525219E-2</v>
      </c>
      <c r="I45" s="108">
        <v>3687.75</v>
      </c>
      <c r="J45" s="108">
        <v>3373.36</v>
      </c>
      <c r="K45" s="97">
        <f>SUM(Table18[[#This Row],[Prev. Billings]]-Table18[[#This Row],[Prev. Cost]])/Table18[[#This Row],[Prev. Billings]]</f>
        <v>8.5252525252525219E-2</v>
      </c>
      <c r="L45" s="134">
        <f>SUM(Table18[[#This Row],[Margin]]-Table18[[#This Row],[Prev. Margin]])</f>
        <v>0</v>
      </c>
      <c r="AF45"/>
      <c r="AG45"/>
      <c r="AH45"/>
      <c r="AI45"/>
      <c r="AJ45"/>
      <c r="AT45" s="96"/>
      <c r="AW45"/>
      <c r="AX45"/>
      <c r="AY45"/>
      <c r="AZ45"/>
      <c r="BA45"/>
    </row>
    <row r="46" spans="2:53" s="21" customFormat="1" ht="19.5" customHeight="1" x14ac:dyDescent="0.35">
      <c r="B46" s="103" t="s">
        <v>355</v>
      </c>
      <c r="C46" s="104" t="s">
        <v>357</v>
      </c>
      <c r="D46" s="73">
        <v>44424</v>
      </c>
      <c r="E46" s="73">
        <v>44439</v>
      </c>
      <c r="F46" s="158">
        <v>6750</v>
      </c>
      <c r="G46" s="158">
        <v>4971.17</v>
      </c>
      <c r="H46" s="97">
        <f>SUM(Table18[[#This Row],[Billings]]-Table18[[#This Row],[Cost]])/Table18[[#This Row],[Billings]]</f>
        <v>0.26353037037037036</v>
      </c>
      <c r="I46" s="108">
        <v>7500</v>
      </c>
      <c r="J46" s="108">
        <v>5606.77</v>
      </c>
      <c r="K46" s="97">
        <f>SUM(Table18[[#This Row],[Prev. Billings]]-Table18[[#This Row],[Prev. Cost]])/Table18[[#This Row],[Prev. Billings]]</f>
        <v>0.25243066666666658</v>
      </c>
      <c r="L46" s="134">
        <f>SUM(Table18[[#This Row],[Margin]]-Table18[[#This Row],[Prev. Margin]])</f>
        <v>1.1099703703703778E-2</v>
      </c>
      <c r="AF46"/>
      <c r="AG46"/>
      <c r="AH46"/>
      <c r="AI46"/>
      <c r="AJ46"/>
      <c r="AT46" s="96"/>
      <c r="AW46"/>
      <c r="AX46"/>
      <c r="AY46"/>
      <c r="AZ46"/>
      <c r="BA46"/>
    </row>
    <row r="47" spans="2:53" s="21" customFormat="1" ht="19.5" customHeight="1" x14ac:dyDescent="0.35">
      <c r="B47" s="103" t="s">
        <v>416</v>
      </c>
      <c r="C47" s="104" t="s">
        <v>195</v>
      </c>
      <c r="D47" s="73">
        <v>44433</v>
      </c>
      <c r="E47" s="73">
        <v>44435</v>
      </c>
      <c r="F47" s="158">
        <v>2084.5</v>
      </c>
      <c r="G47" s="158">
        <v>1781.48</v>
      </c>
      <c r="H47" s="97">
        <f>SUM(Table18[[#This Row],[Billings]]-Table18[[#This Row],[Cost]])/Table18[[#This Row],[Billings]]</f>
        <v>0.14536819381146557</v>
      </c>
      <c r="I47" s="156"/>
      <c r="J47" s="156"/>
      <c r="K47" s="97"/>
      <c r="L47" s="134"/>
      <c r="AF47"/>
      <c r="AG47"/>
      <c r="AH47"/>
      <c r="AI47"/>
      <c r="AJ47"/>
      <c r="AT47" s="96"/>
      <c r="AW47"/>
      <c r="AX47"/>
      <c r="AY47"/>
      <c r="AZ47"/>
      <c r="BA47"/>
    </row>
    <row r="48" spans="2:53" s="21" customFormat="1" ht="19.5" customHeight="1" x14ac:dyDescent="0.35">
      <c r="B48" s="100" t="s">
        <v>63</v>
      </c>
      <c r="C48" s="99" t="s">
        <v>59</v>
      </c>
      <c r="D48" s="63">
        <v>44348</v>
      </c>
      <c r="E48" s="63">
        <v>44364</v>
      </c>
      <c r="F48" s="158">
        <v>952.24</v>
      </c>
      <c r="G48" s="158">
        <v>777.07999999999993</v>
      </c>
      <c r="H48" s="97">
        <f>SUM(Table18[[#This Row],[Billings]]-Table18[[#This Row],[Cost]])/Table18[[#This Row],[Billings]]</f>
        <v>0.18394522389313628</v>
      </c>
      <c r="I48" s="108">
        <v>952.24</v>
      </c>
      <c r="J48" s="108">
        <v>777.07999999999993</v>
      </c>
      <c r="K48" s="97">
        <f>SUM(Table18[[#This Row],[Prev. Billings]]-Table18[[#This Row],[Prev. Cost]])/Table18[[#This Row],[Prev. Billings]]</f>
        <v>0.18394522389313628</v>
      </c>
      <c r="L48" s="143">
        <f>SUM(Table18[[#This Row],[Margin]]-Table18[[#This Row],[Prev. Margin]])</f>
        <v>0</v>
      </c>
      <c r="AF48"/>
      <c r="AG48"/>
      <c r="AH48"/>
      <c r="AI48"/>
      <c r="AJ48"/>
      <c r="AT48" s="96"/>
      <c r="AW48"/>
      <c r="AX48"/>
      <c r="AY48"/>
      <c r="AZ48"/>
      <c r="BA48"/>
    </row>
    <row r="49" spans="2:53" s="21" customFormat="1" ht="19.5" customHeight="1" x14ac:dyDescent="0.35">
      <c r="B49" s="100" t="s">
        <v>82</v>
      </c>
      <c r="C49" s="99" t="s">
        <v>84</v>
      </c>
      <c r="D49" s="63">
        <v>44369</v>
      </c>
      <c r="E49" s="63">
        <v>44370</v>
      </c>
      <c r="F49" s="158">
        <v>323.08</v>
      </c>
      <c r="G49" s="158">
        <v>284.57</v>
      </c>
      <c r="H49" s="97">
        <f>SUM(Table18[[#This Row],[Billings]]-Table18[[#This Row],[Cost]])/Table18[[#This Row],[Billings]]</f>
        <v>0.119196483843011</v>
      </c>
      <c r="I49" s="108">
        <v>323.08</v>
      </c>
      <c r="J49" s="108">
        <v>284.57</v>
      </c>
      <c r="K49" s="97">
        <f>SUM(Table18[[#This Row],[Prev. Billings]]-Table18[[#This Row],[Prev. Cost]])/Table18[[#This Row],[Prev. Billings]]</f>
        <v>0.119196483843011</v>
      </c>
      <c r="L49" s="143">
        <f>SUM(Table18[[#This Row],[Margin]]-Table18[[#This Row],[Prev. Margin]])</f>
        <v>0</v>
      </c>
      <c r="AF49"/>
      <c r="AG49"/>
      <c r="AH49"/>
      <c r="AI49"/>
      <c r="AJ49"/>
      <c r="AT49" s="96"/>
      <c r="AW49"/>
      <c r="AX49"/>
      <c r="AY49"/>
      <c r="AZ49"/>
      <c r="BA49"/>
    </row>
    <row r="50" spans="2:53" s="21" customFormat="1" ht="19.5" customHeight="1" x14ac:dyDescent="0.35">
      <c r="B50" s="101" t="s">
        <v>145</v>
      </c>
      <c r="C50" s="99" t="s">
        <v>146</v>
      </c>
      <c r="D50" s="73">
        <v>44377</v>
      </c>
      <c r="E50" s="73">
        <v>44378</v>
      </c>
      <c r="F50" s="158">
        <v>656.8</v>
      </c>
      <c r="G50" s="158">
        <v>602.96</v>
      </c>
      <c r="H50" s="97">
        <f>SUM(Table18[[#This Row],[Billings]]-Table18[[#This Row],[Cost]])/Table18[[#This Row],[Billings]]</f>
        <v>8.1973203410474912E-2</v>
      </c>
      <c r="I50" s="108">
        <v>656.8</v>
      </c>
      <c r="J50" s="108">
        <v>602.96</v>
      </c>
      <c r="K50" s="97">
        <f>SUM(Table18[[#This Row],[Prev. Billings]]-Table18[[#This Row],[Prev. Cost]])/Table18[[#This Row],[Prev. Billings]]</f>
        <v>8.1973203410474912E-2</v>
      </c>
      <c r="L50" s="143">
        <f>SUM(Table18[[#This Row],[Margin]]-Table18[[#This Row],[Prev. Margin]])</f>
        <v>0</v>
      </c>
      <c r="AF50"/>
      <c r="AG50"/>
      <c r="AH50"/>
      <c r="AI50"/>
      <c r="AJ50"/>
      <c r="AT50" s="96"/>
      <c r="AW50"/>
      <c r="AX50"/>
      <c r="AY50"/>
      <c r="AZ50"/>
      <c r="BA50"/>
    </row>
    <row r="51" spans="2:53" s="21" customFormat="1" ht="19.5" customHeight="1" x14ac:dyDescent="0.35">
      <c r="B51" s="101" t="s">
        <v>155</v>
      </c>
      <c r="C51" s="144" t="s">
        <v>154</v>
      </c>
      <c r="D51" s="73">
        <v>44399</v>
      </c>
      <c r="E51" s="73">
        <v>44401</v>
      </c>
      <c r="F51" s="158">
        <v>1301.3899999999999</v>
      </c>
      <c r="G51" s="158">
        <v>948.61</v>
      </c>
      <c r="H51" s="97">
        <f>SUM(Table18[[#This Row],[Billings]]-Table18[[#This Row],[Cost]])/Table18[[#This Row],[Billings]]</f>
        <v>0.27107938435057893</v>
      </c>
      <c r="I51" s="108">
        <v>1301.3899999999999</v>
      </c>
      <c r="J51" s="108">
        <v>948.61</v>
      </c>
      <c r="K51" s="97">
        <f>SUM(Table18[[#This Row],[Prev. Billings]]-Table18[[#This Row],[Prev. Cost]])/Table18[[#This Row],[Prev. Billings]]</f>
        <v>0.27107938435057893</v>
      </c>
      <c r="L51" s="143">
        <f>SUM(Table18[[#This Row],[Margin]]-Table18[[#This Row],[Prev. Margin]])</f>
        <v>0</v>
      </c>
      <c r="N51" s="63"/>
      <c r="AF51"/>
      <c r="AG51"/>
      <c r="AH51"/>
      <c r="AI51"/>
      <c r="AJ51"/>
      <c r="AT51" s="96"/>
      <c r="AW51"/>
      <c r="AX51"/>
      <c r="AY51"/>
      <c r="AZ51"/>
      <c r="BA51"/>
    </row>
    <row r="52" spans="2:53" s="21" customFormat="1" ht="19.5" customHeight="1" x14ac:dyDescent="0.35">
      <c r="B52" s="101" t="s">
        <v>157</v>
      </c>
      <c r="C52" s="144" t="s">
        <v>156</v>
      </c>
      <c r="D52" s="73">
        <v>44418</v>
      </c>
      <c r="E52" s="73">
        <v>44421</v>
      </c>
      <c r="F52" s="158">
        <v>4394</v>
      </c>
      <c r="G52" s="158">
        <v>3680.35</v>
      </c>
      <c r="H52" s="97">
        <f>SUM(Table18[[#This Row],[Billings]]-Table18[[#This Row],[Cost]])/Table18[[#This Row],[Billings]]</f>
        <v>0.16241465634956762</v>
      </c>
      <c r="I52" s="108">
        <v>4302</v>
      </c>
      <c r="J52" s="108">
        <v>3680.35</v>
      </c>
      <c r="K52" s="97">
        <f>SUM(Table18[[#This Row],[Prev. Billings]]-Table18[[#This Row],[Prev. Cost]])/Table18[[#This Row],[Prev. Billings]]</f>
        <v>0.14450255695025571</v>
      </c>
      <c r="L52" s="143">
        <f>SUM(Table18[[#This Row],[Margin]]-Table18[[#This Row],[Prev. Margin]])</f>
        <v>1.7912099399311904E-2</v>
      </c>
      <c r="N52" s="63"/>
      <c r="AF52"/>
      <c r="AG52"/>
      <c r="AH52"/>
      <c r="AI52"/>
      <c r="AJ52"/>
      <c r="AT52" s="96"/>
      <c r="AW52"/>
      <c r="AX52"/>
      <c r="AY52"/>
      <c r="AZ52"/>
      <c r="BA52"/>
    </row>
    <row r="53" spans="2:53" s="21" customFormat="1" ht="19.5" customHeight="1" x14ac:dyDescent="0.35">
      <c r="B53" s="101" t="s">
        <v>159</v>
      </c>
      <c r="C53" s="144" t="s">
        <v>158</v>
      </c>
      <c r="D53" s="73">
        <v>44399</v>
      </c>
      <c r="E53" s="73">
        <v>44400</v>
      </c>
      <c r="F53" s="158">
        <v>734.26</v>
      </c>
      <c r="G53" s="158">
        <v>624.24</v>
      </c>
      <c r="H53" s="97">
        <f>SUM(Table18[[#This Row],[Billings]]-Table18[[#This Row],[Cost]])/Table18[[#This Row],[Billings]]</f>
        <v>0.14983793206765994</v>
      </c>
      <c r="I53" s="108">
        <v>734.26</v>
      </c>
      <c r="J53" s="108">
        <v>624.24</v>
      </c>
      <c r="K53" s="97">
        <f>SUM(Table18[[#This Row],[Prev. Billings]]-Table18[[#This Row],[Prev. Cost]])/Table18[[#This Row],[Prev. Billings]]</f>
        <v>0.14983793206765994</v>
      </c>
      <c r="L53" s="143">
        <f>SUM(Table18[[#This Row],[Margin]]-Table18[[#This Row],[Prev. Margin]])</f>
        <v>0</v>
      </c>
      <c r="N53" s="63"/>
      <c r="AF53"/>
      <c r="AG53"/>
      <c r="AH53"/>
      <c r="AI53"/>
      <c r="AJ53"/>
      <c r="AT53" s="96"/>
      <c r="AW53"/>
      <c r="AX53"/>
      <c r="AY53"/>
      <c r="AZ53"/>
      <c r="BA53"/>
    </row>
    <row r="54" spans="2:53" s="21" customFormat="1" ht="19.5" customHeight="1" x14ac:dyDescent="0.35">
      <c r="B54" s="101" t="s">
        <v>161</v>
      </c>
      <c r="C54" s="144" t="s">
        <v>160</v>
      </c>
      <c r="D54" s="73">
        <v>44394</v>
      </c>
      <c r="E54" s="73">
        <v>44399</v>
      </c>
      <c r="F54" s="158">
        <v>7614.25</v>
      </c>
      <c r="G54" s="158">
        <v>6347.0300000000007</v>
      </c>
      <c r="H54" s="97">
        <f>SUM(Table18[[#This Row],[Billings]]-Table18[[#This Row],[Cost]])/Table18[[#This Row],[Billings]]</f>
        <v>0.16642742226745896</v>
      </c>
      <c r="I54" s="108">
        <v>7614.25</v>
      </c>
      <c r="J54" s="108">
        <v>6347.0300000000007</v>
      </c>
      <c r="K54" s="97">
        <f>SUM(Table18[[#This Row],[Prev. Billings]]-Table18[[#This Row],[Prev. Cost]])/Table18[[#This Row],[Prev. Billings]]</f>
        <v>0.16642742226745896</v>
      </c>
      <c r="L54" s="143">
        <f>SUM(Table18[[#This Row],[Margin]]-Table18[[#This Row],[Prev. Margin]])</f>
        <v>0</v>
      </c>
      <c r="N54" s="63"/>
      <c r="AF54"/>
      <c r="AG54"/>
      <c r="AH54"/>
      <c r="AI54"/>
      <c r="AJ54"/>
      <c r="AT54" s="96"/>
      <c r="AW54"/>
      <c r="AX54"/>
      <c r="AY54"/>
      <c r="AZ54"/>
      <c r="BA54"/>
    </row>
    <row r="55" spans="2:53" s="21" customFormat="1" ht="19.5" customHeight="1" x14ac:dyDescent="0.35">
      <c r="B55" s="101" t="s">
        <v>196</v>
      </c>
      <c r="C55" s="144" t="s">
        <v>162</v>
      </c>
      <c r="D55" s="73">
        <v>44431</v>
      </c>
      <c r="E55" s="73">
        <v>44436</v>
      </c>
      <c r="F55" s="158">
        <v>6373.74</v>
      </c>
      <c r="G55" s="158">
        <v>5368.8</v>
      </c>
      <c r="H55" s="97">
        <f>SUM(Table18[[#This Row],[Billings]]-Table18[[#This Row],[Cost]])/Table18[[#This Row],[Billings]]</f>
        <v>0.15766880983535564</v>
      </c>
      <c r="I55" s="108">
        <v>6373.74</v>
      </c>
      <c r="J55" s="108">
        <v>5578.8</v>
      </c>
      <c r="K55" s="97">
        <f>SUM(Table18[[#This Row],[Prev. Billings]]-Table18[[#This Row],[Prev. Cost]])/Table18[[#This Row],[Prev. Billings]]</f>
        <v>0.12472112135104345</v>
      </c>
      <c r="L55" s="143">
        <f>SUM(Table18[[#This Row],[Margin]]-Table18[[#This Row],[Prev. Margin]])</f>
        <v>3.294768848431219E-2</v>
      </c>
      <c r="N55" s="63"/>
      <c r="AF55"/>
      <c r="AG55"/>
      <c r="AH55"/>
      <c r="AI55"/>
      <c r="AJ55"/>
      <c r="AT55" s="96"/>
      <c r="AW55"/>
      <c r="AX55"/>
      <c r="AY55"/>
      <c r="AZ55"/>
      <c r="BA55"/>
    </row>
    <row r="56" spans="2:53" s="21" customFormat="1" ht="19.5" customHeight="1" x14ac:dyDescent="0.35">
      <c r="B56" s="101" t="s">
        <v>199</v>
      </c>
      <c r="C56" s="64" t="s">
        <v>198</v>
      </c>
      <c r="D56" s="73">
        <v>44403</v>
      </c>
      <c r="E56" s="73">
        <v>44408</v>
      </c>
      <c r="F56" s="158">
        <v>8879.4</v>
      </c>
      <c r="G56" s="158">
        <v>7553.9</v>
      </c>
      <c r="H56" s="97">
        <f>SUM(Table18[[#This Row],[Billings]]-Table18[[#This Row],[Cost]])/Table18[[#This Row],[Billings]]</f>
        <v>0.14927810437642183</v>
      </c>
      <c r="I56" s="108">
        <v>8879.4</v>
      </c>
      <c r="J56" s="108">
        <v>7553.9</v>
      </c>
      <c r="K56" s="97">
        <f>SUM(Table18[[#This Row],[Prev. Billings]]-Table18[[#This Row],[Prev. Cost]])/Table18[[#This Row],[Prev. Billings]]</f>
        <v>0.14927810437642183</v>
      </c>
      <c r="L56" s="143">
        <f>SUM(Table18[[#This Row],[Margin]]-Table18[[#This Row],[Prev. Margin]])</f>
        <v>0</v>
      </c>
      <c r="N56" s="63"/>
      <c r="AF56"/>
      <c r="AG56"/>
      <c r="AH56"/>
      <c r="AI56"/>
      <c r="AJ56"/>
      <c r="AT56" s="96"/>
      <c r="AW56"/>
      <c r="AX56"/>
      <c r="AY56"/>
      <c r="AZ56"/>
      <c r="BA56"/>
    </row>
    <row r="57" spans="2:53" s="21" customFormat="1" ht="19.5" customHeight="1" x14ac:dyDescent="0.35">
      <c r="B57" s="101" t="s">
        <v>197</v>
      </c>
      <c r="C57" s="144" t="s">
        <v>163</v>
      </c>
      <c r="D57" s="73">
        <v>0</v>
      </c>
      <c r="E57" s="73">
        <v>0</v>
      </c>
      <c r="F57" s="158">
        <v>1075.51</v>
      </c>
      <c r="G57" s="158">
        <v>922.21999999999991</v>
      </c>
      <c r="H57" s="97">
        <f>SUM(Table18[[#This Row],[Billings]]-Table18[[#This Row],[Cost]])/Table18[[#This Row],[Billings]]</f>
        <v>0.14252773102993005</v>
      </c>
      <c r="I57" s="108">
        <v>1075.5</v>
      </c>
      <c r="J57" s="108">
        <v>922.21999999999991</v>
      </c>
      <c r="K57" s="97">
        <f>SUM(Table18[[#This Row],[Prev. Billings]]-Table18[[#This Row],[Prev. Cost]])/Table18[[#This Row],[Prev. Billings]]</f>
        <v>0.14251975825197591</v>
      </c>
      <c r="L57" s="143">
        <f>SUM(Table18[[#This Row],[Margin]]-Table18[[#This Row],[Prev. Margin]])</f>
        <v>7.9727779541405308E-6</v>
      </c>
      <c r="N57" s="63"/>
      <c r="AF57"/>
      <c r="AG57"/>
      <c r="AH57"/>
      <c r="AI57"/>
      <c r="AJ57"/>
      <c r="AT57" s="96"/>
      <c r="AW57"/>
      <c r="AX57"/>
      <c r="AY57"/>
      <c r="AZ57"/>
      <c r="BA57"/>
    </row>
    <row r="58" spans="2:53" s="21" customFormat="1" ht="19.5" customHeight="1" x14ac:dyDescent="0.35">
      <c r="B58" s="145" t="s">
        <v>204</v>
      </c>
      <c r="C58" s="64" t="s">
        <v>200</v>
      </c>
      <c r="D58" s="73">
        <v>44420</v>
      </c>
      <c r="E58" s="73">
        <v>44424</v>
      </c>
      <c r="F58" s="158">
        <v>1317.1299999999999</v>
      </c>
      <c r="G58" s="158">
        <v>1192.29</v>
      </c>
      <c r="H58" s="97">
        <f>SUM(Table18[[#This Row],[Billings]]-Table18[[#This Row],[Cost]])/Table18[[#This Row],[Billings]]</f>
        <v>9.4781836265212943E-2</v>
      </c>
      <c r="I58" s="108">
        <v>1317.1299999999999</v>
      </c>
      <c r="J58" s="108">
        <v>1192.29</v>
      </c>
      <c r="K58" s="97">
        <f>SUM(Table18[[#This Row],[Prev. Billings]]-Table18[[#This Row],[Prev. Cost]])/Table18[[#This Row],[Prev. Billings]]</f>
        <v>9.4781836265212943E-2</v>
      </c>
      <c r="L58" s="143">
        <f>SUM(Table18[[#This Row],[Margin]]-Table18[[#This Row],[Prev. Margin]])</f>
        <v>0</v>
      </c>
      <c r="N58" s="63"/>
      <c r="AF58"/>
      <c r="AG58"/>
      <c r="AH58"/>
      <c r="AI58"/>
      <c r="AJ58"/>
      <c r="AT58" s="96"/>
      <c r="AW58"/>
      <c r="AX58"/>
      <c r="AY58"/>
      <c r="AZ58"/>
      <c r="BA58"/>
    </row>
    <row r="59" spans="2:53" s="21" customFormat="1" ht="19.5" customHeight="1" x14ac:dyDescent="0.35">
      <c r="B59" s="146" t="s">
        <v>242</v>
      </c>
      <c r="C59" s="64" t="s">
        <v>202</v>
      </c>
      <c r="D59" s="73">
        <v>44420</v>
      </c>
      <c r="E59" s="73">
        <v>44425</v>
      </c>
      <c r="F59" s="158">
        <v>3774.96</v>
      </c>
      <c r="G59" s="158">
        <v>2536.8000000000002</v>
      </c>
      <c r="H59" s="97">
        <f>SUM(Table18[[#This Row],[Billings]]-Table18[[#This Row],[Cost]])/Table18[[#This Row],[Billings]]</f>
        <v>0.32799287939474853</v>
      </c>
      <c r="I59" s="108">
        <v>3774.96</v>
      </c>
      <c r="J59" s="108">
        <v>2536.8000000000002</v>
      </c>
      <c r="K59" s="97">
        <f>SUM(Table18[[#This Row],[Prev. Billings]]-Table18[[#This Row],[Prev. Cost]])/Table18[[#This Row],[Prev. Billings]]</f>
        <v>0.32799287939474853</v>
      </c>
      <c r="L59" s="143">
        <f>SUM(Table18[[#This Row],[Margin]]-Table18[[#This Row],[Prev. Margin]])</f>
        <v>0</v>
      </c>
      <c r="N59" s="63"/>
      <c r="AF59"/>
      <c r="AG59"/>
      <c r="AH59"/>
      <c r="AI59"/>
      <c r="AJ59"/>
      <c r="AT59" s="96"/>
      <c r="AW59"/>
      <c r="AX59"/>
      <c r="AY59"/>
      <c r="AZ59"/>
      <c r="BA59"/>
    </row>
    <row r="60" spans="2:53" s="21" customFormat="1" ht="19.5" customHeight="1" x14ac:dyDescent="0.35">
      <c r="B60" s="147" t="s">
        <v>241</v>
      </c>
      <c r="C60" s="99" t="s">
        <v>201</v>
      </c>
      <c r="D60" s="63">
        <v>44416</v>
      </c>
      <c r="E60" s="63">
        <v>44418</v>
      </c>
      <c r="F60" s="158">
        <v>2151</v>
      </c>
      <c r="G60" s="158">
        <v>1865.31</v>
      </c>
      <c r="H60" s="97">
        <f>SUM(Table18[[#This Row],[Billings]]-Table18[[#This Row],[Cost]])/Table18[[#This Row],[Billings]]</f>
        <v>0.13281729428172945</v>
      </c>
      <c r="I60" s="108">
        <v>2151</v>
      </c>
      <c r="J60" s="108">
        <v>1865.31</v>
      </c>
      <c r="K60" s="97">
        <f>SUM(Table18[[#This Row],[Prev. Billings]]-Table18[[#This Row],[Prev. Cost]])/Table18[[#This Row],[Prev. Billings]]</f>
        <v>0.13281729428172945</v>
      </c>
      <c r="L60" s="143">
        <f>SUM(Table18[[#This Row],[Margin]]-Table18[[#This Row],[Prev. Margin]])</f>
        <v>0</v>
      </c>
      <c r="N60" s="63"/>
      <c r="AF60"/>
      <c r="AG60"/>
      <c r="AH60"/>
      <c r="AI60"/>
      <c r="AJ60"/>
      <c r="AT60" s="96"/>
      <c r="AW60"/>
      <c r="AX60"/>
      <c r="AY60"/>
      <c r="AZ60"/>
      <c r="BA60"/>
    </row>
    <row r="61" spans="2:53" s="21" customFormat="1" ht="19.5" customHeight="1" x14ac:dyDescent="0.35">
      <c r="B61" s="147" t="s">
        <v>263</v>
      </c>
      <c r="C61" s="99" t="s">
        <v>214</v>
      </c>
      <c r="D61" s="73">
        <v>44401</v>
      </c>
      <c r="E61" s="73">
        <v>44402</v>
      </c>
      <c r="F61" s="158">
        <v>866.15</v>
      </c>
      <c r="G61" s="158">
        <v>627.61</v>
      </c>
      <c r="H61" s="97">
        <f>SUM(Table18[[#This Row],[Billings]]-Table18[[#This Row],[Cost]])/Table18[[#This Row],[Billings]]</f>
        <v>0.27540264388385383</v>
      </c>
      <c r="I61" s="108">
        <v>866.15</v>
      </c>
      <c r="J61" s="108">
        <v>627.61</v>
      </c>
      <c r="K61" s="97">
        <f>SUM(Table18[[#This Row],[Prev. Billings]]-Table18[[#This Row],[Prev. Cost]])/Table18[[#This Row],[Prev. Billings]]</f>
        <v>0.27540264388385383</v>
      </c>
      <c r="L61" s="143">
        <f>SUM(Table18[[#This Row],[Margin]]-Table18[[#This Row],[Prev. Margin]])</f>
        <v>0</v>
      </c>
      <c r="N61" s="63"/>
      <c r="AF61"/>
      <c r="AG61"/>
      <c r="AH61"/>
      <c r="AI61"/>
      <c r="AJ61"/>
      <c r="AT61" s="96"/>
      <c r="AW61"/>
      <c r="AX61"/>
      <c r="AY61"/>
      <c r="AZ61"/>
      <c r="BA61"/>
    </row>
    <row r="62" spans="2:53" s="21" customFormat="1" ht="19.5" customHeight="1" x14ac:dyDescent="0.35">
      <c r="B62" s="99" t="s">
        <v>280</v>
      </c>
      <c r="C62" s="99" t="s">
        <v>203</v>
      </c>
      <c r="D62" s="63">
        <v>44398</v>
      </c>
      <c r="E62" s="63">
        <v>44400</v>
      </c>
      <c r="F62" s="158">
        <v>2251</v>
      </c>
      <c r="G62" s="158">
        <v>1803.82</v>
      </c>
      <c r="H62" s="97">
        <f>SUM(Table18[[#This Row],[Billings]]-Table18[[#This Row],[Cost]])/Table18[[#This Row],[Billings]]</f>
        <v>0.19865837405597514</v>
      </c>
      <c r="I62" s="108">
        <v>2251</v>
      </c>
      <c r="J62" s="108">
        <v>1803.82</v>
      </c>
      <c r="K62" s="97">
        <f>SUM(Table18[[#This Row],[Prev. Billings]]-Table18[[#This Row],[Prev. Cost]])/Table18[[#This Row],[Prev. Billings]]</f>
        <v>0.19865837405597514</v>
      </c>
      <c r="L62" s="143">
        <f>SUM(Table18[[#This Row],[Margin]]-Table18[[#This Row],[Prev. Margin]])</f>
        <v>0</v>
      </c>
      <c r="N62" s="64"/>
      <c r="AF62"/>
      <c r="AG62"/>
      <c r="AH62"/>
      <c r="AI62"/>
      <c r="AJ62"/>
      <c r="AT62" s="96"/>
      <c r="AW62"/>
      <c r="AX62"/>
      <c r="AY62"/>
      <c r="AZ62"/>
      <c r="BA62"/>
    </row>
    <row r="63" spans="2:53" s="21" customFormat="1" ht="19.5" customHeight="1" x14ac:dyDescent="0.35">
      <c r="B63" s="99" t="s">
        <v>307</v>
      </c>
      <c r="C63" s="99" t="s">
        <v>282</v>
      </c>
      <c r="D63" s="73">
        <v>44436</v>
      </c>
      <c r="E63" s="73">
        <v>44438</v>
      </c>
      <c r="F63" s="158">
        <v>2151</v>
      </c>
      <c r="G63" s="158">
        <v>1807.32</v>
      </c>
      <c r="H63" s="97">
        <f>SUM(Table18[[#This Row],[Billings]]-Table18[[#This Row],[Cost]])/Table18[[#This Row],[Billings]]</f>
        <v>0.15977684797768482</v>
      </c>
      <c r="I63" s="108">
        <v>2151</v>
      </c>
      <c r="J63" s="108">
        <v>1862.32</v>
      </c>
      <c r="K63" s="97">
        <f>SUM(Table18[[#This Row],[Prev. Billings]]-Table18[[#This Row],[Prev. Cost]])/Table18[[#This Row],[Prev. Billings]]</f>
        <v>0.13420734542073456</v>
      </c>
      <c r="L63" s="143">
        <f>SUM(Table18[[#This Row],[Margin]]-Table18[[#This Row],[Prev. Margin]])</f>
        <v>2.5569502556950258E-2</v>
      </c>
      <c r="N63" s="64"/>
      <c r="AF63"/>
      <c r="AG63"/>
      <c r="AH63"/>
      <c r="AI63"/>
      <c r="AJ63"/>
      <c r="AT63" s="96"/>
      <c r="AW63"/>
      <c r="AX63"/>
      <c r="AY63"/>
      <c r="AZ63"/>
      <c r="BA63"/>
    </row>
    <row r="64" spans="2:53" s="21" customFormat="1" ht="19.5" customHeight="1" x14ac:dyDescent="0.35">
      <c r="B64" s="99" t="s">
        <v>306</v>
      </c>
      <c r="C64" s="99" t="s">
        <v>281</v>
      </c>
      <c r="D64" s="73">
        <v>44439</v>
      </c>
      <c r="E64" s="73">
        <v>44442</v>
      </c>
      <c r="F64" s="158">
        <v>3140.25</v>
      </c>
      <c r="G64" s="158">
        <v>2820.22</v>
      </c>
      <c r="H64" s="97">
        <f>SUM(Table18[[#This Row],[Billings]]-Table18[[#This Row],[Cost]])/Table18[[#This Row],[Billings]]</f>
        <v>0.10191226813151825</v>
      </c>
      <c r="I64" s="108">
        <v>3140.25</v>
      </c>
      <c r="J64" s="108">
        <v>2820.22</v>
      </c>
      <c r="K64" s="97">
        <f>SUM(Table18[[#This Row],[Prev. Billings]]-Table18[[#This Row],[Prev. Cost]])/Table18[[#This Row],[Prev. Billings]]</f>
        <v>0.10191226813151825</v>
      </c>
      <c r="L64" s="143">
        <f>SUM(Table18[[#This Row],[Margin]]-Table18[[#This Row],[Prev. Margin]])</f>
        <v>0</v>
      </c>
      <c r="N64" s="55"/>
      <c r="O64"/>
      <c r="P64"/>
      <c r="Q64"/>
      <c r="R64"/>
      <c r="S64"/>
      <c r="T64"/>
      <c r="U64"/>
      <c r="V64"/>
      <c r="AF64"/>
      <c r="AG64"/>
      <c r="AH64"/>
      <c r="AI64"/>
      <c r="AJ64"/>
      <c r="AT64" s="96"/>
      <c r="AW64"/>
      <c r="AX64"/>
      <c r="AY64"/>
      <c r="AZ64"/>
      <c r="BA64"/>
    </row>
    <row r="65" spans="2:53" s="21" customFormat="1" ht="19.5" customHeight="1" x14ac:dyDescent="0.35">
      <c r="B65" s="99" t="s">
        <v>327</v>
      </c>
      <c r="C65" s="64" t="s">
        <v>308</v>
      </c>
      <c r="D65" s="73">
        <v>44408</v>
      </c>
      <c r="E65" s="73">
        <v>44410</v>
      </c>
      <c r="F65" s="158">
        <v>3432.58</v>
      </c>
      <c r="G65" s="158">
        <v>2611.3199999999997</v>
      </c>
      <c r="H65" s="97">
        <f>SUM(Table18[[#This Row],[Billings]]-Table18[[#This Row],[Cost]])/Table18[[#This Row],[Billings]]</f>
        <v>0.23925443835249294</v>
      </c>
      <c r="I65" s="108">
        <v>3432.58</v>
      </c>
      <c r="J65" s="108">
        <v>2611.3199999999997</v>
      </c>
      <c r="K65" s="97">
        <f>SUM(Table18[[#This Row],[Prev. Billings]]-Table18[[#This Row],[Prev. Cost]])/Table18[[#This Row],[Prev. Billings]]</f>
        <v>0.23925443835249294</v>
      </c>
      <c r="L65" s="143">
        <f>SUM(Table18[[#This Row],[Margin]]-Table18[[#This Row],[Prev. Margin]])</f>
        <v>0</v>
      </c>
      <c r="N65" s="55"/>
      <c r="O65"/>
      <c r="P65"/>
      <c r="Q65"/>
      <c r="R65"/>
      <c r="S65"/>
      <c r="T65"/>
      <c r="U65"/>
      <c r="V65"/>
      <c r="AF65"/>
      <c r="AG65"/>
      <c r="AH65"/>
      <c r="AI65"/>
      <c r="AJ65"/>
      <c r="AT65" s="96"/>
      <c r="AW65"/>
      <c r="AX65"/>
      <c r="AY65"/>
      <c r="AZ65"/>
      <c r="BA65"/>
    </row>
    <row r="66" spans="2:53" s="21" customFormat="1" ht="19.5" customHeight="1" x14ac:dyDescent="0.35">
      <c r="B66" s="99" t="s">
        <v>328</v>
      </c>
      <c r="C66" s="104" t="s">
        <v>330</v>
      </c>
      <c r="D66" s="105">
        <v>44431</v>
      </c>
      <c r="E66" s="105">
        <v>44435</v>
      </c>
      <c r="F66" s="158">
        <v>4566.96</v>
      </c>
      <c r="G66" s="158">
        <v>3296.54</v>
      </c>
      <c r="H66" s="97">
        <f>SUM(Table18[[#This Row],[Billings]]-Table18[[#This Row],[Cost]])/Table18[[#This Row],[Billings]]</f>
        <v>0.27817629232574842</v>
      </c>
      <c r="I66" s="108">
        <v>4566.96</v>
      </c>
      <c r="J66" s="108">
        <v>3665.6899999999996</v>
      </c>
      <c r="K66" s="97">
        <f>SUM(Table18[[#This Row],[Prev. Billings]]-Table18[[#This Row],[Prev. Cost]])/Table18[[#This Row],[Prev. Billings]]</f>
        <v>0.19734571793928574</v>
      </c>
      <c r="L66" s="143">
        <f>SUM(Table18[[#This Row],[Margin]]-Table18[[#This Row],[Prev. Margin]])</f>
        <v>8.0830574386462684E-2</v>
      </c>
      <c r="N66" s="55"/>
      <c r="O66"/>
      <c r="P66"/>
      <c r="Q66"/>
      <c r="R66"/>
      <c r="S66"/>
      <c r="T66"/>
      <c r="U66"/>
      <c r="V66"/>
      <c r="AF66"/>
      <c r="AG66"/>
      <c r="AH66"/>
      <c r="AI66"/>
      <c r="AJ66"/>
      <c r="AT66" s="96"/>
      <c r="AW66"/>
      <c r="AX66"/>
      <c r="AY66"/>
      <c r="AZ66"/>
      <c r="BA66"/>
    </row>
    <row r="67" spans="2:53" s="21" customFormat="1" ht="19.5" customHeight="1" x14ac:dyDescent="0.35">
      <c r="B67" s="99" t="s">
        <v>329</v>
      </c>
      <c r="C67" s="104" t="s">
        <v>331</v>
      </c>
      <c r="D67" s="105">
        <v>44427</v>
      </c>
      <c r="E67" s="105">
        <v>44432</v>
      </c>
      <c r="F67" s="158">
        <v>4288.26</v>
      </c>
      <c r="G67" s="158">
        <v>3315.26</v>
      </c>
      <c r="H67" s="97">
        <f>SUM(Table18[[#This Row],[Billings]]-Table18[[#This Row],[Cost]])/Table18[[#This Row],[Billings]]</f>
        <v>0.22689855559131208</v>
      </c>
      <c r="I67" s="108">
        <v>4288.26</v>
      </c>
      <c r="J67" s="108">
        <v>3420.26</v>
      </c>
      <c r="K67" s="97">
        <f>SUM(Table18[[#This Row],[Prev. Billings]]-Table18[[#This Row],[Prev. Cost]])/Table18[[#This Row],[Prev. Billings]]</f>
        <v>0.20241309995196186</v>
      </c>
      <c r="L67" s="143">
        <f>SUM(Table18[[#This Row],[Margin]]-Table18[[#This Row],[Prev. Margin]])</f>
        <v>2.4485455639350229E-2</v>
      </c>
      <c r="N67" s="55"/>
      <c r="O67"/>
      <c r="P67"/>
      <c r="Q67"/>
      <c r="R67"/>
      <c r="S67"/>
      <c r="T67"/>
      <c r="U67"/>
      <c r="V67"/>
      <c r="AF67"/>
      <c r="AG67"/>
      <c r="AH67"/>
      <c r="AI67"/>
      <c r="AJ67"/>
      <c r="AT67" s="96"/>
      <c r="AW67"/>
      <c r="AX67"/>
      <c r="AY67"/>
      <c r="AZ67"/>
      <c r="BA67"/>
    </row>
    <row r="68" spans="2:53" s="21" customFormat="1" ht="19.5" customHeight="1" x14ac:dyDescent="0.35">
      <c r="B68" s="99" t="s">
        <v>346</v>
      </c>
      <c r="C68" s="64" t="s">
        <v>349</v>
      </c>
      <c r="D68" s="73">
        <v>44429</v>
      </c>
      <c r="E68" s="73">
        <v>44435</v>
      </c>
      <c r="F68" s="96">
        <v>12651.2</v>
      </c>
      <c r="G68" s="96">
        <v>11103.588</v>
      </c>
      <c r="H68" s="97">
        <f>SUM(Table18[[#This Row],[Billings]]-Table18[[#This Row],[Cost]])/Table18[[#This Row],[Billings]]</f>
        <v>0.12232926520804357</v>
      </c>
      <c r="I68" s="108">
        <v>10213.200000000001</v>
      </c>
      <c r="J68" s="108">
        <v>8931.5499999999993</v>
      </c>
      <c r="K68" s="97">
        <f>SUM(Table18[[#This Row],[Prev. Billings]]-Table18[[#This Row],[Prev. Cost]])/Table18[[#This Row],[Prev. Billings]]</f>
        <v>0.12548956252692609</v>
      </c>
      <c r="L68" s="143">
        <f>SUM(Table18[[#This Row],[Margin]]-Table18[[#This Row],[Prev. Margin]])</f>
        <v>-3.1602973188825101E-3</v>
      </c>
      <c r="N68" s="55"/>
      <c r="O68"/>
      <c r="P68"/>
      <c r="Q68"/>
      <c r="R68"/>
      <c r="S68"/>
      <c r="T68"/>
      <c r="U68"/>
      <c r="V68"/>
      <c r="AF68"/>
      <c r="AG68"/>
      <c r="AH68"/>
      <c r="AI68"/>
      <c r="AJ68"/>
      <c r="AT68" s="96"/>
      <c r="AW68"/>
      <c r="AX68"/>
      <c r="AY68"/>
      <c r="AZ68"/>
      <c r="BA68"/>
    </row>
    <row r="69" spans="2:53" ht="20.5" customHeight="1" x14ac:dyDescent="0.35">
      <c r="B69" s="99" t="s">
        <v>347</v>
      </c>
      <c r="C69" s="64" t="s">
        <v>350</v>
      </c>
      <c r="D69" s="73">
        <v>44445</v>
      </c>
      <c r="E69" s="73">
        <v>44448</v>
      </c>
      <c r="F69" s="96">
        <v>2858.84</v>
      </c>
      <c r="G69" s="96">
        <v>2323.91</v>
      </c>
      <c r="H69" s="97">
        <f>SUM(Table18[[#This Row],[Billings]]-Table18[[#This Row],[Cost]])/Table18[[#This Row],[Billings]]</f>
        <v>0.18711435407368032</v>
      </c>
      <c r="I69" s="108">
        <v>2858.84</v>
      </c>
      <c r="J69" s="108">
        <v>2323.91</v>
      </c>
      <c r="K69" s="97">
        <f>SUM(Table18[[#This Row],[Prev. Billings]]-Table18[[#This Row],[Prev. Cost]])/Table18[[#This Row],[Prev. Billings]]</f>
        <v>0.18711435407368032</v>
      </c>
      <c r="L69" s="143">
        <f>SUM(Table18[[#This Row],[Margin]]-Table18[[#This Row],[Prev. Margin]])</f>
        <v>0</v>
      </c>
    </row>
    <row r="70" spans="2:53" ht="20.5" customHeight="1" x14ac:dyDescent="0.35">
      <c r="B70" s="99" t="s">
        <v>348</v>
      </c>
      <c r="C70" s="64" t="s">
        <v>351</v>
      </c>
      <c r="D70" s="73">
        <v>44445</v>
      </c>
      <c r="E70" s="73">
        <v>44450</v>
      </c>
      <c r="F70" s="96">
        <v>6344.2</v>
      </c>
      <c r="G70" s="96">
        <v>5245.24</v>
      </c>
      <c r="H70" s="97">
        <f>SUM(Table18[[#This Row],[Billings]]-Table18[[#This Row],[Cost]])/Table18[[#This Row],[Billings]]</f>
        <v>0.1732227861668926</v>
      </c>
      <c r="I70" s="108">
        <v>6344.2</v>
      </c>
      <c r="J70" s="108">
        <v>5245.24</v>
      </c>
      <c r="K70" s="97">
        <f>SUM(Table18[[#This Row],[Prev. Billings]]-Table18[[#This Row],[Prev. Cost]])/Table18[[#This Row],[Prev. Billings]]</f>
        <v>0.1732227861668926</v>
      </c>
      <c r="L70" s="143">
        <f>SUM(Table18[[#This Row],[Margin]]-Table18[[#This Row],[Prev. Margin]])</f>
        <v>0</v>
      </c>
    </row>
    <row r="71" spans="2:53" ht="20.5" customHeight="1" x14ac:dyDescent="0.35">
      <c r="B71" s="99" t="s">
        <v>358</v>
      </c>
      <c r="C71" s="104" t="s">
        <v>359</v>
      </c>
      <c r="D71" s="73">
        <v>44485</v>
      </c>
      <c r="E71" s="73">
        <v>44487</v>
      </c>
      <c r="F71" s="96">
        <v>1732.3</v>
      </c>
      <c r="G71" s="96">
        <v>1362.62</v>
      </c>
      <c r="H71" s="97">
        <f>SUM(Table18[[#This Row],[Billings]]-Table18[[#This Row],[Cost]])/Table18[[#This Row],[Billings]]</f>
        <v>0.21340414477861808</v>
      </c>
      <c r="I71" s="108">
        <v>1732.3</v>
      </c>
      <c r="J71" s="108">
        <v>1362.62</v>
      </c>
      <c r="K71" s="97">
        <f>SUM(Table18[[#This Row],[Prev. Billings]]-Table18[[#This Row],[Prev. Cost]])/Table18[[#This Row],[Prev. Billings]]</f>
        <v>0.21340414477861808</v>
      </c>
      <c r="L71" s="143">
        <f>SUM(Table18[[#This Row],[Margin]]-Table18[[#This Row],[Prev. Margin]])</f>
        <v>0</v>
      </c>
    </row>
    <row r="72" spans="2:53" s="3" customFormat="1" ht="20.5" customHeight="1" x14ac:dyDescent="0.35">
      <c r="B72" s="101" t="s">
        <v>54</v>
      </c>
      <c r="C72" s="99" t="s">
        <v>53</v>
      </c>
      <c r="D72" s="73">
        <v>44348</v>
      </c>
      <c r="E72" s="73">
        <v>44350</v>
      </c>
      <c r="F72" s="96">
        <v>3397.66</v>
      </c>
      <c r="G72" s="96">
        <v>2770.6500000000005</v>
      </c>
      <c r="H72" s="97">
        <f>SUM(Table18[[#This Row],[Billings]]-Table18[[#This Row],[Cost]])/Table18[[#This Row],[Billings]]</f>
        <v>0.18454171400316668</v>
      </c>
      <c r="I72" s="108">
        <v>3397.66</v>
      </c>
      <c r="J72" s="108">
        <v>2770.6500000000005</v>
      </c>
      <c r="K72" s="97">
        <f>SUM(Table18[[#This Row],[Prev. Billings]]-Table18[[#This Row],[Prev. Cost]])/Table18[[#This Row],[Prev. Billings]]</f>
        <v>0.18454171400316668</v>
      </c>
      <c r="L72" s="143">
        <f>SUM(Table18[[#This Row],[Margin]]-Table18[[#This Row],[Prev. Margin]])</f>
        <v>0</v>
      </c>
      <c r="N72" s="12"/>
      <c r="AF72"/>
      <c r="AG72"/>
      <c r="AH72"/>
      <c r="AI72"/>
      <c r="AJ72"/>
      <c r="AT72" s="78"/>
      <c r="AW72"/>
      <c r="AX72"/>
      <c r="AY72"/>
      <c r="AZ72"/>
      <c r="BA72"/>
    </row>
    <row r="73" spans="2:53" s="3" customFormat="1" ht="20.5" customHeight="1" x14ac:dyDescent="0.35">
      <c r="B73" s="103" t="s">
        <v>136</v>
      </c>
      <c r="C73" s="104" t="s">
        <v>112</v>
      </c>
      <c r="D73" s="73">
        <v>44377</v>
      </c>
      <c r="E73" s="73">
        <v>44377</v>
      </c>
      <c r="F73" s="96">
        <v>745.28</v>
      </c>
      <c r="G73" s="96">
        <v>531.6099999999999</v>
      </c>
      <c r="H73" s="97">
        <f>SUM(Table18[[#This Row],[Billings]]-Table18[[#This Row],[Cost]])/Table18[[#This Row],[Billings]]</f>
        <v>0.28669761700300567</v>
      </c>
      <c r="I73" s="108">
        <v>745.28</v>
      </c>
      <c r="J73" s="108">
        <v>531.6099999999999</v>
      </c>
      <c r="K73" s="97">
        <f>SUM(Table18[[#This Row],[Prev. Billings]]-Table18[[#This Row],[Prev. Cost]])/Table18[[#This Row],[Prev. Billings]]</f>
        <v>0.28669761700300567</v>
      </c>
      <c r="L73" s="143">
        <f>SUM(Table18[[#This Row],[Margin]]-Table18[[#This Row],[Prev. Margin]])</f>
        <v>0</v>
      </c>
      <c r="N73" s="12"/>
      <c r="AF73"/>
      <c r="AG73"/>
      <c r="AH73"/>
      <c r="AI73"/>
      <c r="AJ73"/>
      <c r="AT73" s="78"/>
      <c r="AW73"/>
      <c r="AX73"/>
      <c r="AY73"/>
      <c r="AZ73"/>
      <c r="BA73"/>
    </row>
    <row r="74" spans="2:53" s="3" customFormat="1" ht="20.5" customHeight="1" x14ac:dyDescent="0.35">
      <c r="B74" s="103" t="s">
        <v>264</v>
      </c>
      <c r="C74" s="104" t="s">
        <v>265</v>
      </c>
      <c r="D74" s="73">
        <v>44405</v>
      </c>
      <c r="E74" s="73">
        <v>44408</v>
      </c>
      <c r="F74" s="96">
        <v>6237</v>
      </c>
      <c r="G74" s="96">
        <v>4504.03</v>
      </c>
      <c r="H74" s="97">
        <f>SUM(Table18[[#This Row],[Billings]]-Table18[[#This Row],[Cost]])/Table18[[#This Row],[Billings]]</f>
        <v>0.2778531345198012</v>
      </c>
      <c r="I74" s="108">
        <v>6237</v>
      </c>
      <c r="J74" s="108">
        <v>4504.03</v>
      </c>
      <c r="K74" s="97">
        <f>SUM(Table18[[#This Row],[Prev. Billings]]-Table18[[#This Row],[Prev. Cost]])/Table18[[#This Row],[Prev. Billings]]</f>
        <v>0.2778531345198012</v>
      </c>
      <c r="L74" s="143">
        <f>SUM(Table18[[#This Row],[Margin]]-Table18[[#This Row],[Prev. Margin]])</f>
        <v>0</v>
      </c>
      <c r="N74" s="12"/>
      <c r="AF74"/>
      <c r="AG74"/>
      <c r="AH74"/>
      <c r="AI74"/>
      <c r="AJ74"/>
      <c r="AT74" s="78"/>
      <c r="AW74"/>
      <c r="AX74"/>
      <c r="AY74"/>
      <c r="AZ74"/>
      <c r="BA74"/>
    </row>
    <row r="75" spans="2:53" s="3" customFormat="1" ht="20.5" customHeight="1" x14ac:dyDescent="0.35">
      <c r="B75" s="103" t="s">
        <v>165</v>
      </c>
      <c r="C75" s="104" t="s">
        <v>164</v>
      </c>
      <c r="D75" s="73">
        <v>44388</v>
      </c>
      <c r="E75" s="73">
        <v>44403</v>
      </c>
      <c r="F75" s="108">
        <v>5023.9199999999992</v>
      </c>
      <c r="G75" s="108">
        <v>4059.4300000000003</v>
      </c>
      <c r="H75" s="97">
        <f>SUM(Table18[[#This Row],[Billings]]-Table18[[#This Row],[Cost]])/Table18[[#This Row],[Billings]]</f>
        <v>0.19197956973837144</v>
      </c>
      <c r="I75" s="108">
        <v>5023.9199999999992</v>
      </c>
      <c r="J75" s="108">
        <v>4059.4300000000003</v>
      </c>
      <c r="K75" s="97">
        <f>SUM(Table18[[#This Row],[Prev. Billings]]-Table18[[#This Row],[Prev. Cost]])/Table18[[#This Row],[Prev. Billings]]</f>
        <v>0.19197956973837144</v>
      </c>
      <c r="L75" s="143">
        <f>SUM(Table18[[#This Row],[Margin]]-Table18[[#This Row],[Prev. Margin]])</f>
        <v>0</v>
      </c>
      <c r="N75" s="12"/>
      <c r="AF75"/>
      <c r="AG75"/>
      <c r="AH75"/>
      <c r="AI75"/>
      <c r="AJ75"/>
      <c r="AT75" s="78"/>
      <c r="AW75"/>
      <c r="AX75"/>
      <c r="AY75"/>
      <c r="AZ75"/>
      <c r="BA75"/>
    </row>
    <row r="76" spans="2:53" s="3" customFormat="1" ht="20.5" customHeight="1" x14ac:dyDescent="0.35">
      <c r="B76" s="100" t="s">
        <v>39</v>
      </c>
      <c r="C76" s="101" t="s">
        <v>8</v>
      </c>
      <c r="D76" s="102">
        <v>44297</v>
      </c>
      <c r="E76" s="102">
        <v>44372</v>
      </c>
      <c r="F76" s="108">
        <v>116130.46999999999</v>
      </c>
      <c r="G76" s="108">
        <v>100740.95500000007</v>
      </c>
      <c r="H76" s="97">
        <f>SUM(Table18[[#This Row],[Billings]]-Table18[[#This Row],[Cost]])/Table18[[#This Row],[Billings]]</f>
        <v>0.13251918295000367</v>
      </c>
      <c r="I76" s="108">
        <v>116130.46999999999</v>
      </c>
      <c r="J76" s="108">
        <v>100740.95500000007</v>
      </c>
      <c r="K76" s="97">
        <f>SUM(Table18[[#This Row],[Prev. Billings]]-Table18[[#This Row],[Prev. Cost]])/Table18[[#This Row],[Prev. Billings]]</f>
        <v>0.13251918295000367</v>
      </c>
      <c r="L76" s="143">
        <f>SUM(Table18[[#This Row],[Margin]]-Table18[[#This Row],[Prev. Margin]])</f>
        <v>0</v>
      </c>
      <c r="N76" s="12"/>
      <c r="AF76"/>
      <c r="AG76"/>
      <c r="AH76"/>
      <c r="AI76"/>
      <c r="AJ76"/>
      <c r="AT76" s="78"/>
      <c r="AW76"/>
      <c r="AX76"/>
      <c r="AY76"/>
      <c r="AZ76"/>
      <c r="BA76"/>
    </row>
    <row r="77" spans="2:53" s="3" customFormat="1" ht="20.5" customHeight="1" x14ac:dyDescent="0.35">
      <c r="B77" s="100" t="s">
        <v>44</v>
      </c>
      <c r="C77" s="101" t="s">
        <v>43</v>
      </c>
      <c r="D77" s="102">
        <v>44318</v>
      </c>
      <c r="E77" s="102">
        <v>44367</v>
      </c>
      <c r="F77" s="108">
        <v>80938.86</v>
      </c>
      <c r="G77" s="108">
        <v>70743.94</v>
      </c>
      <c r="H77" s="97">
        <f>SUM(Table18[[#This Row],[Billings]]-Table18[[#This Row],[Cost]])/Table18[[#This Row],[Billings]]</f>
        <v>0.12595828505615222</v>
      </c>
      <c r="I77" s="108">
        <v>80938.86</v>
      </c>
      <c r="J77" s="108">
        <v>70743.94</v>
      </c>
      <c r="K77" s="97">
        <f>SUM(Table18[[#This Row],[Prev. Billings]]-Table18[[#This Row],[Prev. Cost]])/Table18[[#This Row],[Prev. Billings]]</f>
        <v>0.12595828505615222</v>
      </c>
      <c r="L77" s="143">
        <f>SUM(Table18[[#This Row],[Margin]]-Table18[[#This Row],[Prev. Margin]])</f>
        <v>0</v>
      </c>
      <c r="N77" s="12"/>
      <c r="AF77"/>
      <c r="AG77"/>
      <c r="AH77"/>
      <c r="AI77"/>
      <c r="AJ77"/>
      <c r="AT77" s="78"/>
      <c r="AW77"/>
      <c r="AX77"/>
      <c r="AY77"/>
      <c r="AZ77"/>
      <c r="BA77"/>
    </row>
    <row r="78" spans="2:53" s="3" customFormat="1" ht="20.5" customHeight="1" x14ac:dyDescent="0.35">
      <c r="B78" s="100" t="s">
        <v>49</v>
      </c>
      <c r="C78" s="101" t="s">
        <v>50</v>
      </c>
      <c r="D78" s="102">
        <v>44339</v>
      </c>
      <c r="E78" s="102">
        <v>44350</v>
      </c>
      <c r="F78" s="98">
        <v>26434.699999999997</v>
      </c>
      <c r="G78" s="98">
        <v>24233.47</v>
      </c>
      <c r="H78" s="97">
        <f>SUM(Table18[[#This Row],[Billings]]-Table18[[#This Row],[Cost]])/Table18[[#This Row],[Billings]]</f>
        <v>8.3270474036020697E-2</v>
      </c>
      <c r="I78" s="98">
        <v>26434.699999999997</v>
      </c>
      <c r="J78" s="98">
        <v>24233.47</v>
      </c>
      <c r="K78" s="97">
        <f>SUM(Table18[[#This Row],[Prev. Billings]]-Table18[[#This Row],[Prev. Cost]])/Table18[[#This Row],[Prev. Billings]]</f>
        <v>8.3270474036020697E-2</v>
      </c>
      <c r="L78" s="143">
        <f>SUM(Table18[[#This Row],[Margin]]-Table18[[#This Row],[Prev. Margin]])</f>
        <v>0</v>
      </c>
      <c r="N78" s="12"/>
      <c r="AF78"/>
      <c r="AG78"/>
      <c r="AH78"/>
      <c r="AI78"/>
      <c r="AJ78"/>
      <c r="AT78" s="78"/>
      <c r="AW78"/>
      <c r="AX78"/>
      <c r="AY78"/>
      <c r="AZ78"/>
      <c r="BA78"/>
    </row>
    <row r="79" spans="2:53" s="3" customFormat="1" ht="20.5" customHeight="1" x14ac:dyDescent="0.35">
      <c r="B79" s="100" t="s">
        <v>51</v>
      </c>
      <c r="C79" s="99" t="s">
        <v>52</v>
      </c>
      <c r="D79" s="63">
        <v>44366</v>
      </c>
      <c r="E79" s="63">
        <v>44368</v>
      </c>
      <c r="F79" s="98">
        <v>10546</v>
      </c>
      <c r="G79" s="98">
        <v>9208.5399999999991</v>
      </c>
      <c r="H79" s="97">
        <f>SUM(Table18[[#This Row],[Billings]]-Table18[[#This Row],[Cost]])/Table18[[#This Row],[Billings]]</f>
        <v>0.1268215437132563</v>
      </c>
      <c r="I79" s="98">
        <v>10546</v>
      </c>
      <c r="J79" s="98">
        <v>9208.5399999999991</v>
      </c>
      <c r="K79" s="97">
        <f>SUM(Table18[[#This Row],[Prev. Billings]]-Table18[[#This Row],[Prev. Cost]])/Table18[[#This Row],[Prev. Billings]]</f>
        <v>0.1268215437132563</v>
      </c>
      <c r="L79" s="143">
        <f>SUM(Table18[[#This Row],[Margin]]-Table18[[#This Row],[Prev. Margin]])</f>
        <v>0</v>
      </c>
      <c r="N79" s="12"/>
      <c r="AF79"/>
      <c r="AG79"/>
      <c r="AH79"/>
      <c r="AI79"/>
      <c r="AJ79"/>
      <c r="AT79" s="78"/>
      <c r="AW79"/>
      <c r="AX79"/>
      <c r="AY79"/>
      <c r="AZ79"/>
      <c r="BA79"/>
    </row>
    <row r="80" spans="2:53" s="3" customFormat="1" ht="20.5" customHeight="1" x14ac:dyDescent="0.35">
      <c r="B80" s="100" t="s">
        <v>56</v>
      </c>
      <c r="C80" s="101" t="s">
        <v>55</v>
      </c>
      <c r="D80" s="102">
        <v>44346</v>
      </c>
      <c r="E80" s="102">
        <v>44350</v>
      </c>
      <c r="F80" s="98">
        <v>11391.599999999999</v>
      </c>
      <c r="G80" s="98">
        <v>10663.89</v>
      </c>
      <c r="H80" s="97">
        <f>SUM(Table18[[#This Row],[Billings]]-Table18[[#This Row],[Cost]])/Table18[[#This Row],[Billings]]</f>
        <v>6.38812809438533E-2</v>
      </c>
      <c r="I80" s="98">
        <v>11391.599999999999</v>
      </c>
      <c r="J80" s="98">
        <v>10663.89</v>
      </c>
      <c r="K80" s="97">
        <f>SUM(Table18[[#This Row],[Prev. Billings]]-Table18[[#This Row],[Prev. Cost]])/Table18[[#This Row],[Prev. Billings]]</f>
        <v>6.38812809438533E-2</v>
      </c>
      <c r="L80" s="143">
        <f>SUM(Table18[[#This Row],[Margin]]-Table18[[#This Row],[Prev. Margin]])</f>
        <v>0</v>
      </c>
      <c r="N80" s="12"/>
      <c r="AF80"/>
      <c r="AG80"/>
      <c r="AH80"/>
      <c r="AI80"/>
      <c r="AJ80"/>
      <c r="AT80" s="78"/>
      <c r="AW80"/>
      <c r="AX80"/>
      <c r="AY80"/>
      <c r="AZ80"/>
      <c r="BA80"/>
    </row>
    <row r="81" spans="2:53" s="3" customFormat="1" ht="20.5" customHeight="1" x14ac:dyDescent="0.35">
      <c r="B81" s="100" t="s">
        <v>60</v>
      </c>
      <c r="C81" s="99" t="s">
        <v>61</v>
      </c>
      <c r="D81" s="63">
        <v>44353</v>
      </c>
      <c r="E81" s="63">
        <v>44375</v>
      </c>
      <c r="F81" s="96">
        <v>24509.199999999997</v>
      </c>
      <c r="G81" s="96">
        <v>23365.599999999999</v>
      </c>
      <c r="H81" s="97">
        <f>SUM(Table18[[#This Row],[Billings]]-Table18[[#This Row],[Cost]])/Table18[[#This Row],[Billings]]</f>
        <v>4.6660029703131829E-2</v>
      </c>
      <c r="I81" s="96">
        <v>24509.199999999997</v>
      </c>
      <c r="J81" s="96">
        <v>23365.599999999999</v>
      </c>
      <c r="K81" s="97">
        <f>SUM(Table18[[#This Row],[Prev. Billings]]-Table18[[#This Row],[Prev. Cost]])/Table18[[#This Row],[Prev. Billings]]</f>
        <v>4.6660029703131829E-2</v>
      </c>
      <c r="L81" s="134">
        <f>SUM(Table18[[#This Row],[Margin]]-Table18[[#This Row],[Prev. Margin]])</f>
        <v>0</v>
      </c>
      <c r="N81" s="12"/>
      <c r="AF81"/>
      <c r="AG81"/>
      <c r="AH81"/>
      <c r="AI81"/>
      <c r="AJ81"/>
      <c r="AT81" s="78"/>
      <c r="AW81"/>
      <c r="AX81"/>
      <c r="AY81"/>
      <c r="AZ81"/>
      <c r="BA81"/>
    </row>
    <row r="82" spans="2:53" s="3" customFormat="1" ht="20.5" customHeight="1" x14ac:dyDescent="0.35">
      <c r="B82" s="100" t="s">
        <v>62</v>
      </c>
      <c r="C82" s="99" t="s">
        <v>10</v>
      </c>
      <c r="D82" s="63">
        <v>44360</v>
      </c>
      <c r="E82" s="63">
        <v>44382</v>
      </c>
      <c r="F82" s="96">
        <v>119040.45</v>
      </c>
      <c r="G82" s="96">
        <v>96180.000000000044</v>
      </c>
      <c r="H82" s="97">
        <f>SUM(Table18[[#This Row],[Billings]]-Table18[[#This Row],[Cost]])/Table18[[#This Row],[Billings]]</f>
        <v>0.19203934460933197</v>
      </c>
      <c r="I82" s="108">
        <v>119040.45</v>
      </c>
      <c r="J82" s="108">
        <v>96180.000000000044</v>
      </c>
      <c r="K82" s="97">
        <f>SUM(Table18[[#This Row],[Prev. Billings]]-Table18[[#This Row],[Prev. Cost]])/Table18[[#This Row],[Prev. Billings]]</f>
        <v>0.19203934460933197</v>
      </c>
      <c r="L82" s="134">
        <f>SUM(Table18[[#This Row],[Margin]]-Table18[[#This Row],[Prev. Margin]])</f>
        <v>0</v>
      </c>
      <c r="N82" s="12"/>
      <c r="AF82"/>
      <c r="AG82"/>
      <c r="AH82"/>
      <c r="AI82"/>
      <c r="AJ82"/>
      <c r="AT82" s="78"/>
      <c r="AW82"/>
      <c r="AX82"/>
      <c r="AY82"/>
      <c r="AZ82"/>
      <c r="BA82"/>
    </row>
    <row r="83" spans="2:53" s="3" customFormat="1" ht="20.5" customHeight="1" x14ac:dyDescent="0.35">
      <c r="B83" s="100" t="s">
        <v>69</v>
      </c>
      <c r="C83" s="110" t="s">
        <v>68</v>
      </c>
      <c r="D83" s="111">
        <v>44476</v>
      </c>
      <c r="E83" s="111">
        <v>44507</v>
      </c>
      <c r="F83" s="96">
        <v>1588</v>
      </c>
      <c r="G83" s="96">
        <v>1576.7400000000002</v>
      </c>
      <c r="H83" s="112">
        <f>SUM(Table18[[#This Row],[Billings]]-Table18[[#This Row],[Cost]])/Table18[[#This Row],[Billings]]</f>
        <v>7.0906801007555188E-3</v>
      </c>
      <c r="I83" s="108">
        <v>1588</v>
      </c>
      <c r="J83" s="108">
        <v>1576.7400000000002</v>
      </c>
      <c r="K83" s="97">
        <f>SUM(Table18[[#This Row],[Prev. Billings]]-Table18[[#This Row],[Prev. Cost]])/Table18[[#This Row],[Prev. Billings]]</f>
        <v>7.0906801007555188E-3</v>
      </c>
      <c r="L83" s="134">
        <f>SUM(Table18[[#This Row],[Margin]]-Table18[[#This Row],[Prev. Margin]])</f>
        <v>0</v>
      </c>
      <c r="N83" s="12"/>
      <c r="AF83"/>
      <c r="AG83"/>
      <c r="AH83"/>
      <c r="AI83"/>
      <c r="AJ83"/>
      <c r="AT83" s="78"/>
      <c r="AW83"/>
      <c r="AX83"/>
      <c r="AY83"/>
      <c r="AZ83"/>
      <c r="BA83"/>
    </row>
    <row r="84" spans="2:53" ht="20.5" customHeight="1" x14ac:dyDescent="0.35">
      <c r="B84" s="100" t="s">
        <v>70</v>
      </c>
      <c r="C84" s="110" t="s">
        <v>33</v>
      </c>
      <c r="D84" s="111">
        <v>44349</v>
      </c>
      <c r="E84" s="111">
        <v>44350</v>
      </c>
      <c r="F84" s="98">
        <v>1191</v>
      </c>
      <c r="G84" s="98">
        <v>1032.58</v>
      </c>
      <c r="H84" s="112">
        <f>SUM(Table18[[#This Row],[Billings]]-Table18[[#This Row],[Cost]])/Table18[[#This Row],[Billings]]</f>
        <v>0.13301427371956345</v>
      </c>
      <c r="I84" s="98">
        <v>1191</v>
      </c>
      <c r="J84" s="98">
        <v>1032.58</v>
      </c>
      <c r="K84" s="97">
        <f>SUM(Table18[[#This Row],[Prev. Billings]]-Table18[[#This Row],[Prev. Cost]])/Table18[[#This Row],[Prev. Billings]]</f>
        <v>0.13301427371956345</v>
      </c>
      <c r="L84" s="134">
        <f>SUM(Table18[[#This Row],[Margin]]-Table18[[#This Row],[Prev. Margin]])</f>
        <v>0</v>
      </c>
    </row>
    <row r="85" spans="2:53" ht="20.5" customHeight="1" x14ac:dyDescent="0.35">
      <c r="B85" s="100" t="s">
        <v>73</v>
      </c>
      <c r="C85" s="110" t="s">
        <v>9</v>
      </c>
      <c r="D85" s="111">
        <v>44356</v>
      </c>
      <c r="E85" s="111">
        <v>44357</v>
      </c>
      <c r="F85" s="98">
        <v>1985</v>
      </c>
      <c r="G85" s="98">
        <v>1459.9899999999998</v>
      </c>
      <c r="H85" s="112">
        <f>SUM(Table18[[#This Row],[Billings]]-Table18[[#This Row],[Cost]])/Table18[[#This Row],[Billings]]</f>
        <v>0.26448866498740564</v>
      </c>
      <c r="I85" s="98">
        <v>1985</v>
      </c>
      <c r="J85" s="98">
        <v>1459.9899999999998</v>
      </c>
      <c r="K85" s="97">
        <f>SUM(Table18[[#This Row],[Prev. Billings]]-Table18[[#This Row],[Prev. Cost]])/Table18[[#This Row],[Prev. Billings]]</f>
        <v>0.26448866498740564</v>
      </c>
      <c r="L85" s="134">
        <f>SUM(Table18[[#This Row],[Margin]]-Table18[[#This Row],[Prev. Margin]])</f>
        <v>0</v>
      </c>
    </row>
    <row r="86" spans="2:53" ht="20.5" customHeight="1" x14ac:dyDescent="0.35">
      <c r="B86" s="100" t="s">
        <v>74</v>
      </c>
      <c r="C86" s="110" t="s">
        <v>75</v>
      </c>
      <c r="D86" s="111">
        <v>44379</v>
      </c>
      <c r="E86" s="111">
        <v>44393</v>
      </c>
      <c r="F86" s="96">
        <v>13462.8</v>
      </c>
      <c r="G86" s="96">
        <v>11601.34</v>
      </c>
      <c r="H86" s="112">
        <f>SUM(Table18[[#This Row],[Billings]]-Table18[[#This Row],[Cost]])/Table18[[#This Row],[Billings]]</f>
        <v>0.13826692812787825</v>
      </c>
      <c r="I86" s="118">
        <v>13462.8</v>
      </c>
      <c r="J86" s="118">
        <v>11601.34</v>
      </c>
      <c r="K86" s="97">
        <f>SUM(Table18[[#This Row],[Prev. Billings]]-Table18[[#This Row],[Prev. Cost]])/Table18[[#This Row],[Prev. Billings]]</f>
        <v>0.13826692812787825</v>
      </c>
      <c r="L86" s="134">
        <f>SUM(Table18[[#This Row],[Margin]]-Table18[[#This Row],[Prev. Margin]])</f>
        <v>0</v>
      </c>
    </row>
    <row r="87" spans="2:53" ht="20.5" customHeight="1" x14ac:dyDescent="0.35">
      <c r="B87" s="100" t="s">
        <v>76</v>
      </c>
      <c r="C87" s="110" t="s">
        <v>7</v>
      </c>
      <c r="D87" s="111">
        <v>44360</v>
      </c>
      <c r="E87" s="111">
        <v>44368</v>
      </c>
      <c r="F87" s="96">
        <v>3573.0000000000005</v>
      </c>
      <c r="G87" s="96">
        <v>2961.8499999999995</v>
      </c>
      <c r="H87" s="112">
        <f>SUM(Table18[[#This Row],[Billings]]-Table18[[#This Row],[Cost]])/Table18[[#This Row],[Billings]]</f>
        <v>0.17104673943464901</v>
      </c>
      <c r="I87" s="118">
        <v>3573.0000000000005</v>
      </c>
      <c r="J87" s="118">
        <v>2961.8499999999995</v>
      </c>
      <c r="K87" s="97">
        <f>SUM(Table18[[#This Row],[Prev. Billings]]-Table18[[#This Row],[Prev. Cost]])/Table18[[#This Row],[Prev. Billings]]</f>
        <v>0.17104673943464901</v>
      </c>
      <c r="L87" s="134">
        <f>SUM(Table18[[#This Row],[Margin]]-Table18[[#This Row],[Prev. Margin]])</f>
        <v>0</v>
      </c>
    </row>
    <row r="88" spans="2:53" ht="20.5" customHeight="1" x14ac:dyDescent="0.35">
      <c r="B88" s="100" t="s">
        <v>78</v>
      </c>
      <c r="C88" s="110" t="s">
        <v>80</v>
      </c>
      <c r="D88" s="111">
        <v>44402</v>
      </c>
      <c r="E88" s="111">
        <v>44474</v>
      </c>
      <c r="F88" s="96">
        <v>60955.439999999995</v>
      </c>
      <c r="G88" s="96">
        <v>50100.079999999973</v>
      </c>
      <c r="H88" s="112">
        <f>SUM(Table18[[#This Row],[Billings]]-Table18[[#This Row],[Cost]])/Table18[[#This Row],[Billings]]</f>
        <v>0.17808681226810968</v>
      </c>
      <c r="I88" s="118">
        <v>60851.880000000005</v>
      </c>
      <c r="J88" s="118">
        <v>49202.26999999999</v>
      </c>
      <c r="K88" s="97">
        <f>SUM(Table18[[#This Row],[Prev. Billings]]-Table18[[#This Row],[Prev. Cost]])/Table18[[#This Row],[Prev. Billings]]</f>
        <v>0.19144207212661324</v>
      </c>
      <c r="L88" s="134">
        <f>SUM(Table18[[#This Row],[Margin]]-Table18[[#This Row],[Prev. Margin]])</f>
        <v>-1.3355259858503554E-2</v>
      </c>
    </row>
    <row r="89" spans="2:53" ht="20.5" customHeight="1" x14ac:dyDescent="0.35">
      <c r="B89" s="113" t="s">
        <v>79</v>
      </c>
      <c r="C89" s="114" t="s">
        <v>25</v>
      </c>
      <c r="D89" s="115">
        <v>44402</v>
      </c>
      <c r="E89" s="115">
        <v>44407</v>
      </c>
      <c r="F89" s="96">
        <v>14929.899999999998</v>
      </c>
      <c r="G89" s="96">
        <v>13160.1</v>
      </c>
      <c r="H89" s="116">
        <f>SUM(Table18[[#This Row],[Billings]]-Table18[[#This Row],[Cost]])/Table18[[#This Row],[Billings]]</f>
        <v>0.11854064662187944</v>
      </c>
      <c r="I89" s="118">
        <v>14929.899999999998</v>
      </c>
      <c r="J89" s="118">
        <v>13160.1</v>
      </c>
      <c r="K89" s="97">
        <f>SUM(Table18[[#This Row],[Prev. Billings]]-Table18[[#This Row],[Prev. Cost]])/Table18[[#This Row],[Prev. Billings]]</f>
        <v>0.11854064662187944</v>
      </c>
      <c r="L89" s="134">
        <f>SUM(Table18[[#This Row],[Margin]]-Table18[[#This Row],[Prev. Margin]])</f>
        <v>0</v>
      </c>
    </row>
    <row r="90" spans="2:53" ht="20.5" customHeight="1" x14ac:dyDescent="0.35">
      <c r="B90" s="100" t="s">
        <v>96</v>
      </c>
      <c r="C90" s="99" t="s">
        <v>98</v>
      </c>
      <c r="D90" s="63">
        <v>44429</v>
      </c>
      <c r="E90" s="63">
        <v>44434</v>
      </c>
      <c r="F90" s="96">
        <v>8337</v>
      </c>
      <c r="G90" s="96">
        <v>6520.69</v>
      </c>
      <c r="H90" s="97">
        <f>SUM(Table18[[#This Row],[Billings]]-Table18[[#This Row],[Cost]])/Table18[[#This Row],[Billings]]</f>
        <v>0.21786134100995566</v>
      </c>
      <c r="I90" s="118">
        <v>8337</v>
      </c>
      <c r="J90" s="118">
        <v>6520.69</v>
      </c>
      <c r="K90" s="97">
        <f>SUM(Table18[[#This Row],[Prev. Billings]]-Table18[[#This Row],[Prev. Cost]])/Table18[[#This Row],[Prev. Billings]]</f>
        <v>0.21786134100995566</v>
      </c>
      <c r="L90" s="134">
        <f>SUM(Table18[[#This Row],[Margin]]-Table18[[#This Row],[Prev. Margin]])</f>
        <v>0</v>
      </c>
    </row>
    <row r="91" spans="2:53" ht="20.5" customHeight="1" x14ac:dyDescent="0.35">
      <c r="B91" s="100" t="s">
        <v>97</v>
      </c>
      <c r="C91" s="99" t="s">
        <v>99</v>
      </c>
      <c r="D91" s="63">
        <v>44395</v>
      </c>
      <c r="E91" s="63">
        <v>44399</v>
      </c>
      <c r="F91" s="96">
        <v>20445.5</v>
      </c>
      <c r="G91" s="96">
        <v>17497.739999999998</v>
      </c>
      <c r="H91" s="97">
        <f>SUM(Table18[[#This Row],[Billings]]-Table18[[#This Row],[Cost]])/Table18[[#This Row],[Billings]]</f>
        <v>0.14417646914969073</v>
      </c>
      <c r="I91" s="118">
        <v>20445.5</v>
      </c>
      <c r="J91" s="118">
        <v>17497.739999999998</v>
      </c>
      <c r="K91" s="97">
        <f>SUM(Table18[[#This Row],[Prev. Billings]]-Table18[[#This Row],[Prev. Cost]])/Table18[[#This Row],[Prev. Billings]]</f>
        <v>0.14417646914969073</v>
      </c>
      <c r="L91" s="134">
        <f>SUM(Table18[[#This Row],[Margin]]-Table18[[#This Row],[Prev. Margin]])</f>
        <v>0</v>
      </c>
    </row>
    <row r="92" spans="2:53" ht="20.5" customHeight="1" x14ac:dyDescent="0.35">
      <c r="B92" s="100" t="s">
        <v>106</v>
      </c>
      <c r="C92" s="99" t="s">
        <v>105</v>
      </c>
      <c r="D92" s="63">
        <v>44359</v>
      </c>
      <c r="E92" s="63">
        <v>44361</v>
      </c>
      <c r="F92" s="98">
        <v>2560.65</v>
      </c>
      <c r="G92" s="98">
        <v>2248.2399999999998</v>
      </c>
      <c r="H92" s="97">
        <f>SUM(Table18[[#This Row],[Billings]]-Table18[[#This Row],[Cost]])/Table18[[#This Row],[Billings]]</f>
        <v>0.12200417862652073</v>
      </c>
      <c r="I92" s="98">
        <v>2560.65</v>
      </c>
      <c r="J92" s="98">
        <v>2248.2399999999998</v>
      </c>
      <c r="K92" s="97">
        <f>SUM(Table18[[#This Row],[Prev. Billings]]-Table18[[#This Row],[Prev. Cost]])/Table18[[#This Row],[Prev. Billings]]</f>
        <v>0.12200417862652073</v>
      </c>
      <c r="L92" s="134">
        <f>SUM(Table18[[#This Row],[Margin]]-Table18[[#This Row],[Prev. Margin]])</f>
        <v>0</v>
      </c>
    </row>
    <row r="93" spans="2:53" ht="20.5" customHeight="1" x14ac:dyDescent="0.35">
      <c r="B93" s="100" t="s">
        <v>108</v>
      </c>
      <c r="C93" s="99" t="s">
        <v>107</v>
      </c>
      <c r="D93" s="63">
        <v>44409</v>
      </c>
      <c r="E93" s="63">
        <v>44421</v>
      </c>
      <c r="F93" s="96">
        <v>11598.720000000001</v>
      </c>
      <c r="G93" s="96">
        <v>10239.470000000001</v>
      </c>
      <c r="H93" s="97">
        <f>SUM(Table18[[#This Row],[Billings]]-Table18[[#This Row],[Cost]])/Table18[[#This Row],[Billings]]</f>
        <v>0.11718965541025216</v>
      </c>
      <c r="I93" s="108">
        <v>11598.720000000001</v>
      </c>
      <c r="J93" s="108">
        <v>10239.470000000001</v>
      </c>
      <c r="K93" s="97">
        <f>SUM(Table18[[#This Row],[Prev. Billings]]-Table18[[#This Row],[Prev. Cost]])/Table18[[#This Row],[Prev. Billings]]</f>
        <v>0.11718965541025216</v>
      </c>
      <c r="L93" s="134">
        <f>SUM(Table18[[#This Row],[Margin]]-Table18[[#This Row],[Prev. Margin]])</f>
        <v>0</v>
      </c>
    </row>
    <row r="94" spans="2:53" ht="20.5" customHeight="1" x14ac:dyDescent="0.35">
      <c r="B94" s="100" t="s">
        <v>113</v>
      </c>
      <c r="C94" s="99" t="s">
        <v>139</v>
      </c>
      <c r="D94" s="63">
        <v>44423</v>
      </c>
      <c r="E94" s="63">
        <v>44435</v>
      </c>
      <c r="F94" s="96">
        <v>27633.26</v>
      </c>
      <c r="G94" s="96">
        <v>25536.339999999997</v>
      </c>
      <c r="H94" s="97">
        <f>SUM(Table18[[#This Row],[Billings]]-Table18[[#This Row],[Cost]])/Table18[[#This Row],[Billings]]</f>
        <v>7.5883916700382151E-2</v>
      </c>
      <c r="I94" s="108">
        <v>29514.6</v>
      </c>
      <c r="J94" s="108">
        <v>26117.96</v>
      </c>
      <c r="K94" s="97">
        <f>SUM(Table18[[#This Row],[Prev. Billings]]-Table18[[#This Row],[Prev. Cost]])/Table18[[#This Row],[Prev. Billings]]</f>
        <v>0.11508338246156138</v>
      </c>
      <c r="L94" s="134">
        <f>SUM(Table18[[#This Row],[Margin]]-Table18[[#This Row],[Prev. Margin]])</f>
        <v>-3.9199465761179234E-2</v>
      </c>
    </row>
    <row r="95" spans="2:53" ht="20.5" customHeight="1" x14ac:dyDescent="0.35">
      <c r="B95" s="100" t="s">
        <v>147</v>
      </c>
      <c r="C95" s="99" t="s">
        <v>148</v>
      </c>
      <c r="D95" s="73">
        <v>44416</v>
      </c>
      <c r="E95" s="73">
        <v>44428</v>
      </c>
      <c r="F95" s="96">
        <v>29943.724999999999</v>
      </c>
      <c r="G95" s="96">
        <v>23440.514999999999</v>
      </c>
      <c r="H95" s="97">
        <f>SUM(Table18[[#This Row],[Billings]]-Table18[[#This Row],[Cost]])/Table18[[#This Row],[Billings]]</f>
        <v>0.2171810621424021</v>
      </c>
      <c r="I95" s="108">
        <v>30370.5</v>
      </c>
      <c r="J95" s="108">
        <v>23724.410000000003</v>
      </c>
      <c r="K95" s="97">
        <f>SUM(Table18[[#This Row],[Prev. Billings]]-Table18[[#This Row],[Prev. Cost]])/Table18[[#This Row],[Prev. Billings]]</f>
        <v>0.21883373668527012</v>
      </c>
      <c r="L95" s="134">
        <f>SUM(Table18[[#This Row],[Margin]]-Table18[[#This Row],[Prev. Margin]])</f>
        <v>-1.6526745428680212E-3</v>
      </c>
    </row>
    <row r="96" spans="2:53" ht="20.5" customHeight="1" x14ac:dyDescent="0.35">
      <c r="B96" s="100" t="s">
        <v>166</v>
      </c>
      <c r="C96" s="107" t="s">
        <v>154</v>
      </c>
      <c r="D96" s="73">
        <v>44418</v>
      </c>
      <c r="E96" s="73">
        <v>44426</v>
      </c>
      <c r="F96" s="96">
        <v>29571.199999999997</v>
      </c>
      <c r="G96" s="96">
        <v>22786.04</v>
      </c>
      <c r="H96" s="117">
        <f>SUM(Table18[[#This Row],[Billings]]-Table18[[#This Row],[Cost]])/Table18[[#This Row],[Billings]]</f>
        <v>0.22945162861162202</v>
      </c>
      <c r="I96" s="108">
        <v>30560.300000000003</v>
      </c>
      <c r="J96" s="108">
        <v>23256.959999999999</v>
      </c>
      <c r="K96" s="97">
        <f>SUM(Table18[[#This Row],[Prev. Billings]]-Table18[[#This Row],[Prev. Cost]])/Table18[[#This Row],[Prev. Billings]]</f>
        <v>0.23898129272291185</v>
      </c>
      <c r="L96" s="134">
        <f>SUM(Table18[[#This Row],[Margin]]-Table18[[#This Row],[Prev. Margin]])</f>
        <v>-9.5296641112898317E-3</v>
      </c>
    </row>
    <row r="97" spans="2:12" ht="20.5" customHeight="1" x14ac:dyDescent="0.35">
      <c r="B97" s="113" t="s">
        <v>168</v>
      </c>
      <c r="C97" s="107" t="s">
        <v>167</v>
      </c>
      <c r="D97" s="73">
        <v>44437</v>
      </c>
      <c r="E97" s="73">
        <v>44446</v>
      </c>
      <c r="F97" s="96">
        <v>23353.399999999998</v>
      </c>
      <c r="G97" s="96">
        <v>19344.8</v>
      </c>
      <c r="H97" s="97">
        <f>SUM(Table18[[#This Row],[Billings]]-Table18[[#This Row],[Cost]])/Table18[[#This Row],[Billings]]</f>
        <v>0.17164952426627381</v>
      </c>
      <c r="I97" s="108">
        <v>23353.399999999998</v>
      </c>
      <c r="J97" s="108">
        <v>19344.8</v>
      </c>
      <c r="K97" s="97">
        <f>SUM(Table18[[#This Row],[Prev. Billings]]-Table18[[#This Row],[Prev. Cost]])/Table18[[#This Row],[Prev. Billings]]</f>
        <v>0.17164952426627381</v>
      </c>
      <c r="L97" s="134">
        <f>SUM(Table18[[#This Row],[Margin]]-Table18[[#This Row],[Prev. Margin]])</f>
        <v>0</v>
      </c>
    </row>
    <row r="98" spans="2:12" ht="20.5" customHeight="1" x14ac:dyDescent="0.35">
      <c r="B98" s="4" t="s">
        <v>205</v>
      </c>
      <c r="C98" s="4" t="s">
        <v>206</v>
      </c>
      <c r="D98" s="63">
        <v>44423</v>
      </c>
      <c r="E98" s="63">
        <v>44427</v>
      </c>
      <c r="F98" s="96">
        <v>9838.2000000000007</v>
      </c>
      <c r="G98" s="96">
        <v>8736.98</v>
      </c>
      <c r="H98" s="97">
        <f>SUM(Table18[[#This Row],[Billings]]-Table18[[#This Row],[Cost]])/Table18[[#This Row],[Billings]]</f>
        <v>0.11193307718891678</v>
      </c>
      <c r="I98" s="108">
        <v>7939.6</v>
      </c>
      <c r="J98" s="108">
        <v>6940.2000000000007</v>
      </c>
      <c r="K98" s="97">
        <f>SUM(Table18[[#This Row],[Prev. Billings]]-Table18[[#This Row],[Prev. Cost]])/Table18[[#This Row],[Prev. Billings]]</f>
        <v>0.12587535896014906</v>
      </c>
      <c r="L98" s="134">
        <f>SUM(Table18[[#This Row],[Margin]]-Table18[[#This Row],[Prev. Margin]])</f>
        <v>-1.3942281771232287E-2</v>
      </c>
    </row>
    <row r="99" spans="2:12" ht="20.5" customHeight="1" x14ac:dyDescent="0.35">
      <c r="B99" s="4" t="s">
        <v>207</v>
      </c>
      <c r="C99" s="4" t="s">
        <v>208</v>
      </c>
      <c r="D99" s="63">
        <v>44430</v>
      </c>
      <c r="E99" s="63">
        <v>44435</v>
      </c>
      <c r="F99" s="96">
        <v>8138.5</v>
      </c>
      <c r="G99" s="96">
        <v>7018.5299999999988</v>
      </c>
      <c r="H99" s="97">
        <f>SUM(Table18[[#This Row],[Billings]]-Table18[[#This Row],[Cost]])/Table18[[#This Row],[Billings]]</f>
        <v>0.13761381089881441</v>
      </c>
      <c r="I99" s="108">
        <v>8138.5</v>
      </c>
      <c r="J99" s="108">
        <v>7018.5299999999988</v>
      </c>
      <c r="K99" s="97">
        <f>SUM(Table18[[#This Row],[Prev. Billings]]-Table18[[#This Row],[Prev. Cost]])/Table18[[#This Row],[Prev. Billings]]</f>
        <v>0.13761381089881441</v>
      </c>
      <c r="L99" s="134">
        <f>SUM(Table18[[#This Row],[Margin]]-Table18[[#This Row],[Prev. Margin]])</f>
        <v>0</v>
      </c>
    </row>
    <row r="100" spans="2:12" ht="20.5" customHeight="1" x14ac:dyDescent="0.35">
      <c r="B100" s="4" t="s">
        <v>209</v>
      </c>
      <c r="C100" s="4" t="s">
        <v>210</v>
      </c>
      <c r="D100" s="63">
        <v>44416</v>
      </c>
      <c r="E100" s="63">
        <v>44420</v>
      </c>
      <c r="F100" s="96">
        <v>17735.974999999999</v>
      </c>
      <c r="G100" s="96">
        <v>13596.54</v>
      </c>
      <c r="H100" s="97">
        <f>SUM(Table18[[#This Row],[Billings]]-Table18[[#This Row],[Cost]])/Table18[[#This Row],[Billings]]</f>
        <v>0.23339201820029618</v>
      </c>
      <c r="I100" s="108">
        <v>19133.620000000003</v>
      </c>
      <c r="J100" s="108">
        <v>13682.75</v>
      </c>
      <c r="K100" s="97">
        <f>SUM(Table18[[#This Row],[Prev. Billings]]-Table18[[#This Row],[Prev. Cost]])/Table18[[#This Row],[Prev. Billings]]</f>
        <v>0.28488440765521639</v>
      </c>
      <c r="L100" s="134">
        <f>SUM(Table18[[#This Row],[Margin]]-Table18[[#This Row],[Prev. Margin]])</f>
        <v>-5.1492389454920212E-2</v>
      </c>
    </row>
    <row r="101" spans="2:12" ht="20.5" customHeight="1" x14ac:dyDescent="0.35">
      <c r="B101" s="4" t="s">
        <v>211</v>
      </c>
      <c r="C101" s="4" t="s">
        <v>212</v>
      </c>
      <c r="D101" s="63">
        <v>44416</v>
      </c>
      <c r="E101" s="63">
        <v>44432</v>
      </c>
      <c r="F101" s="96">
        <v>47828.880000000005</v>
      </c>
      <c r="G101" s="96">
        <v>41234.548000000003</v>
      </c>
      <c r="H101" s="97">
        <f>SUM(Table18[[#This Row],[Billings]]-Table18[[#This Row],[Cost]])/Table18[[#This Row],[Billings]]</f>
        <v>0.13787343546409619</v>
      </c>
      <c r="I101" s="108">
        <v>56191.32</v>
      </c>
      <c r="J101" s="108">
        <v>44554.079999999987</v>
      </c>
      <c r="K101" s="97">
        <f>SUM(Table18[[#This Row],[Prev. Billings]]-Table18[[#This Row],[Prev. Cost]])/Table18[[#This Row],[Prev. Billings]]</f>
        <v>0.20710031371393325</v>
      </c>
      <c r="L101" s="134">
        <f>SUM(Table18[[#This Row],[Margin]]-Table18[[#This Row],[Prev. Margin]])</f>
        <v>-6.9226878249837059E-2</v>
      </c>
    </row>
    <row r="102" spans="2:12" ht="20.5" customHeight="1" x14ac:dyDescent="0.35">
      <c r="B102" s="4" t="s">
        <v>213</v>
      </c>
      <c r="C102" s="4" t="s">
        <v>214</v>
      </c>
      <c r="D102" s="63">
        <v>44423</v>
      </c>
      <c r="E102" s="63">
        <v>44425</v>
      </c>
      <c r="F102" s="96">
        <v>2157.6</v>
      </c>
      <c r="G102" s="96">
        <v>1390.75</v>
      </c>
      <c r="H102" s="97">
        <f>SUM(Table18[[#This Row],[Billings]]-Table18[[#This Row],[Cost]])/Table18[[#This Row],[Billings]]</f>
        <v>0.35541805710048197</v>
      </c>
      <c r="I102" s="108">
        <v>2157.6</v>
      </c>
      <c r="J102" s="108">
        <v>1499.2099999999998</v>
      </c>
      <c r="K102" s="97">
        <f>SUM(Table18[[#This Row],[Prev. Billings]]-Table18[[#This Row],[Prev. Cost]])/Table18[[#This Row],[Prev. Billings]]</f>
        <v>0.30514923989618098</v>
      </c>
      <c r="L102" s="134">
        <f>SUM(Table18[[#This Row],[Margin]]-Table18[[#This Row],[Prev. Margin]])</f>
        <v>5.0268817204300986E-2</v>
      </c>
    </row>
    <row r="103" spans="2:12" ht="20.5" customHeight="1" x14ac:dyDescent="0.35">
      <c r="B103" s="4" t="s">
        <v>215</v>
      </c>
      <c r="C103" s="4" t="s">
        <v>216</v>
      </c>
      <c r="D103" s="63">
        <v>44416</v>
      </c>
      <c r="E103" s="63">
        <v>44435</v>
      </c>
      <c r="F103" s="96">
        <v>32932.080000000002</v>
      </c>
      <c r="G103" s="96">
        <v>28301.17</v>
      </c>
      <c r="H103" s="97">
        <f>SUM(Table18[[#This Row],[Billings]]-Table18[[#This Row],[Cost]])/Table18[[#This Row],[Billings]]</f>
        <v>0.14062002764477685</v>
      </c>
      <c r="I103" s="108">
        <v>33501.659999999996</v>
      </c>
      <c r="J103" s="108">
        <v>27948.079999999994</v>
      </c>
      <c r="K103" s="97">
        <f>SUM(Table18[[#This Row],[Prev. Billings]]-Table18[[#This Row],[Prev. Cost]])/Table18[[#This Row],[Prev. Billings]]</f>
        <v>0.16577029317353237</v>
      </c>
      <c r="L103" s="134">
        <f>SUM(Table18[[#This Row],[Margin]]-Table18[[#This Row],[Prev. Margin]])</f>
        <v>-2.5150265528755517E-2</v>
      </c>
    </row>
    <row r="104" spans="2:12" ht="20.5" customHeight="1" x14ac:dyDescent="0.35">
      <c r="B104" s="4" t="s">
        <v>217</v>
      </c>
      <c r="C104" s="4" t="s">
        <v>218</v>
      </c>
      <c r="D104" s="63">
        <v>44419</v>
      </c>
      <c r="E104" s="63">
        <v>44422</v>
      </c>
      <c r="F104" s="96">
        <v>5359.5</v>
      </c>
      <c r="G104" s="96">
        <v>5048.08</v>
      </c>
      <c r="H104" s="97">
        <f>SUM(Table18[[#This Row],[Billings]]-Table18[[#This Row],[Cost]])/Table18[[#This Row],[Billings]]</f>
        <v>5.8106166620020536E-2</v>
      </c>
      <c r="I104" s="108">
        <v>4660.2</v>
      </c>
      <c r="J104" s="108">
        <v>4805.76</v>
      </c>
      <c r="K104" s="97">
        <f>SUM(Table18[[#This Row],[Prev. Billings]]-Table18[[#This Row],[Prev. Cost]])/Table18[[#This Row],[Prev. Billings]]</f>
        <v>-3.123471095661139E-2</v>
      </c>
      <c r="L104" s="134">
        <f>SUM(Table18[[#This Row],[Margin]]-Table18[[#This Row],[Prev. Margin]])</f>
        <v>8.9340877576631922E-2</v>
      </c>
    </row>
    <row r="105" spans="2:12" ht="20.5" customHeight="1" x14ac:dyDescent="0.35">
      <c r="B105" s="4" t="s">
        <v>219</v>
      </c>
      <c r="C105" s="4" t="s">
        <v>220</v>
      </c>
      <c r="D105" s="63">
        <v>44430</v>
      </c>
      <c r="E105" s="63">
        <v>44432</v>
      </c>
      <c r="F105" s="96">
        <v>4962.5</v>
      </c>
      <c r="G105" s="96">
        <v>4481.079999999999</v>
      </c>
      <c r="H105" s="97">
        <f>SUM(Table18[[#This Row],[Billings]]-Table18[[#This Row],[Cost]])/Table18[[#This Row],[Billings]]</f>
        <v>9.7011586901763425E-2</v>
      </c>
      <c r="I105" s="108">
        <v>4315</v>
      </c>
      <c r="J105" s="108">
        <v>4032.7899999999995</v>
      </c>
      <c r="K105" s="97">
        <f>SUM(Table18[[#This Row],[Prev. Billings]]-Table18[[#This Row],[Prev. Cost]])/Table18[[#This Row],[Prev. Billings]]</f>
        <v>6.5402085747392924E-2</v>
      </c>
      <c r="L105" s="134">
        <f>SUM(Table18[[#This Row],[Margin]]-Table18[[#This Row],[Prev. Margin]])</f>
        <v>3.1609501154370501E-2</v>
      </c>
    </row>
    <row r="106" spans="2:12" ht="20.5" customHeight="1" x14ac:dyDescent="0.35">
      <c r="B106" s="4" t="s">
        <v>221</v>
      </c>
      <c r="C106" s="4" t="s">
        <v>222</v>
      </c>
      <c r="D106" s="63">
        <v>44493</v>
      </c>
      <c r="E106" s="63">
        <v>44519</v>
      </c>
      <c r="F106" s="96">
        <v>106250</v>
      </c>
      <c r="G106" s="96">
        <v>89471.649999999936</v>
      </c>
      <c r="H106" s="97">
        <f>SUM(Table18[[#This Row],[Billings]]-Table18[[#This Row],[Cost]])/Table18[[#This Row],[Billings]]</f>
        <v>0.15791388235294179</v>
      </c>
      <c r="I106" s="108">
        <v>106250</v>
      </c>
      <c r="J106" s="108">
        <v>89471.649999999936</v>
      </c>
      <c r="K106" s="97">
        <f>SUM(Table18[[#This Row],[Prev. Billings]]-Table18[[#This Row],[Prev. Cost]])/Table18[[#This Row],[Prev. Billings]]</f>
        <v>0.15791388235294179</v>
      </c>
      <c r="L106" s="134">
        <f>SUM(Table18[[#This Row],[Margin]]-Table18[[#This Row],[Prev. Margin]])</f>
        <v>0</v>
      </c>
    </row>
    <row r="107" spans="2:12" ht="20.5" customHeight="1" x14ac:dyDescent="0.35">
      <c r="B107" s="4" t="s">
        <v>223</v>
      </c>
      <c r="C107" s="4" t="s">
        <v>224</v>
      </c>
      <c r="D107" s="63">
        <v>44472</v>
      </c>
      <c r="E107" s="63">
        <v>44479</v>
      </c>
      <c r="F107" s="96">
        <v>2040</v>
      </c>
      <c r="G107" s="96">
        <v>1656.72</v>
      </c>
      <c r="H107" s="97">
        <f>SUM(Table18[[#This Row],[Billings]]-Table18[[#This Row],[Cost]])/Table18[[#This Row],[Billings]]</f>
        <v>0.18788235294117644</v>
      </c>
      <c r="I107" s="108">
        <v>2040</v>
      </c>
      <c r="J107" s="108">
        <v>1656.72</v>
      </c>
      <c r="K107" s="97">
        <f>SUM(Table18[[#This Row],[Prev. Billings]]-Table18[[#This Row],[Prev. Cost]])/Table18[[#This Row],[Prev. Billings]]</f>
        <v>0.18788235294117644</v>
      </c>
      <c r="L107" s="134">
        <f>SUM(Table18[[#This Row],[Margin]]-Table18[[#This Row],[Prev. Margin]])</f>
        <v>0</v>
      </c>
    </row>
    <row r="108" spans="2:12" ht="20.5" customHeight="1" x14ac:dyDescent="0.35">
      <c r="B108" s="4" t="s">
        <v>225</v>
      </c>
      <c r="C108" s="4" t="s">
        <v>226</v>
      </c>
      <c r="D108" s="63">
        <v>44493</v>
      </c>
      <c r="E108" s="63">
        <v>44538</v>
      </c>
      <c r="F108" s="96">
        <v>90780</v>
      </c>
      <c r="G108" s="96">
        <v>80505.709999999948</v>
      </c>
      <c r="H108" s="97">
        <f>SUM(Table18[[#This Row],[Billings]]-Table18[[#This Row],[Cost]])/Table18[[#This Row],[Billings]]</f>
        <v>0.11317790262172342</v>
      </c>
      <c r="I108" s="108">
        <v>90780</v>
      </c>
      <c r="J108" s="108">
        <v>80505.709999999948</v>
      </c>
      <c r="K108" s="97">
        <f>SUM(Table18[[#This Row],[Prev. Billings]]-Table18[[#This Row],[Prev. Cost]])/Table18[[#This Row],[Prev. Billings]]</f>
        <v>0.11317790262172342</v>
      </c>
      <c r="L108" s="134">
        <f>SUM(Table18[[#This Row],[Margin]]-Table18[[#This Row],[Prev. Margin]])</f>
        <v>0</v>
      </c>
    </row>
    <row r="109" spans="2:12" ht="18" customHeight="1" x14ac:dyDescent="0.35">
      <c r="B109" s="4" t="s">
        <v>227</v>
      </c>
      <c r="C109" s="4" t="s">
        <v>228</v>
      </c>
      <c r="D109" s="63">
        <v>44437</v>
      </c>
      <c r="E109" s="63">
        <v>44463</v>
      </c>
      <c r="F109" s="96">
        <v>70720</v>
      </c>
      <c r="G109" s="96">
        <v>60304.56</v>
      </c>
      <c r="H109" s="97">
        <f>SUM(Table18[[#This Row],[Billings]]-Table18[[#This Row],[Cost]])/Table18[[#This Row],[Billings]]</f>
        <v>0.14727714932126701</v>
      </c>
      <c r="I109" s="108">
        <v>70720</v>
      </c>
      <c r="J109" s="108">
        <v>60304.56</v>
      </c>
      <c r="K109" s="97">
        <f>SUM(Table18[[#This Row],[Prev. Billings]]-Table18[[#This Row],[Prev. Cost]])/Table18[[#This Row],[Prev. Billings]]</f>
        <v>0.14727714932126701</v>
      </c>
      <c r="L109" s="134">
        <f>SUM(Table18[[#This Row],[Margin]]-Table18[[#This Row],[Prev. Margin]])</f>
        <v>0</v>
      </c>
    </row>
    <row r="110" spans="2:12" ht="18" customHeight="1" x14ac:dyDescent="0.35">
      <c r="B110" s="21" t="s">
        <v>266</v>
      </c>
      <c r="C110" s="21" t="s">
        <v>270</v>
      </c>
      <c r="D110" s="73">
        <v>44514</v>
      </c>
      <c r="E110" s="73">
        <v>44521</v>
      </c>
      <c r="F110" s="96">
        <v>4080</v>
      </c>
      <c r="G110" s="96">
        <v>3867.9199999999996</v>
      </c>
      <c r="H110" s="117">
        <f>SUM(Table18[[#This Row],[Billings]]-Table18[[#This Row],[Cost]])/Table18[[#This Row],[Billings]]</f>
        <v>5.1980392156862835E-2</v>
      </c>
      <c r="I110" s="108">
        <v>4080</v>
      </c>
      <c r="J110" s="108">
        <v>3867.9199999999996</v>
      </c>
      <c r="K110" s="97">
        <f>SUM(Table18[[#This Row],[Prev. Billings]]-Table18[[#This Row],[Prev. Cost]])/Table18[[#This Row],[Prev. Billings]]</f>
        <v>5.1980392156862835E-2</v>
      </c>
      <c r="L110" s="134">
        <f>SUM(Table18[[#This Row],[Margin]]-Table18[[#This Row],[Prev. Margin]])</f>
        <v>0</v>
      </c>
    </row>
    <row r="111" spans="2:12" ht="18" customHeight="1" x14ac:dyDescent="0.35">
      <c r="B111" s="21" t="s">
        <v>267</v>
      </c>
      <c r="C111" s="21" t="s">
        <v>271</v>
      </c>
      <c r="D111" s="73">
        <v>44451</v>
      </c>
      <c r="E111" s="73">
        <v>44459</v>
      </c>
      <c r="F111" s="96">
        <v>18530</v>
      </c>
      <c r="G111" s="96">
        <v>16319.530000000002</v>
      </c>
      <c r="H111" s="117">
        <f>SUM(Table18[[#This Row],[Billings]]-Table18[[#This Row],[Cost]])/Table18[[#This Row],[Billings]]</f>
        <v>0.11929141932002145</v>
      </c>
      <c r="I111" s="108">
        <v>18530</v>
      </c>
      <c r="J111" s="108">
        <v>16319.530000000002</v>
      </c>
      <c r="K111" s="97">
        <f>SUM(Table18[[#This Row],[Prev. Billings]]-Table18[[#This Row],[Prev. Cost]])/Table18[[#This Row],[Prev. Billings]]</f>
        <v>0.11929141932002145</v>
      </c>
      <c r="L111" s="134">
        <f>SUM(Table18[[#This Row],[Margin]]-Table18[[#This Row],[Prev. Margin]])</f>
        <v>0</v>
      </c>
    </row>
    <row r="112" spans="2:12" ht="18" customHeight="1" x14ac:dyDescent="0.35">
      <c r="B112" s="21" t="s">
        <v>268</v>
      </c>
      <c r="C112" s="21" t="s">
        <v>272</v>
      </c>
      <c r="D112" s="73">
        <v>44437</v>
      </c>
      <c r="E112" s="73">
        <v>44448</v>
      </c>
      <c r="F112" s="96">
        <v>23460</v>
      </c>
      <c r="G112" s="96">
        <v>20829.510000000002</v>
      </c>
      <c r="H112" s="117">
        <f>SUM(Table18[[#This Row],[Billings]]-Table18[[#This Row],[Cost]])/Table18[[#This Row],[Billings]]</f>
        <v>0.11212659846547306</v>
      </c>
      <c r="I112" s="108">
        <v>23460</v>
      </c>
      <c r="J112" s="108">
        <v>20829.510000000002</v>
      </c>
      <c r="K112" s="97">
        <f>SUM(Table18[[#This Row],[Prev. Billings]]-Table18[[#This Row],[Prev. Cost]])/Table18[[#This Row],[Prev. Billings]]</f>
        <v>0.11212659846547306</v>
      </c>
      <c r="L112" s="134">
        <f>SUM(Table18[[#This Row],[Margin]]-Table18[[#This Row],[Prev. Margin]])</f>
        <v>0</v>
      </c>
    </row>
    <row r="113" spans="2:12" ht="18.5" customHeight="1" x14ac:dyDescent="0.35">
      <c r="B113" s="21" t="s">
        <v>269</v>
      </c>
      <c r="C113" s="21" t="s">
        <v>273</v>
      </c>
      <c r="D113" s="73">
        <v>44437</v>
      </c>
      <c r="E113" s="73">
        <v>44443</v>
      </c>
      <c r="F113" s="96">
        <v>11909.4</v>
      </c>
      <c r="G113" s="96">
        <v>10364.52</v>
      </c>
      <c r="H113" s="97">
        <f>SUM(Table18[[#This Row],[Billings]]-Table18[[#This Row],[Cost]])/Table18[[#This Row],[Billings]]</f>
        <v>0.12971938132903416</v>
      </c>
      <c r="I113" s="108">
        <v>11909.4</v>
      </c>
      <c r="J113" s="108">
        <v>10364.52</v>
      </c>
      <c r="K113" s="97">
        <f>SUM(Table18[[#This Row],[Prev. Billings]]-Table18[[#This Row],[Prev. Cost]])/Table18[[#This Row],[Prev. Billings]]</f>
        <v>0.12971938132903416</v>
      </c>
      <c r="L113" s="134">
        <f>SUM(Table18[[#This Row],[Margin]]-Table18[[#This Row],[Prev. Margin]])</f>
        <v>0</v>
      </c>
    </row>
    <row r="114" spans="2:12" ht="18.5" customHeight="1" x14ac:dyDescent="0.35">
      <c r="B114" s="21" t="s">
        <v>287</v>
      </c>
      <c r="C114" s="21" t="s">
        <v>283</v>
      </c>
      <c r="D114" s="73">
        <v>44432</v>
      </c>
      <c r="E114" s="73">
        <v>44435</v>
      </c>
      <c r="F114" s="96">
        <v>7767</v>
      </c>
      <c r="G114" s="96">
        <v>6545.81</v>
      </c>
      <c r="H114" s="97">
        <f>SUM(Table18[[#This Row],[Billings]]-Table18[[#This Row],[Cost]])/Table18[[#This Row],[Billings]]</f>
        <v>0.15722801596497998</v>
      </c>
      <c r="I114" s="108">
        <v>7767</v>
      </c>
      <c r="J114" s="108">
        <v>6864.9600000000009</v>
      </c>
      <c r="K114" s="97">
        <f>SUM(Table18[[#This Row],[Prev. Billings]]-Table18[[#This Row],[Prev. Cost]])/Table18[[#This Row],[Prev. Billings]]</f>
        <v>0.11613750482811884</v>
      </c>
      <c r="L114" s="134">
        <f>SUM(Table18[[#This Row],[Margin]]-Table18[[#This Row],[Prev. Margin]])</f>
        <v>4.1090511136861144E-2</v>
      </c>
    </row>
    <row r="115" spans="2:12" ht="19" customHeight="1" x14ac:dyDescent="0.35">
      <c r="B115" s="21" t="s">
        <v>288</v>
      </c>
      <c r="C115" s="21" t="s">
        <v>284</v>
      </c>
      <c r="D115" s="73">
        <v>44444</v>
      </c>
      <c r="E115" s="73">
        <v>44454</v>
      </c>
      <c r="F115" s="96">
        <v>21760</v>
      </c>
      <c r="G115" s="96">
        <v>18582.619999999995</v>
      </c>
      <c r="H115" s="97">
        <f>SUM(Table18[[#This Row],[Billings]]-Table18[[#This Row],[Cost]])/Table18[[#This Row],[Billings]]</f>
        <v>0.14601930147058845</v>
      </c>
      <c r="I115" s="108">
        <v>21760</v>
      </c>
      <c r="J115" s="108">
        <v>18582.619999999995</v>
      </c>
      <c r="K115" s="97">
        <f>SUM(Table18[[#This Row],[Prev. Billings]]-Table18[[#This Row],[Prev. Cost]])/Table18[[#This Row],[Prev. Billings]]</f>
        <v>0.14601930147058845</v>
      </c>
      <c r="L115" s="134">
        <f>SUM(Table18[[#This Row],[Margin]]-Table18[[#This Row],[Prev. Margin]])</f>
        <v>0</v>
      </c>
    </row>
    <row r="116" spans="2:12" ht="19" customHeight="1" x14ac:dyDescent="0.35">
      <c r="B116" s="21" t="s">
        <v>286</v>
      </c>
      <c r="C116" s="21" t="s">
        <v>285</v>
      </c>
      <c r="D116" s="73">
        <v>44425</v>
      </c>
      <c r="E116" s="73">
        <v>44427</v>
      </c>
      <c r="F116" s="96">
        <v>4930</v>
      </c>
      <c r="G116" s="96">
        <v>4413.49</v>
      </c>
      <c r="H116" s="97">
        <f>SUM(Table18[[#This Row],[Billings]]-Table18[[#This Row],[Cost]])/Table18[[#This Row],[Billings]]</f>
        <v>0.10476876267748483</v>
      </c>
      <c r="I116" s="108">
        <v>4930</v>
      </c>
      <c r="J116" s="108">
        <v>4413.49</v>
      </c>
      <c r="K116" s="97">
        <f>SUM(Table18[[#This Row],[Prev. Billings]]-Table18[[#This Row],[Prev. Cost]])/Table18[[#This Row],[Prev. Billings]]</f>
        <v>0.10476876267748483</v>
      </c>
      <c r="L116" s="134">
        <f>SUM(Table18[[#This Row],[Margin]]-Table18[[#This Row],[Prev. Margin]])</f>
        <v>0</v>
      </c>
    </row>
    <row r="117" spans="2:12" ht="19" customHeight="1" x14ac:dyDescent="0.35">
      <c r="B117" s="21" t="s">
        <v>309</v>
      </c>
      <c r="C117" t="s">
        <v>318</v>
      </c>
      <c r="D117" s="73">
        <v>44405</v>
      </c>
      <c r="E117" s="73">
        <v>44407</v>
      </c>
      <c r="F117" s="96">
        <v>1985</v>
      </c>
      <c r="G117" s="96">
        <v>1678.5800000000002</v>
      </c>
      <c r="H117" s="97">
        <f>SUM(Table18[[#This Row],[Billings]]-Table18[[#This Row],[Cost]])/Table18[[#This Row],[Billings]]</f>
        <v>0.15436775818639792</v>
      </c>
      <c r="I117" s="108">
        <v>1985</v>
      </c>
      <c r="J117" s="108">
        <v>1678.5800000000002</v>
      </c>
      <c r="K117" s="97">
        <f>SUM(Table18[[#This Row],[Prev. Billings]]-Table18[[#This Row],[Prev. Cost]])/Table18[[#This Row],[Prev. Billings]]</f>
        <v>0.15436775818639792</v>
      </c>
      <c r="L117" s="134">
        <f>SUM(Table18[[#This Row],[Margin]]-Table18[[#This Row],[Prev. Margin]])</f>
        <v>0</v>
      </c>
    </row>
    <row r="118" spans="2:12" ht="19" customHeight="1" x14ac:dyDescent="0.35">
      <c r="B118" s="21" t="s">
        <v>310</v>
      </c>
      <c r="C118" t="s">
        <v>319</v>
      </c>
      <c r="D118" s="73">
        <v>44402</v>
      </c>
      <c r="E118" s="73">
        <v>44406</v>
      </c>
      <c r="F118" s="96">
        <v>14887.5</v>
      </c>
      <c r="G118" s="96">
        <v>10890.68</v>
      </c>
      <c r="H118" s="97">
        <f>SUM(Table18[[#This Row],[Billings]]-Table18[[#This Row],[Cost]])/Table18[[#This Row],[Billings]]</f>
        <v>0.26846817800167921</v>
      </c>
      <c r="I118" s="108">
        <v>14887.5</v>
      </c>
      <c r="J118" s="108">
        <v>10890.68</v>
      </c>
      <c r="K118" s="97">
        <f>SUM(Table18[[#This Row],[Prev. Billings]]-Table18[[#This Row],[Prev. Cost]])/Table18[[#This Row],[Prev. Billings]]</f>
        <v>0.26846817800167921</v>
      </c>
      <c r="L118" s="134">
        <f>SUM(Table18[[#This Row],[Margin]]-Table18[[#This Row],[Prev. Margin]])</f>
        <v>0</v>
      </c>
    </row>
    <row r="119" spans="2:12" ht="19" customHeight="1" x14ac:dyDescent="0.35">
      <c r="B119" s="21" t="s">
        <v>311</v>
      </c>
      <c r="C119" t="s">
        <v>320</v>
      </c>
      <c r="D119" s="73">
        <v>44407</v>
      </c>
      <c r="E119" s="73">
        <v>44411</v>
      </c>
      <c r="F119" s="96">
        <v>8337</v>
      </c>
      <c r="G119" s="96">
        <v>5791.03</v>
      </c>
      <c r="H119" s="97">
        <f>SUM(Table18[[#This Row],[Billings]]-Table18[[#This Row],[Cost]])/Table18[[#This Row],[Billings]]</f>
        <v>0.30538203190596142</v>
      </c>
      <c r="I119" s="108">
        <v>8337</v>
      </c>
      <c r="J119" s="108">
        <v>5791.03</v>
      </c>
      <c r="K119" s="97">
        <f>SUM(Table18[[#This Row],[Prev. Billings]]-Table18[[#This Row],[Prev. Cost]])/Table18[[#This Row],[Prev. Billings]]</f>
        <v>0.30538203190596142</v>
      </c>
      <c r="L119" s="134">
        <f>SUM(Table18[[#This Row],[Margin]]-Table18[[#This Row],[Prev. Margin]])</f>
        <v>0</v>
      </c>
    </row>
    <row r="120" spans="2:12" ht="19" customHeight="1" x14ac:dyDescent="0.35">
      <c r="B120" s="21" t="s">
        <v>312</v>
      </c>
      <c r="C120" t="s">
        <v>321</v>
      </c>
      <c r="D120" s="73">
        <v>44442</v>
      </c>
      <c r="E120" s="73">
        <v>44444</v>
      </c>
      <c r="F120" s="96">
        <v>6460</v>
      </c>
      <c r="G120" s="96">
        <v>6073.0199999999995</v>
      </c>
      <c r="H120" s="97">
        <f>SUM(Table18[[#This Row],[Billings]]-Table18[[#This Row],[Cost]])/Table18[[#This Row],[Billings]]</f>
        <v>5.9904024767801933E-2</v>
      </c>
      <c r="I120" s="108">
        <v>6460</v>
      </c>
      <c r="J120" s="108">
        <v>6073.0199999999995</v>
      </c>
      <c r="K120" s="97">
        <f>SUM(Table18[[#This Row],[Prev. Billings]]-Table18[[#This Row],[Prev. Cost]])/Table18[[#This Row],[Prev. Billings]]</f>
        <v>5.9904024767801933E-2</v>
      </c>
      <c r="L120" s="134">
        <f>SUM(Table18[[#This Row],[Margin]]-Table18[[#This Row],[Prev. Margin]])</f>
        <v>0</v>
      </c>
    </row>
    <row r="121" spans="2:12" ht="19" customHeight="1" x14ac:dyDescent="0.35">
      <c r="B121" s="21" t="s">
        <v>313</v>
      </c>
      <c r="C121" t="s">
        <v>322</v>
      </c>
      <c r="D121" s="73">
        <v>44441</v>
      </c>
      <c r="E121" s="73">
        <v>44444</v>
      </c>
      <c r="F121" s="96">
        <v>5270</v>
      </c>
      <c r="G121" s="96">
        <v>5027.3200000000006</v>
      </c>
      <c r="H121" s="97">
        <f>SUM(Table18[[#This Row],[Billings]]-Table18[[#This Row],[Cost]])/Table18[[#This Row],[Billings]]</f>
        <v>4.6049335863377491E-2</v>
      </c>
      <c r="I121" s="108">
        <v>5270</v>
      </c>
      <c r="J121" s="108">
        <v>5027.3200000000006</v>
      </c>
      <c r="K121" s="97">
        <f>SUM(Table18[[#This Row],[Prev. Billings]]-Table18[[#This Row],[Prev. Cost]])/Table18[[#This Row],[Prev. Billings]]</f>
        <v>4.6049335863377491E-2</v>
      </c>
      <c r="L121" s="134">
        <f>SUM(Table18[[#This Row],[Margin]]-Table18[[#This Row],[Prev. Margin]])</f>
        <v>0</v>
      </c>
    </row>
    <row r="122" spans="2:12" ht="19" customHeight="1" x14ac:dyDescent="0.35">
      <c r="B122" s="21" t="s">
        <v>314</v>
      </c>
      <c r="C122" t="s">
        <v>323</v>
      </c>
      <c r="D122" s="73">
        <v>44402</v>
      </c>
      <c r="E122" s="73">
        <v>44407</v>
      </c>
      <c r="F122" s="96">
        <v>5671.9</v>
      </c>
      <c r="G122" s="96">
        <v>4462.6099999999997</v>
      </c>
      <c r="H122" s="97">
        <f>SUM(Table18[[#This Row],[Billings]]-Table18[[#This Row],[Cost]])/Table18[[#This Row],[Billings]]</f>
        <v>0.21320721451365504</v>
      </c>
      <c r="I122" s="108">
        <v>5671.9</v>
      </c>
      <c r="J122" s="108">
        <v>4462.6099999999997</v>
      </c>
      <c r="K122" s="97">
        <f>SUM(Table18[[#This Row],[Prev. Billings]]-Table18[[#This Row],[Prev. Cost]])/Table18[[#This Row],[Prev. Billings]]</f>
        <v>0.21320721451365504</v>
      </c>
      <c r="L122" s="134">
        <f>SUM(Table18[[#This Row],[Margin]]-Table18[[#This Row],[Prev. Margin]])</f>
        <v>0</v>
      </c>
    </row>
    <row r="123" spans="2:12" ht="19" customHeight="1" x14ac:dyDescent="0.35">
      <c r="B123" s="21" t="s">
        <v>315</v>
      </c>
      <c r="C123" t="s">
        <v>324</v>
      </c>
      <c r="D123" s="73">
        <v>44493</v>
      </c>
      <c r="E123" s="73">
        <v>44499</v>
      </c>
      <c r="F123" s="96">
        <v>7140</v>
      </c>
      <c r="G123" s="96">
        <v>6480.73</v>
      </c>
      <c r="H123" s="97">
        <f>SUM(Table18[[#This Row],[Billings]]-Table18[[#This Row],[Cost]])/Table18[[#This Row],[Billings]]</f>
        <v>9.233473389355748E-2</v>
      </c>
      <c r="I123" s="108">
        <v>7140</v>
      </c>
      <c r="J123" s="108">
        <v>6480.73</v>
      </c>
      <c r="K123" s="97">
        <f>SUM(Table18[[#This Row],[Prev. Billings]]-Table18[[#This Row],[Prev. Cost]])/Table18[[#This Row],[Prev. Billings]]</f>
        <v>9.233473389355748E-2</v>
      </c>
      <c r="L123" s="134">
        <f>SUM(Table18[[#This Row],[Margin]]-Table18[[#This Row],[Prev. Margin]])</f>
        <v>0</v>
      </c>
    </row>
    <row r="124" spans="2:12" ht="19" customHeight="1" x14ac:dyDescent="0.35">
      <c r="B124" s="21" t="s">
        <v>316</v>
      </c>
      <c r="C124" t="s">
        <v>325</v>
      </c>
      <c r="D124" s="73">
        <v>44444</v>
      </c>
      <c r="E124" s="73">
        <v>44463</v>
      </c>
      <c r="F124" s="96">
        <v>36040</v>
      </c>
      <c r="G124" s="96">
        <v>30129.600000000006</v>
      </c>
      <c r="H124" s="97">
        <f>SUM(Table18[[#This Row],[Billings]]-Table18[[#This Row],[Cost]])/Table18[[#This Row],[Billings]]</f>
        <v>0.16399556048834613</v>
      </c>
      <c r="I124" s="108">
        <v>36210</v>
      </c>
      <c r="J124" s="108">
        <v>30224.000000000004</v>
      </c>
      <c r="K124" s="97">
        <f>SUM(Table18[[#This Row],[Prev. Billings]]-Table18[[#This Row],[Prev. Cost]])/Table18[[#This Row],[Prev. Billings]]</f>
        <v>0.16531344932339123</v>
      </c>
      <c r="L124" s="134">
        <f>SUM(Table18[[#This Row],[Margin]]-Table18[[#This Row],[Prev. Margin]])</f>
        <v>-1.3178888350451057E-3</v>
      </c>
    </row>
    <row r="125" spans="2:12" ht="19" customHeight="1" x14ac:dyDescent="0.35">
      <c r="B125" s="21" t="s">
        <v>317</v>
      </c>
      <c r="C125" t="s">
        <v>326</v>
      </c>
      <c r="D125" s="73">
        <v>44403</v>
      </c>
      <c r="E125" s="73">
        <v>44405</v>
      </c>
      <c r="F125" s="96">
        <v>2977.5</v>
      </c>
      <c r="G125" s="96">
        <v>2548.1</v>
      </c>
      <c r="H125" s="97">
        <f>SUM(Table18[[#This Row],[Billings]]-Table18[[#This Row],[Cost]])/Table18[[#This Row],[Billings]]</f>
        <v>0.14421494542401347</v>
      </c>
      <c r="I125" s="108">
        <v>2977.5</v>
      </c>
      <c r="J125" s="108">
        <v>2548.1</v>
      </c>
      <c r="K125" s="97">
        <f>SUM(Table18[[#This Row],[Prev. Billings]]-Table18[[#This Row],[Prev. Cost]])/Table18[[#This Row],[Prev. Billings]]</f>
        <v>0.14421494542401347</v>
      </c>
      <c r="L125" s="134">
        <f>SUM(Table18[[#This Row],[Margin]]-Table18[[#This Row],[Prev. Margin]])</f>
        <v>0</v>
      </c>
    </row>
    <row r="126" spans="2:12" ht="19" customHeight="1" x14ac:dyDescent="0.35">
      <c r="B126" s="21" t="s">
        <v>332</v>
      </c>
      <c r="C126" t="s">
        <v>335</v>
      </c>
      <c r="D126" s="73">
        <v>44437</v>
      </c>
      <c r="E126" s="73">
        <v>44456</v>
      </c>
      <c r="F126" s="96">
        <v>36246</v>
      </c>
      <c r="G126" s="96">
        <v>32138.999999999996</v>
      </c>
      <c r="H126" s="97">
        <f>SUM(Table18[[#This Row],[Billings]]-Table18[[#This Row],[Cost]])/Table18[[#This Row],[Billings]]</f>
        <v>0.11330905479225303</v>
      </c>
      <c r="I126" s="108">
        <v>36246</v>
      </c>
      <c r="J126" s="108">
        <v>32138.999999999996</v>
      </c>
      <c r="K126" s="97">
        <f>SUM(Table18[[#This Row],[Prev. Billings]]-Table18[[#This Row],[Prev. Cost]])/Table18[[#This Row],[Prev. Billings]]</f>
        <v>0.11330905479225303</v>
      </c>
      <c r="L126" s="134">
        <f>SUM(Table18[[#This Row],[Margin]]-Table18[[#This Row],[Prev. Margin]])</f>
        <v>0</v>
      </c>
    </row>
    <row r="127" spans="2:12" ht="19" customHeight="1" x14ac:dyDescent="0.35">
      <c r="B127" s="21" t="s">
        <v>333</v>
      </c>
      <c r="C127" t="s">
        <v>336</v>
      </c>
      <c r="D127" s="73">
        <v>44458</v>
      </c>
      <c r="E127" s="73">
        <v>44471</v>
      </c>
      <c r="F127" s="96">
        <v>8330</v>
      </c>
      <c r="G127" s="96">
        <v>7388.9699999999993</v>
      </c>
      <c r="H127" s="97">
        <f>SUM(Table18[[#This Row],[Billings]]-Table18[[#This Row],[Cost]])/Table18[[#This Row],[Billings]]</f>
        <v>0.11296878751500608</v>
      </c>
      <c r="I127" s="108">
        <v>8330</v>
      </c>
      <c r="J127" s="108">
        <v>7388.9699999999993</v>
      </c>
      <c r="K127" s="97">
        <f>SUM(Table18[[#This Row],[Prev. Billings]]-Table18[[#This Row],[Prev. Cost]])/Table18[[#This Row],[Prev. Billings]]</f>
        <v>0.11296878751500608</v>
      </c>
      <c r="L127" s="134">
        <f>SUM(Table18[[#This Row],[Margin]]-Table18[[#This Row],[Prev. Margin]])</f>
        <v>0</v>
      </c>
    </row>
    <row r="128" spans="2:12" ht="19" customHeight="1" x14ac:dyDescent="0.35">
      <c r="B128" s="21" t="s">
        <v>334</v>
      </c>
      <c r="C128" t="s">
        <v>337</v>
      </c>
      <c r="D128" s="73">
        <v>44409</v>
      </c>
      <c r="E128" s="73">
        <v>44409</v>
      </c>
      <c r="F128" s="96">
        <v>1181.075</v>
      </c>
      <c r="G128" s="96">
        <v>863.36999999999989</v>
      </c>
      <c r="H128" s="97">
        <f>SUM(Table18[[#This Row],[Billings]]-Table18[[#This Row],[Cost]])/Table18[[#This Row],[Billings]]</f>
        <v>0.26899646508477459</v>
      </c>
      <c r="I128" s="108">
        <v>1181.075</v>
      </c>
      <c r="J128" s="108">
        <v>863.36999999999989</v>
      </c>
      <c r="K128" s="97">
        <f>SUM(Table18[[#This Row],[Prev. Billings]]-Table18[[#This Row],[Prev. Cost]])/Table18[[#This Row],[Prev. Billings]]</f>
        <v>0.26899646508477459</v>
      </c>
      <c r="L128" s="134">
        <f>SUM(Table18[[#This Row],[Margin]]-Table18[[#This Row],[Prev. Margin]])</f>
        <v>0</v>
      </c>
    </row>
    <row r="129" spans="2:12" ht="19" customHeight="1" x14ac:dyDescent="0.35">
      <c r="B129" s="21" t="s">
        <v>338</v>
      </c>
      <c r="C129" t="s">
        <v>340</v>
      </c>
      <c r="D129" s="73">
        <v>44460</v>
      </c>
      <c r="E129" s="73">
        <v>44463</v>
      </c>
      <c r="F129" s="96">
        <v>5610</v>
      </c>
      <c r="G129" s="96">
        <v>5163.59</v>
      </c>
      <c r="H129" s="97">
        <f>SUM(Table18[[#This Row],[Billings]]-Table18[[#This Row],[Cost]])/Table18[[#This Row],[Billings]]</f>
        <v>7.9573975044563247E-2</v>
      </c>
      <c r="I129" s="108">
        <v>7140</v>
      </c>
      <c r="J129" s="108">
        <v>6358.4900000000007</v>
      </c>
      <c r="K129" s="97">
        <f>SUM(Table18[[#This Row],[Prev. Billings]]-Table18[[#This Row],[Prev. Cost]])/Table18[[#This Row],[Prev. Billings]]</f>
        <v>0.10945518207282903</v>
      </c>
      <c r="L129" s="134">
        <f>SUM(Table18[[#This Row],[Margin]]-Table18[[#This Row],[Prev. Margin]])</f>
        <v>-2.9881207028265785E-2</v>
      </c>
    </row>
    <row r="130" spans="2:12" ht="19" customHeight="1" x14ac:dyDescent="0.35">
      <c r="B130" s="21" t="s">
        <v>339</v>
      </c>
      <c r="C130" t="s">
        <v>341</v>
      </c>
      <c r="D130" s="73">
        <v>44465</v>
      </c>
      <c r="E130" s="73">
        <v>44226</v>
      </c>
      <c r="F130" s="96">
        <v>70550</v>
      </c>
      <c r="G130" s="96">
        <v>63626.3</v>
      </c>
      <c r="H130" s="97">
        <f>SUM(Table18[[#This Row],[Billings]]-Table18[[#This Row],[Cost]])/Table18[[#This Row],[Billings]]</f>
        <v>9.8138908575478342E-2</v>
      </c>
      <c r="I130" s="108">
        <v>70550</v>
      </c>
      <c r="J130" s="108">
        <v>63626.3</v>
      </c>
      <c r="K130" s="97">
        <f>SUM(Table18[[#This Row],[Prev. Billings]]-Table18[[#This Row],[Prev. Cost]])/Table18[[#This Row],[Prev. Billings]]</f>
        <v>9.8138908575478342E-2</v>
      </c>
      <c r="L130" s="134">
        <f>SUM(Table18[[#This Row],[Margin]]-Table18[[#This Row],[Prev. Margin]])</f>
        <v>0</v>
      </c>
    </row>
    <row r="131" spans="2:12" ht="19" customHeight="1" x14ac:dyDescent="0.35">
      <c r="B131" s="64" t="s">
        <v>360</v>
      </c>
      <c r="C131" s="64" t="s">
        <v>373</v>
      </c>
      <c r="D131" s="73">
        <v>44447</v>
      </c>
      <c r="E131" s="73">
        <v>44449</v>
      </c>
      <c r="F131" s="96">
        <v>2040</v>
      </c>
      <c r="G131" s="96">
        <v>1822.4199999999998</v>
      </c>
      <c r="H131" s="97">
        <f>SUM(Table18[[#This Row],[Billings]]-Table18[[#This Row],[Cost]])/Table18[[#This Row],[Billings]]</f>
        <v>0.10665686274509811</v>
      </c>
      <c r="I131" s="108">
        <v>2040</v>
      </c>
      <c r="J131" s="108">
        <v>1822.4199999999998</v>
      </c>
      <c r="K131" s="97">
        <f>SUM(Table18[[#This Row],[Prev. Billings]]-Table18[[#This Row],[Prev. Cost]])/Table18[[#This Row],[Prev. Billings]]</f>
        <v>0.10665686274509811</v>
      </c>
      <c r="L131" s="134">
        <f>SUM(Table18[[#This Row],[Margin]]-Table18[[#This Row],[Prev. Margin]])</f>
        <v>0</v>
      </c>
    </row>
    <row r="132" spans="2:12" ht="18" customHeight="1" x14ac:dyDescent="0.35">
      <c r="B132" s="64" t="s">
        <v>361</v>
      </c>
      <c r="C132" s="64" t="s">
        <v>374</v>
      </c>
      <c r="D132" s="73">
        <v>44465</v>
      </c>
      <c r="E132" s="73">
        <v>44526</v>
      </c>
      <c r="F132" s="96">
        <v>73100</v>
      </c>
      <c r="G132" s="96">
        <v>64266.84000000004</v>
      </c>
      <c r="H132" s="117">
        <f>SUM(Table18[[#This Row],[Billings]]-Table18[[#This Row],[Cost]])/Table18[[#This Row],[Billings]]</f>
        <v>0.1208366621067026</v>
      </c>
      <c r="I132" s="108">
        <v>69870</v>
      </c>
      <c r="J132" s="108">
        <v>62285.460000000057</v>
      </c>
      <c r="K132" s="97">
        <f>SUM(Table18[[#This Row],[Prev. Billings]]-Table18[[#This Row],[Prev. Cost]])/Table18[[#This Row],[Prev. Billings]]</f>
        <v>0.10855216831257969</v>
      </c>
      <c r="L132" s="134">
        <f>SUM(Table18[[#This Row],[Margin]]-Table18[[#This Row],[Prev. Margin]])</f>
        <v>1.2284493794122914E-2</v>
      </c>
    </row>
    <row r="133" spans="2:12" ht="18" customHeight="1" x14ac:dyDescent="0.35">
      <c r="B133" s="64" t="s">
        <v>362</v>
      </c>
      <c r="C133" s="64" t="s">
        <v>375</v>
      </c>
      <c r="D133" s="73">
        <v>44465</v>
      </c>
      <c r="E133" s="73">
        <v>44471</v>
      </c>
      <c r="F133" s="96">
        <v>10370</v>
      </c>
      <c r="G133" s="96">
        <v>9138.5799999999981</v>
      </c>
      <c r="H133" s="117">
        <f>SUM(Table18[[#This Row],[Billings]]-Table18[[#This Row],[Cost]])/Table18[[#This Row],[Billings]]</f>
        <v>0.11874831243973018</v>
      </c>
      <c r="I133" s="108">
        <v>10370</v>
      </c>
      <c r="J133" s="108">
        <v>9138.5799999999981</v>
      </c>
      <c r="K133" s="97">
        <f>SUM(Table18[[#This Row],[Prev. Billings]]-Table18[[#This Row],[Prev. Cost]])/Table18[[#This Row],[Prev. Billings]]</f>
        <v>0.11874831243973018</v>
      </c>
      <c r="L133" s="134">
        <f>SUM(Table18[[#This Row],[Margin]]-Table18[[#This Row],[Prev. Margin]])</f>
        <v>0</v>
      </c>
    </row>
    <row r="134" spans="2:12" x14ac:dyDescent="0.35">
      <c r="B134" s="64" t="s">
        <v>363</v>
      </c>
      <c r="C134" s="64" t="s">
        <v>376</v>
      </c>
      <c r="D134" s="73">
        <v>44465</v>
      </c>
      <c r="E134" s="73">
        <v>44471</v>
      </c>
      <c r="F134" s="96">
        <v>9350</v>
      </c>
      <c r="G134" s="96">
        <v>8233.01</v>
      </c>
      <c r="H134" s="117">
        <f>SUM(Table18[[#This Row],[Billings]]-Table18[[#This Row],[Cost]])/Table18[[#This Row],[Billings]]</f>
        <v>0.11946417112299462</v>
      </c>
      <c r="I134" s="108">
        <v>9350</v>
      </c>
      <c r="J134" s="108">
        <v>8233.01</v>
      </c>
      <c r="K134" s="97">
        <f>SUM(Table18[[#This Row],[Prev. Billings]]-Table18[[#This Row],[Prev. Cost]])/Table18[[#This Row],[Prev. Billings]]</f>
        <v>0.11946417112299462</v>
      </c>
      <c r="L134" s="134">
        <f>SUM(Table18[[#This Row],[Margin]]-Table18[[#This Row],[Prev. Margin]])</f>
        <v>0</v>
      </c>
    </row>
    <row r="135" spans="2:12" x14ac:dyDescent="0.35">
      <c r="B135" s="64" t="s">
        <v>364</v>
      </c>
      <c r="C135" s="64" t="s">
        <v>377</v>
      </c>
      <c r="D135" s="73">
        <v>44486</v>
      </c>
      <c r="E135" s="73">
        <v>44597</v>
      </c>
      <c r="F135" s="96">
        <v>36890</v>
      </c>
      <c r="G135" s="96">
        <v>32998.070000000007</v>
      </c>
      <c r="H135" s="117">
        <f>SUM(Table18[[#This Row],[Billings]]-Table18[[#This Row],[Cost]])/Table18[[#This Row],[Billings]]</f>
        <v>0.10550094876660322</v>
      </c>
      <c r="I135" s="108">
        <v>36890</v>
      </c>
      <c r="J135" s="108">
        <v>32998.070000000007</v>
      </c>
      <c r="K135" s="97">
        <f>SUM(Table18[[#This Row],[Prev. Billings]]-Table18[[#This Row],[Prev. Cost]])/Table18[[#This Row],[Prev. Billings]]</f>
        <v>0.10550094876660322</v>
      </c>
      <c r="L135" s="134">
        <f>SUM(Table18[[#This Row],[Margin]]-Table18[[#This Row],[Prev. Margin]])</f>
        <v>0</v>
      </c>
    </row>
    <row r="136" spans="2:12" x14ac:dyDescent="0.35">
      <c r="B136" s="64" t="s">
        <v>365</v>
      </c>
      <c r="C136" s="64" t="s">
        <v>378</v>
      </c>
      <c r="D136" s="73">
        <v>44455</v>
      </c>
      <c r="E136" s="73">
        <v>44459</v>
      </c>
      <c r="F136" s="96">
        <v>7650</v>
      </c>
      <c r="G136" s="96">
        <v>6725.9800000000005</v>
      </c>
      <c r="H136" s="117">
        <f>SUM(Table18[[#This Row],[Billings]]-Table18[[#This Row],[Cost]])/Table18[[#This Row],[Billings]]</f>
        <v>0.1207869281045751</v>
      </c>
      <c r="I136" s="108">
        <v>7650</v>
      </c>
      <c r="J136" s="108">
        <v>6725.9800000000005</v>
      </c>
      <c r="K136" s="97">
        <f>SUM(Table18[[#This Row],[Prev. Billings]]-Table18[[#This Row],[Prev. Cost]])/Table18[[#This Row],[Prev. Billings]]</f>
        <v>0.1207869281045751</v>
      </c>
      <c r="L136" s="134">
        <f>SUM(Table18[[#This Row],[Margin]]-Table18[[#This Row],[Prev. Margin]])</f>
        <v>0</v>
      </c>
    </row>
    <row r="137" spans="2:12" x14ac:dyDescent="0.35">
      <c r="B137" s="64" t="s">
        <v>366</v>
      </c>
      <c r="C137" s="64" t="s">
        <v>379</v>
      </c>
      <c r="D137" s="73">
        <v>44462</v>
      </c>
      <c r="E137" s="73">
        <v>44465</v>
      </c>
      <c r="F137" s="96">
        <v>10880</v>
      </c>
      <c r="G137" s="96">
        <v>9515.31</v>
      </c>
      <c r="H137" s="117">
        <f>SUM(Table18[[#This Row],[Billings]]-Table18[[#This Row],[Cost]])/Table18[[#This Row],[Billings]]</f>
        <v>0.12543106617647062</v>
      </c>
      <c r="I137" s="108">
        <v>10880</v>
      </c>
      <c r="J137" s="108">
        <v>9515.31</v>
      </c>
      <c r="K137" s="97">
        <f>SUM(Table18[[#This Row],[Prev. Billings]]-Table18[[#This Row],[Prev. Cost]])/Table18[[#This Row],[Prev. Billings]]</f>
        <v>0.12543106617647062</v>
      </c>
      <c r="L137" s="134">
        <f>SUM(Table18[[#This Row],[Margin]]-Table18[[#This Row],[Prev. Margin]])</f>
        <v>0</v>
      </c>
    </row>
    <row r="138" spans="2:12" x14ac:dyDescent="0.35">
      <c r="B138" s="64" t="s">
        <v>367</v>
      </c>
      <c r="C138" s="64" t="s">
        <v>380</v>
      </c>
      <c r="D138" s="73">
        <v>44467</v>
      </c>
      <c r="E138" s="73">
        <v>44472</v>
      </c>
      <c r="F138" s="96">
        <v>14620</v>
      </c>
      <c r="G138" s="96">
        <v>12901.15</v>
      </c>
      <c r="H138" s="117">
        <f>SUM(Table18[[#This Row],[Billings]]-Table18[[#This Row],[Cost]])/Table18[[#This Row],[Billings]]</f>
        <v>0.11756839945280441</v>
      </c>
      <c r="I138" s="108">
        <v>14620</v>
      </c>
      <c r="J138" s="108">
        <v>12901.15</v>
      </c>
      <c r="K138" s="97">
        <f>SUM(Table18[[#This Row],[Prev. Billings]]-Table18[[#This Row],[Prev. Cost]])/Table18[[#This Row],[Prev. Billings]]</f>
        <v>0.11756839945280441</v>
      </c>
      <c r="L138" s="134">
        <f>SUM(Table18[[#This Row],[Margin]]-Table18[[#This Row],[Prev. Margin]])</f>
        <v>0</v>
      </c>
    </row>
    <row r="139" spans="2:12" x14ac:dyDescent="0.35">
      <c r="B139" s="64" t="s">
        <v>368</v>
      </c>
      <c r="C139" s="64" t="s">
        <v>320</v>
      </c>
      <c r="D139" s="73">
        <v>44465</v>
      </c>
      <c r="E139" s="73">
        <v>44471</v>
      </c>
      <c r="F139" s="96">
        <v>12580</v>
      </c>
      <c r="G139" s="96">
        <v>11164.970000000001</v>
      </c>
      <c r="H139" s="117">
        <f>SUM(Table18[[#This Row],[Billings]]-Table18[[#This Row],[Cost]])/Table18[[#This Row],[Billings]]</f>
        <v>0.1124825119236883</v>
      </c>
      <c r="I139" s="108">
        <v>12580</v>
      </c>
      <c r="J139" s="108">
        <v>11164.970000000001</v>
      </c>
      <c r="K139" s="97">
        <f>SUM(Table18[[#This Row],[Prev. Billings]]-Table18[[#This Row],[Prev. Cost]])/Table18[[#This Row],[Prev. Billings]]</f>
        <v>0.1124825119236883</v>
      </c>
      <c r="L139" s="134">
        <f>SUM(Table18[[#This Row],[Margin]]-Table18[[#This Row],[Prev. Margin]])</f>
        <v>0</v>
      </c>
    </row>
    <row r="140" spans="2:12" x14ac:dyDescent="0.35">
      <c r="B140" s="64" t="s">
        <v>369</v>
      </c>
      <c r="C140" s="64" t="s">
        <v>381</v>
      </c>
      <c r="D140" s="73">
        <v>44493</v>
      </c>
      <c r="E140" s="73">
        <v>44499</v>
      </c>
      <c r="F140" s="96">
        <v>5100</v>
      </c>
      <c r="G140" s="96">
        <v>4513.05</v>
      </c>
      <c r="H140" s="117">
        <f>SUM(Table18[[#This Row],[Billings]]-Table18[[#This Row],[Cost]])/Table18[[#This Row],[Billings]]</f>
        <v>0.11508823529411762</v>
      </c>
      <c r="I140" s="108">
        <v>5100</v>
      </c>
      <c r="J140" s="108">
        <v>4513.05</v>
      </c>
      <c r="K140" s="97">
        <f>SUM(Table18[[#This Row],[Prev. Billings]]-Table18[[#This Row],[Prev. Cost]])/Table18[[#This Row],[Prev. Billings]]</f>
        <v>0.11508823529411762</v>
      </c>
      <c r="L140" s="134">
        <f>SUM(Table18[[#This Row],[Margin]]-Table18[[#This Row],[Prev. Margin]])</f>
        <v>0</v>
      </c>
    </row>
    <row r="141" spans="2:12" x14ac:dyDescent="0.35">
      <c r="B141" s="64" t="s">
        <v>370</v>
      </c>
      <c r="C141" s="64" t="s">
        <v>382</v>
      </c>
      <c r="D141" s="73">
        <v>44476</v>
      </c>
      <c r="E141" s="73">
        <v>44479</v>
      </c>
      <c r="F141" s="96">
        <v>6904</v>
      </c>
      <c r="G141" s="96">
        <v>6254.2900000000009</v>
      </c>
      <c r="H141" s="117">
        <f>SUM(Table18[[#This Row],[Billings]]-Table18[[#This Row],[Cost]])/Table18[[#This Row],[Billings]]</f>
        <v>9.4106315179605896E-2</v>
      </c>
      <c r="I141" s="108">
        <v>6904</v>
      </c>
      <c r="J141" s="108">
        <v>6254.2900000000009</v>
      </c>
      <c r="K141" s="97">
        <f>SUM(Table18[[#This Row],[Prev. Billings]]-Table18[[#This Row],[Prev. Cost]])/Table18[[#This Row],[Prev. Billings]]</f>
        <v>9.4106315179605896E-2</v>
      </c>
      <c r="L141" s="134">
        <f>SUM(Table18[[#This Row],[Margin]]-Table18[[#This Row],[Prev. Margin]])</f>
        <v>0</v>
      </c>
    </row>
    <row r="142" spans="2:12" x14ac:dyDescent="0.35">
      <c r="B142" s="64" t="s">
        <v>371</v>
      </c>
      <c r="C142" s="64" t="s">
        <v>383</v>
      </c>
      <c r="D142" s="73">
        <v>44469</v>
      </c>
      <c r="E142" s="73">
        <v>44473</v>
      </c>
      <c r="F142" s="96">
        <v>13117.6</v>
      </c>
      <c r="G142" s="96">
        <v>11568.380000000001</v>
      </c>
      <c r="H142" s="117">
        <f>SUM(Table18[[#This Row],[Billings]]-Table18[[#This Row],[Cost]])/Table18[[#This Row],[Billings]]</f>
        <v>0.11810239677989871</v>
      </c>
      <c r="I142" s="108">
        <v>13117.6</v>
      </c>
      <c r="J142" s="108">
        <v>11568.380000000001</v>
      </c>
      <c r="K142" s="97">
        <f>SUM(Table18[[#This Row],[Prev. Billings]]-Table18[[#This Row],[Prev. Cost]])/Table18[[#This Row],[Prev. Billings]]</f>
        <v>0.11810239677989871</v>
      </c>
      <c r="L142" s="134">
        <f>SUM(Table18[[#This Row],[Margin]]-Table18[[#This Row],[Prev. Margin]])</f>
        <v>0</v>
      </c>
    </row>
    <row r="143" spans="2:12" x14ac:dyDescent="0.35">
      <c r="B143" s="64" t="s">
        <v>372</v>
      </c>
      <c r="C143" s="64" t="s">
        <v>384</v>
      </c>
      <c r="D143" s="73">
        <v>44515</v>
      </c>
      <c r="E143" s="73">
        <v>44537</v>
      </c>
      <c r="F143" s="96">
        <v>74218</v>
      </c>
      <c r="G143" s="96">
        <v>65817.75999999998</v>
      </c>
      <c r="H143" s="117">
        <f>SUM(Table18[[#This Row],[Billings]]-Table18[[#This Row],[Cost]])/Table18[[#This Row],[Billings]]</f>
        <v>0.11318332479991404</v>
      </c>
      <c r="I143" s="108">
        <v>74218</v>
      </c>
      <c r="J143" s="108">
        <v>65817.75999999998</v>
      </c>
      <c r="K143" s="97">
        <f>SUM(Table18[[#This Row],[Prev. Billings]]-Table18[[#This Row],[Prev. Cost]])/Table18[[#This Row],[Prev. Billings]]</f>
        <v>0.11318332479991404</v>
      </c>
      <c r="L143" s="134">
        <f>SUM(Table18[[#This Row],[Margin]]-Table18[[#This Row],[Prev. Margin]])</f>
        <v>0</v>
      </c>
    </row>
    <row r="144" spans="2:12" x14ac:dyDescent="0.35">
      <c r="B144" s="64" t="s">
        <v>387</v>
      </c>
      <c r="C144" t="s">
        <v>417</v>
      </c>
      <c r="D144" s="159">
        <v>44470</v>
      </c>
      <c r="E144" s="159">
        <v>44473</v>
      </c>
      <c r="F144" s="118">
        <v>6731.4</v>
      </c>
      <c r="G144" s="118">
        <v>5890.39</v>
      </c>
      <c r="H144" s="117">
        <f>SUM(Table18[[#This Row],[Billings]]-Table18[[#This Row],[Cost]])/Table18[[#This Row],[Billings]]</f>
        <v>0.12493834863475642</v>
      </c>
      <c r="I144" s="156"/>
      <c r="J144" s="156"/>
      <c r="K144" s="117"/>
      <c r="L144" s="148"/>
    </row>
    <row r="145" spans="2:12" x14ac:dyDescent="0.35">
      <c r="B145" s="64" t="s">
        <v>388</v>
      </c>
      <c r="C145" t="s">
        <v>418</v>
      </c>
      <c r="D145" s="159">
        <v>44482</v>
      </c>
      <c r="E145" s="159">
        <v>44483</v>
      </c>
      <c r="F145" s="118">
        <v>2761.6</v>
      </c>
      <c r="G145" s="118">
        <v>2195.69</v>
      </c>
      <c r="H145" s="117">
        <f>SUM(Table18[[#This Row],[Billings]]-Table18[[#This Row],[Cost]])/Table18[[#This Row],[Billings]]</f>
        <v>0.20492106025492463</v>
      </c>
      <c r="I145" s="156"/>
      <c r="J145" s="156"/>
      <c r="K145" s="97"/>
      <c r="L145" s="138"/>
    </row>
    <row r="146" spans="2:12" x14ac:dyDescent="0.35">
      <c r="B146" s="64" t="s">
        <v>389</v>
      </c>
      <c r="C146" t="s">
        <v>419</v>
      </c>
      <c r="D146" s="159">
        <v>44472</v>
      </c>
      <c r="E146" s="159">
        <v>44483</v>
      </c>
      <c r="F146" s="118">
        <v>27098.199999999997</v>
      </c>
      <c r="G146" s="118">
        <v>23539.560000000005</v>
      </c>
      <c r="H146" s="117">
        <f>SUM(Table18[[#This Row],[Billings]]-Table18[[#This Row],[Cost]])/Table18[[#This Row],[Billings]]</f>
        <v>0.13132385176875189</v>
      </c>
      <c r="I146" s="156"/>
      <c r="J146" s="156"/>
      <c r="K146" s="117"/>
      <c r="L146" s="148"/>
    </row>
    <row r="147" spans="2:12" x14ac:dyDescent="0.35">
      <c r="B147" s="64" t="s">
        <v>390</v>
      </c>
      <c r="C147" t="s">
        <v>420</v>
      </c>
      <c r="D147" s="159">
        <v>44514</v>
      </c>
      <c r="E147" s="159">
        <v>44522</v>
      </c>
      <c r="F147" s="118">
        <v>4080</v>
      </c>
      <c r="G147" s="118">
        <v>3907.0400000000009</v>
      </c>
      <c r="H147" s="117">
        <f>SUM(Table18[[#This Row],[Billings]]-Table18[[#This Row],[Cost]])/Table18[[#This Row],[Billings]]</f>
        <v>4.2392156862744883E-2</v>
      </c>
      <c r="I147" s="156"/>
      <c r="J147" s="156"/>
      <c r="K147" s="117"/>
      <c r="L147" s="148"/>
    </row>
    <row r="148" spans="2:12" x14ac:dyDescent="0.35">
      <c r="B148" s="64" t="s">
        <v>391</v>
      </c>
      <c r="C148" t="s">
        <v>421</v>
      </c>
      <c r="D148" s="159">
        <v>44455</v>
      </c>
      <c r="E148" s="159">
        <v>44457</v>
      </c>
      <c r="F148" s="118">
        <v>2071.1999999999998</v>
      </c>
      <c r="G148" s="118">
        <v>1916.82</v>
      </c>
      <c r="H148" s="117">
        <f>SUM(Table18[[#This Row],[Billings]]-Table18[[#This Row],[Cost]])/Table18[[#This Row],[Billings]]</f>
        <v>7.4536500579374221E-2</v>
      </c>
      <c r="I148" s="156"/>
      <c r="J148" s="156"/>
      <c r="K148" s="117"/>
      <c r="L148" s="148"/>
    </row>
    <row r="149" spans="2:12" x14ac:dyDescent="0.35">
      <c r="B149" s="64" t="s">
        <v>392</v>
      </c>
      <c r="C149" t="s">
        <v>422</v>
      </c>
      <c r="D149" s="159">
        <v>44472</v>
      </c>
      <c r="E149" s="159">
        <v>44505</v>
      </c>
      <c r="F149" s="118">
        <v>51780</v>
      </c>
      <c r="G149" s="118">
        <v>45419.160000000018</v>
      </c>
      <c r="H149" s="117">
        <f>SUM(Table18[[#This Row],[Billings]]-Table18[[#This Row],[Cost]])/Table18[[#This Row],[Billings]]</f>
        <v>0.12284356894553847</v>
      </c>
      <c r="I149" s="156"/>
      <c r="J149" s="156"/>
      <c r="K149" s="117"/>
      <c r="L149" s="148"/>
    </row>
    <row r="150" spans="2:12" x14ac:dyDescent="0.35">
      <c r="B150" s="64" t="s">
        <v>393</v>
      </c>
      <c r="C150" t="s">
        <v>423</v>
      </c>
      <c r="D150" s="159">
        <v>44460</v>
      </c>
      <c r="E150" s="159">
        <v>44465</v>
      </c>
      <c r="F150" s="118">
        <v>10873.8</v>
      </c>
      <c r="G150" s="118">
        <v>9847.7299999999977</v>
      </c>
      <c r="H150" s="117">
        <f>SUM(Table18[[#This Row],[Billings]]-Table18[[#This Row],[Cost]])/Table18[[#This Row],[Billings]]</f>
        <v>9.4361676690761426E-2</v>
      </c>
      <c r="I150" s="156"/>
      <c r="J150" s="156"/>
      <c r="K150" s="117"/>
      <c r="L150" s="148"/>
    </row>
    <row r="151" spans="2:12" x14ac:dyDescent="0.35">
      <c r="B151" s="104"/>
      <c r="C151" s="104"/>
      <c r="D151" s="63"/>
      <c r="E151" s="105"/>
      <c r="F151" s="98"/>
      <c r="G151" s="98"/>
      <c r="H151" s="117"/>
      <c r="I151" s="156"/>
      <c r="J151" s="156"/>
      <c r="K151" s="117"/>
      <c r="L151" s="148"/>
    </row>
    <row r="152" spans="2:12" x14ac:dyDescent="0.35">
      <c r="B152" s="104"/>
      <c r="C152" s="104"/>
      <c r="D152" s="63"/>
      <c r="E152" s="105"/>
      <c r="F152" s="98"/>
      <c r="G152" s="98"/>
      <c r="H152" s="117"/>
      <c r="I152" s="156"/>
      <c r="J152" s="156"/>
      <c r="K152" s="117"/>
      <c r="L152" s="148"/>
    </row>
    <row r="153" spans="2:12" x14ac:dyDescent="0.35">
      <c r="B153" s="99"/>
      <c r="C153" s="99"/>
      <c r="D153" s="63"/>
      <c r="E153" s="63"/>
      <c r="F153" s="139"/>
      <c r="G153" s="139"/>
      <c r="H153" s="97"/>
      <c r="I153" s="157"/>
      <c r="J153" s="157"/>
      <c r="K153" s="97"/>
      <c r="L153" s="138"/>
    </row>
  </sheetData>
  <sortState xmlns:xlrd2="http://schemas.microsoft.com/office/spreadsheetml/2017/richdata2" ref="N24:V29">
    <sortCondition ref="N24:N29"/>
  </sortState>
  <mergeCells count="5">
    <mergeCell ref="AF1:AJ1"/>
    <mergeCell ref="AF14:AJ14"/>
    <mergeCell ref="AL1:AP1"/>
    <mergeCell ref="AL14:AP14"/>
    <mergeCell ref="AW1:BA1"/>
  </mergeCells>
  <phoneticPr fontId="2" type="noConversion"/>
  <conditionalFormatting sqref="L144:L1048576 L1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{ECA9153D-3E88-4570-8AE0-00B9B2701D42}</x14:id>
        </ext>
      </extLst>
    </cfRule>
  </conditionalFormatting>
  <conditionalFormatting sqref="L2:L150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{95D6853D-20BC-4FB7-AB6F-45211A3977EF}</x14:id>
        </ext>
      </extLst>
    </cfRule>
  </conditionalFormatting>
  <pageMargins left="0.7" right="0.7" top="0.75" bottom="0.75" header="0.3" footer="0.3"/>
  <pageSetup paperSize="9" orientation="portrait" r:id="rId8"/>
  <tableParts count="2">
    <tablePart r:id="rId9"/>
    <tablePart r:id="rId10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A9153D-3E88-4570-8AE0-00B9B2701D42}">
            <x14:dataBar minLength="0" maxLength="100" border="1" negativeBarBorderColorSameAsPositive="0" axisPosition="none">
              <x14:cfvo type="autoMin"/>
              <x14:cfvo type="autoMax"/>
              <x14:borderColor rgb="FF008AEF"/>
              <x14:negativeFillColor rgb="FFFF0000"/>
              <x14:negativeBorderColor rgb="FFFF0000"/>
            </x14:dataBar>
          </x14:cfRule>
          <xm:sqref>L144:L1048576 L1</xm:sqref>
        </x14:conditionalFormatting>
        <x14:conditionalFormatting xmlns:xm="http://schemas.microsoft.com/office/excel/2006/main">
          <x14:cfRule type="dataBar" id="{95D6853D-20BC-4FB7-AB6F-45211A3977EF}">
            <x14:dataBar minLength="0" maxLength="100" border="1" negativeBarBorderColorSameAsPositive="0" axisPosition="none">
              <x14:cfvo type="autoMin"/>
              <x14:cfvo type="autoMax"/>
              <x14:borderColor rgb="FF008AEF"/>
              <x14:negativeFillColor rgb="FFFF0000"/>
              <x14:negativeBorderColor rgb="FFFF0000"/>
            </x14:dataBar>
          </x14:cfRule>
          <xm:sqref>L2:L150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6E874-EFFC-44B6-990C-78CF18D0C2AF}">
  <dimension ref="A1:K36"/>
  <sheetViews>
    <sheetView workbookViewId="0">
      <selection activeCell="I4" sqref="I4"/>
    </sheetView>
  </sheetViews>
  <sheetFormatPr defaultRowHeight="14.5" x14ac:dyDescent="0.35"/>
  <cols>
    <col min="1" max="1" width="12.08984375" bestFit="1" customWidth="1"/>
    <col min="2" max="2" width="12.6328125" bestFit="1" customWidth="1"/>
    <col min="3" max="3" width="13.453125" bestFit="1" customWidth="1"/>
    <col min="4" max="4" width="13.36328125" bestFit="1" customWidth="1"/>
    <col min="5" max="5" width="12" bestFit="1" customWidth="1"/>
    <col min="7" max="7" width="11.08984375" bestFit="1" customWidth="1"/>
    <col min="9" max="9" width="13.6328125" bestFit="1" customWidth="1"/>
    <col min="11" max="11" width="27.26953125" customWidth="1"/>
  </cols>
  <sheetData>
    <row r="1" spans="1:11" s="153" customFormat="1" x14ac:dyDescent="0.35">
      <c r="A1" s="153" t="s">
        <v>89</v>
      </c>
      <c r="C1" s="153" t="s">
        <v>22</v>
      </c>
      <c r="E1" s="153" t="s">
        <v>28</v>
      </c>
      <c r="G1" s="153" t="s">
        <v>29</v>
      </c>
      <c r="I1" s="153" t="s">
        <v>30</v>
      </c>
    </row>
    <row r="2" spans="1:11" x14ac:dyDescent="0.35">
      <c r="A2" s="89">
        <f>SUM('2021_2022'!F2:F32)</f>
        <v>176219.53750000001</v>
      </c>
      <c r="C2" s="89">
        <f>SUM('2021_2022'!F33:F47)</f>
        <v>696443.54960000026</v>
      </c>
      <c r="E2" s="89">
        <f>SUM('2021_2022'!F48:F71)</f>
        <v>83830.5</v>
      </c>
      <c r="G2" s="89">
        <f>SUM('2021_2022'!F72:F74)</f>
        <v>10379.939999999999</v>
      </c>
      <c r="I2" s="89">
        <f>SUM('2021_2022'!F76:F150)</f>
        <v>1724201.2849999997</v>
      </c>
      <c r="K2" s="89">
        <f>SUM(A2:J2)</f>
        <v>2691074.8120999997</v>
      </c>
    </row>
    <row r="3" spans="1:11" x14ac:dyDescent="0.35">
      <c r="A3" s="89">
        <f>SUM('2021_2022'!G2:G32)</f>
        <v>151205.15500000003</v>
      </c>
      <c r="C3" s="89">
        <f>SUM('2021_2022'!G33:G47)</f>
        <v>549614.32454545505</v>
      </c>
      <c r="E3" s="89">
        <f>SUM('2021_2022'!G48:G71)</f>
        <v>69021.608000000007</v>
      </c>
      <c r="G3" s="89">
        <f>SUM('2021_2022'!G72:G74)</f>
        <v>7806.29</v>
      </c>
      <c r="I3" s="89">
        <f>SUM('2021_2022'!G76:G150)</f>
        <v>1487211.7280000001</v>
      </c>
      <c r="K3" s="89">
        <f>SUM(A3:J3)</f>
        <v>2264859.1055454551</v>
      </c>
    </row>
    <row r="4" spans="1:11" x14ac:dyDescent="0.35">
      <c r="A4" s="89">
        <f>A2-A3</f>
        <v>25014.382499999978</v>
      </c>
      <c r="C4" s="89">
        <f>C2-C3</f>
        <v>146829.22505454521</v>
      </c>
      <c r="E4" s="89">
        <f>E2-E3</f>
        <v>14808.891999999993</v>
      </c>
      <c r="G4" s="89">
        <f>G2-G3</f>
        <v>2573.6499999999987</v>
      </c>
      <c r="I4" s="89">
        <f>I2-I3</f>
        <v>236989.55699999956</v>
      </c>
      <c r="K4" s="89">
        <f>K2-K3</f>
        <v>426215.70655454462</v>
      </c>
    </row>
    <row r="5" spans="1:11" x14ac:dyDescent="0.35">
      <c r="A5" s="123">
        <f>A4/A2</f>
        <v>0.14195010868190469</v>
      </c>
      <c r="C5" s="123">
        <f>C4/C2</f>
        <v>0.21082717348574198</v>
      </c>
      <c r="E5" s="123">
        <f>E4/E2</f>
        <v>0.17665279343437046</v>
      </c>
      <c r="G5" s="123">
        <f>G4/G2</f>
        <v>0.24794459312866923</v>
      </c>
      <c r="I5" s="123">
        <f>I4/I2</f>
        <v>0.13744889245921169</v>
      </c>
      <c r="K5" s="123">
        <f>K4/K2</f>
        <v>0.15838121803159538</v>
      </c>
    </row>
    <row r="7" spans="1:11" s="152" customFormat="1" x14ac:dyDescent="0.35"/>
    <row r="9" spans="1:11" x14ac:dyDescent="0.35">
      <c r="B9" s="88" t="s">
        <v>231</v>
      </c>
      <c r="C9" t="s">
        <v>229</v>
      </c>
      <c r="D9" s="124" t="s">
        <v>233</v>
      </c>
      <c r="E9" t="s">
        <v>386</v>
      </c>
    </row>
    <row r="10" spans="1:11" x14ac:dyDescent="0.35">
      <c r="B10" s="55" t="s">
        <v>111</v>
      </c>
      <c r="C10" s="154">
        <v>152510.21000000002</v>
      </c>
      <c r="D10" s="124">
        <v>0.38987534014935782</v>
      </c>
      <c r="E10" s="155">
        <v>0</v>
      </c>
    </row>
    <row r="11" spans="1:11" x14ac:dyDescent="0.35">
      <c r="B11" s="55" t="s">
        <v>71</v>
      </c>
      <c r="C11" s="154">
        <v>130819.47999999998</v>
      </c>
      <c r="D11" s="124">
        <v>0.17219912508442745</v>
      </c>
      <c r="E11" s="155">
        <v>0</v>
      </c>
    </row>
    <row r="12" spans="1:11" x14ac:dyDescent="0.35">
      <c r="B12" s="55" t="s">
        <v>62</v>
      </c>
      <c r="C12" s="154">
        <v>119040.45</v>
      </c>
      <c r="D12" s="124">
        <v>0.19203934460933197</v>
      </c>
      <c r="E12" s="155">
        <v>0</v>
      </c>
    </row>
    <row r="13" spans="1:11" x14ac:dyDescent="0.35">
      <c r="B13" s="55" t="s">
        <v>39</v>
      </c>
      <c r="C13" s="154">
        <v>116130.46999999999</v>
      </c>
      <c r="D13" s="124">
        <v>0.13251918295000367</v>
      </c>
      <c r="E13" s="155">
        <v>0</v>
      </c>
    </row>
    <row r="14" spans="1:11" x14ac:dyDescent="0.35">
      <c r="B14" s="55" t="s">
        <v>191</v>
      </c>
      <c r="C14" s="154">
        <v>110870.65000000001</v>
      </c>
      <c r="D14" s="124">
        <v>9.6041648533672544E-2</v>
      </c>
      <c r="E14" s="155">
        <v>1</v>
      </c>
    </row>
    <row r="15" spans="1:11" x14ac:dyDescent="0.35">
      <c r="B15" s="55" t="s">
        <v>221</v>
      </c>
      <c r="C15" s="154">
        <v>106250</v>
      </c>
      <c r="D15" s="124">
        <v>0.15791388235294179</v>
      </c>
      <c r="E15" s="155">
        <v>0</v>
      </c>
    </row>
    <row r="16" spans="1:11" x14ac:dyDescent="0.35">
      <c r="B16" s="55" t="s">
        <v>169</v>
      </c>
      <c r="C16" s="154">
        <v>106234.70000000001</v>
      </c>
      <c r="D16" s="124">
        <v>0.18128982338162497</v>
      </c>
      <c r="E16" s="155">
        <v>0</v>
      </c>
    </row>
    <row r="17" spans="2:5" x14ac:dyDescent="0.35">
      <c r="B17" s="55" t="s">
        <v>225</v>
      </c>
      <c r="C17" s="154">
        <v>90780</v>
      </c>
      <c r="D17" s="124">
        <v>0.11317790262172342</v>
      </c>
      <c r="E17" s="155">
        <v>1</v>
      </c>
    </row>
    <row r="18" spans="2:5" x14ac:dyDescent="0.35">
      <c r="B18" s="55" t="s">
        <v>57</v>
      </c>
      <c r="C18" s="154">
        <v>90613.6</v>
      </c>
      <c r="D18" s="124">
        <v>0.18325080842771249</v>
      </c>
      <c r="E18" s="155">
        <v>0</v>
      </c>
    </row>
    <row r="19" spans="2:5" x14ac:dyDescent="0.35">
      <c r="B19" s="55" t="s">
        <v>44</v>
      </c>
      <c r="C19" s="154">
        <v>80938.86</v>
      </c>
      <c r="D19" s="124">
        <v>0.12595828505615222</v>
      </c>
      <c r="E19" s="155">
        <v>0</v>
      </c>
    </row>
    <row r="20" spans="2:5" x14ac:dyDescent="0.35">
      <c r="B20" s="55" t="s">
        <v>372</v>
      </c>
      <c r="C20" s="154">
        <v>74218</v>
      </c>
      <c r="D20" s="124">
        <v>0.11318332479991404</v>
      </c>
      <c r="E20" s="155">
        <v>1</v>
      </c>
    </row>
    <row r="21" spans="2:5" x14ac:dyDescent="0.35">
      <c r="B21" s="55" t="s">
        <v>361</v>
      </c>
      <c r="C21" s="154">
        <v>73100</v>
      </c>
      <c r="D21" s="124">
        <v>0.1208366621067026</v>
      </c>
      <c r="E21" s="155">
        <v>1</v>
      </c>
    </row>
    <row r="22" spans="2:5" x14ac:dyDescent="0.35">
      <c r="B22" s="55" t="s">
        <v>38</v>
      </c>
      <c r="C22" s="154">
        <v>73070.91</v>
      </c>
      <c r="D22" s="124">
        <v>0.18092179227000177</v>
      </c>
      <c r="E22" s="155">
        <v>0</v>
      </c>
    </row>
    <row r="23" spans="2:5" x14ac:dyDescent="0.35">
      <c r="B23" s="55" t="s">
        <v>227</v>
      </c>
      <c r="C23" s="154">
        <v>70720</v>
      </c>
      <c r="D23" s="124">
        <v>0.14727714932126701</v>
      </c>
      <c r="E23" s="155">
        <v>0</v>
      </c>
    </row>
    <row r="24" spans="2:5" x14ac:dyDescent="0.35">
      <c r="B24" s="55" t="s">
        <v>339</v>
      </c>
      <c r="C24" s="154">
        <v>70550</v>
      </c>
      <c r="D24" s="124">
        <v>9.8138908575478342E-2</v>
      </c>
      <c r="E24" s="155">
        <v>1</v>
      </c>
    </row>
    <row r="25" spans="2:5" x14ac:dyDescent="0.35">
      <c r="B25" s="55" t="s">
        <v>78</v>
      </c>
      <c r="C25" s="154">
        <v>60955.439999999995</v>
      </c>
      <c r="D25" s="124">
        <v>0.17808681226810968</v>
      </c>
      <c r="E25" s="155">
        <v>0</v>
      </c>
    </row>
    <row r="26" spans="2:5" x14ac:dyDescent="0.35">
      <c r="B26" s="55" t="s">
        <v>392</v>
      </c>
      <c r="C26" s="154">
        <v>51780</v>
      </c>
      <c r="D26" s="124">
        <v>0.12284356894553847</v>
      </c>
      <c r="E26" s="155">
        <v>1</v>
      </c>
    </row>
    <row r="27" spans="2:5" x14ac:dyDescent="0.35">
      <c r="B27" s="55" t="s">
        <v>211</v>
      </c>
      <c r="C27" s="154">
        <v>47828.880000000005</v>
      </c>
      <c r="D27" s="124">
        <v>0.13787343546409619</v>
      </c>
      <c r="E27" s="155">
        <v>0</v>
      </c>
    </row>
    <row r="28" spans="2:5" x14ac:dyDescent="0.35">
      <c r="B28" s="55" t="s">
        <v>364</v>
      </c>
      <c r="C28" s="154">
        <v>36890</v>
      </c>
      <c r="D28" s="124">
        <v>0.10550094876660322</v>
      </c>
      <c r="E28" s="155">
        <v>1</v>
      </c>
    </row>
    <row r="29" spans="2:5" x14ac:dyDescent="0.35">
      <c r="B29" s="55" t="s">
        <v>332</v>
      </c>
      <c r="C29" s="154">
        <v>36246</v>
      </c>
      <c r="D29" s="124">
        <v>0.11330905479225303</v>
      </c>
      <c r="E29" s="155">
        <v>1</v>
      </c>
    </row>
    <row r="30" spans="2:5" x14ac:dyDescent="0.35">
      <c r="B30" s="55" t="s">
        <v>316</v>
      </c>
      <c r="C30" s="154">
        <v>36040</v>
      </c>
      <c r="D30" s="124">
        <v>0.16399556048834613</v>
      </c>
      <c r="E30" s="155">
        <v>0</v>
      </c>
    </row>
    <row r="31" spans="2:5" x14ac:dyDescent="0.35">
      <c r="B31" s="55" t="s">
        <v>215</v>
      </c>
      <c r="C31" s="154">
        <v>32932.080000000002</v>
      </c>
      <c r="D31" s="124">
        <v>0.14062002764477685</v>
      </c>
      <c r="E31" s="155">
        <v>0</v>
      </c>
    </row>
    <row r="32" spans="2:5" x14ac:dyDescent="0.35">
      <c r="B32" s="55" t="s">
        <v>147</v>
      </c>
      <c r="C32" s="154">
        <v>29943.724999999999</v>
      </c>
      <c r="D32" s="124">
        <v>0.2171810621424021</v>
      </c>
      <c r="E32" s="155">
        <v>0</v>
      </c>
    </row>
    <row r="33" spans="2:5" x14ac:dyDescent="0.35">
      <c r="B33" s="55" t="s">
        <v>166</v>
      </c>
      <c r="C33" s="154">
        <v>29571.199999999997</v>
      </c>
      <c r="D33" s="124">
        <v>0.22945162861162202</v>
      </c>
      <c r="E33" s="155">
        <v>0</v>
      </c>
    </row>
    <row r="34" spans="2:5" x14ac:dyDescent="0.35">
      <c r="B34" s="55" t="s">
        <v>113</v>
      </c>
      <c r="C34" s="154">
        <v>27633.26</v>
      </c>
      <c r="D34" s="124">
        <v>7.5883916700382151E-2</v>
      </c>
      <c r="E34" s="155">
        <v>1</v>
      </c>
    </row>
    <row r="35" spans="2:5" x14ac:dyDescent="0.35">
      <c r="B35" s="55" t="s">
        <v>389</v>
      </c>
      <c r="C35" s="154">
        <v>27098.199999999997</v>
      </c>
      <c r="D35" s="124">
        <v>0.13132385176875189</v>
      </c>
      <c r="E35" s="155">
        <v>0</v>
      </c>
    </row>
    <row r="36" spans="2:5" x14ac:dyDescent="0.35">
      <c r="B36" s="55" t="s">
        <v>49</v>
      </c>
      <c r="C36" s="154">
        <v>26434.699999999997</v>
      </c>
      <c r="D36" s="124">
        <v>8.3270474036020697E-2</v>
      </c>
      <c r="E36" s="15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22501-2784-41B1-8222-0F4BE9E2F618}">
  <sheetPr>
    <pageSetUpPr fitToPage="1"/>
  </sheetPr>
  <dimension ref="B1:AK163"/>
  <sheetViews>
    <sheetView showGridLines="0" zoomScale="90" zoomScaleNormal="90" workbookViewId="0">
      <pane ySplit="1" topLeftCell="A2" activePane="bottomLeft" state="frozen"/>
      <selection activeCell="H31" sqref="H31"/>
      <selection pane="bottomLeft" activeCell="A7" sqref="A7"/>
    </sheetView>
  </sheetViews>
  <sheetFormatPr defaultRowHeight="14.5" x14ac:dyDescent="0.35"/>
  <cols>
    <col min="1" max="1" width="5.81640625" style="3" customWidth="1"/>
    <col min="2" max="2" width="11" style="12" bestFit="1" customWidth="1"/>
    <col min="3" max="3" width="32.453125" style="3" bestFit="1" customWidth="1"/>
    <col min="4" max="4" width="12.36328125" style="3" bestFit="1" customWidth="1"/>
    <col min="5" max="5" width="11" style="3" bestFit="1" customWidth="1"/>
    <col min="6" max="6" width="11.54296875" style="3" bestFit="1" customWidth="1"/>
    <col min="7" max="7" width="17" style="3" bestFit="1" customWidth="1"/>
    <col min="8" max="8" width="17.08984375" style="2" customWidth="1"/>
    <col min="9" max="9" width="10.36328125" style="17" customWidth="1"/>
    <col min="10" max="10" width="14.81640625" style="17" bestFit="1" customWidth="1"/>
    <col min="11" max="11" width="14.54296875" style="137" customWidth="1"/>
    <col min="12" max="12" width="14" style="17" customWidth="1"/>
    <col min="13" max="13" width="15.90625" style="17" customWidth="1"/>
    <col min="14" max="14" width="8.7265625" style="17" customWidth="1"/>
    <col min="15" max="15" width="8.7265625" style="3" customWidth="1"/>
    <col min="16" max="16" width="8.7265625" style="3"/>
    <col min="17" max="17" width="22.36328125" style="3" bestFit="1" customWidth="1"/>
    <col min="18" max="18" width="23.54296875" style="3" customWidth="1"/>
    <col min="19" max="20" width="8.7265625" style="3"/>
    <col min="21" max="21" width="12.6328125" style="127" bestFit="1" customWidth="1"/>
    <col min="22" max="34" width="8.7265625" style="3"/>
    <col min="35" max="38" width="0" style="3" hidden="1" customWidth="1"/>
    <col min="39" max="16384" width="8.7265625" style="3"/>
  </cols>
  <sheetData>
    <row r="1" spans="2:21" s="23" customFormat="1" ht="43.5" x14ac:dyDescent="0.35">
      <c r="B1" s="27" t="s">
        <v>31</v>
      </c>
      <c r="C1" s="28" t="s">
        <v>14</v>
      </c>
      <c r="D1" s="29" t="s">
        <v>15</v>
      </c>
      <c r="E1" s="30" t="s">
        <v>16</v>
      </c>
      <c r="F1" s="30" t="s">
        <v>17</v>
      </c>
      <c r="G1" s="31" t="s">
        <v>18</v>
      </c>
      <c r="H1" s="31" t="s">
        <v>19</v>
      </c>
      <c r="I1" s="32" t="s">
        <v>34</v>
      </c>
      <c r="J1" s="33" t="s">
        <v>20</v>
      </c>
      <c r="K1" s="151" t="s">
        <v>385</v>
      </c>
      <c r="L1" s="33" t="s">
        <v>24</v>
      </c>
      <c r="M1" s="33" t="s">
        <v>26</v>
      </c>
      <c r="N1" s="33" t="s">
        <v>27</v>
      </c>
      <c r="O1" s="92" t="s">
        <v>243</v>
      </c>
      <c r="P1" s="92"/>
      <c r="U1" s="126"/>
    </row>
    <row r="2" spans="2:21" x14ac:dyDescent="0.35">
      <c r="B2" s="7" t="s">
        <v>89</v>
      </c>
      <c r="C2" s="8" t="s">
        <v>126</v>
      </c>
      <c r="D2" s="80" t="s">
        <v>171</v>
      </c>
      <c r="E2" s="9">
        <v>44307</v>
      </c>
      <c r="F2" s="9">
        <v>44312</v>
      </c>
      <c r="G2" s="6">
        <v>3466.2</v>
      </c>
      <c r="H2" s="6">
        <v>2973.34</v>
      </c>
      <c r="I2" s="5">
        <f>SUM(CompletedJobs[[#This Row],[BILLINGS]]-CompletedJobs[[#This Row],[COST]])/CompletedJobs[[#This Row],[BILLINGS]]</f>
        <v>0.14219029484738321</v>
      </c>
      <c r="J2" s="149">
        <v>0.1822</v>
      </c>
      <c r="K2" s="134">
        <f>CompletedJobs[[#This Row],[ACTUAL MARGIN]]-CompletedJobs[[#This Row],[Live Margin]]</f>
        <v>4.0009705152616787E-2</v>
      </c>
      <c r="L2" s="5">
        <f>SUM(Table18[[#This Row],[Margin]]-Table18[[#This Row],[Prev. Margin]])</f>
        <v>0</v>
      </c>
      <c r="M2" s="16"/>
      <c r="N2" s="16"/>
      <c r="O2" s="91">
        <v>0.17</v>
      </c>
      <c r="P2" s="91"/>
      <c r="Q2" s="4" t="s">
        <v>41</v>
      </c>
      <c r="R2" s="19" t="s">
        <v>42</v>
      </c>
    </row>
    <row r="3" spans="2:21" x14ac:dyDescent="0.35">
      <c r="B3" s="7" t="s">
        <v>89</v>
      </c>
      <c r="C3" s="34" t="s">
        <v>115</v>
      </c>
      <c r="D3" s="4" t="s">
        <v>114</v>
      </c>
      <c r="E3" s="35">
        <v>44286</v>
      </c>
      <c r="F3" s="35">
        <v>44292</v>
      </c>
      <c r="G3" s="36">
        <v>3755.05</v>
      </c>
      <c r="H3" s="36">
        <v>3178.37</v>
      </c>
      <c r="I3" s="5">
        <f>SUM(CompletedJobs[[#This Row],[BILLINGS]]-CompletedJobs[[#This Row],[COST]])/CompletedJobs[[#This Row],[BILLINGS]]</f>
        <v>0.1535745196468756</v>
      </c>
      <c r="J3" s="149">
        <v>0.19309999999999999</v>
      </c>
      <c r="K3" s="134">
        <f>CompletedJobs[[#This Row],[ACTUAL MARGIN]]-CompletedJobs[[#This Row],[Live Margin]]</f>
        <v>3.9525480353124393E-2</v>
      </c>
      <c r="L3" s="5">
        <f>SUM(Table18[[#This Row],[Margin]]-Table18[[#This Row],[Prev. Margin]])</f>
        <v>0</v>
      </c>
      <c r="M3" s="16"/>
      <c r="N3" s="16"/>
      <c r="O3" s="91">
        <v>0.17</v>
      </c>
      <c r="P3" s="91"/>
      <c r="Q3" s="4" t="s">
        <v>40</v>
      </c>
      <c r="R3" s="5">
        <f t="shared" ref="R3" si="0">AVERAGE(K2:K36)</f>
        <v>3.7350813724211618E-2</v>
      </c>
      <c r="U3" s="128">
        <f>SUM(G2:G36)</f>
        <v>530760.65500000003</v>
      </c>
    </row>
    <row r="4" spans="2:21" x14ac:dyDescent="0.35">
      <c r="B4" s="7" t="s">
        <v>89</v>
      </c>
      <c r="C4" s="8" t="s">
        <v>173</v>
      </c>
      <c r="D4" s="8" t="s">
        <v>172</v>
      </c>
      <c r="E4" s="77">
        <v>44302</v>
      </c>
      <c r="F4" s="77">
        <v>44313</v>
      </c>
      <c r="G4" s="78">
        <v>9063.6</v>
      </c>
      <c r="H4" s="78">
        <v>8651.369999999999</v>
      </c>
      <c r="I4" s="5">
        <f>SUM(CompletedJobs[[#This Row],[BILLINGS]]-CompletedJobs[[#This Row],[COST]])/CompletedJobs[[#This Row],[BILLINGS]]</f>
        <v>4.5481927710843521E-2</v>
      </c>
      <c r="J4" s="150">
        <v>0.1036</v>
      </c>
      <c r="K4" s="134">
        <f>CompletedJobs[[#This Row],[ACTUAL MARGIN]]-CompletedJobs[[#This Row],[Live Margin]]</f>
        <v>5.8118072289156476E-2</v>
      </c>
      <c r="L4" s="5">
        <f>SUM(Table18[[#This Row],[Margin]]-Table18[[#This Row],[Prev. Margin]])</f>
        <v>0</v>
      </c>
      <c r="M4" s="16"/>
      <c r="N4" s="16"/>
      <c r="O4" s="91">
        <v>0.17</v>
      </c>
      <c r="P4" s="91"/>
      <c r="Q4" s="4"/>
      <c r="R4" s="19"/>
      <c r="U4" s="128">
        <f>SUM(H2:H36)</f>
        <v>446748.68000000005</v>
      </c>
    </row>
    <row r="5" spans="2:21" x14ac:dyDescent="0.35">
      <c r="B5" s="7" t="s">
        <v>89</v>
      </c>
      <c r="C5" s="4" t="s">
        <v>245</v>
      </c>
      <c r="D5" s="4" t="s">
        <v>244</v>
      </c>
      <c r="E5" s="77">
        <v>44323</v>
      </c>
      <c r="F5" s="77">
        <v>44329</v>
      </c>
      <c r="G5" s="78">
        <v>9131</v>
      </c>
      <c r="H5" s="78">
        <v>7597.5399999999991</v>
      </c>
      <c r="I5" s="5">
        <f>SUM(CompletedJobs[[#This Row],[BILLINGS]]-CompletedJobs[[#This Row],[COST]])/CompletedJobs[[#This Row],[BILLINGS]]</f>
        <v>0.16793998466761592</v>
      </c>
      <c r="J5" s="150">
        <v>0.223</v>
      </c>
      <c r="K5" s="134">
        <f>CompletedJobs[[#This Row],[ACTUAL MARGIN]]-CompletedJobs[[#This Row],[Live Margin]]</f>
        <v>5.5060015332384082E-2</v>
      </c>
      <c r="L5" s="5">
        <f>SUM(Table18[[#This Row],[Margin]]-Table18[[#This Row],[Prev. Margin]])</f>
        <v>0</v>
      </c>
      <c r="M5" s="16"/>
      <c r="N5" s="16"/>
      <c r="O5" s="91">
        <v>0.17</v>
      </c>
      <c r="P5" s="91"/>
      <c r="R5" s="20"/>
      <c r="U5" s="129">
        <f>SUM(U3-U4)/U3</f>
        <v>0.15828598862513646</v>
      </c>
    </row>
    <row r="6" spans="2:21" x14ac:dyDescent="0.35">
      <c r="B6" s="7" t="s">
        <v>89</v>
      </c>
      <c r="C6" s="34" t="s">
        <v>297</v>
      </c>
      <c r="D6" s="4" t="s">
        <v>296</v>
      </c>
      <c r="E6" s="35">
        <v>44323</v>
      </c>
      <c r="F6" s="35">
        <v>44329</v>
      </c>
      <c r="G6" s="36">
        <v>7384.2000000000007</v>
      </c>
      <c r="H6" s="36">
        <v>6084.56</v>
      </c>
      <c r="I6" s="5">
        <f>SUM(CompletedJobs[[#This Row],[BILLINGS]]-CompletedJobs[[#This Row],[COST]])/CompletedJobs[[#This Row],[BILLINGS]]</f>
        <v>0.1760028168251131</v>
      </c>
      <c r="J6" s="149">
        <v>0.1948</v>
      </c>
      <c r="K6" s="134">
        <f>CompletedJobs[[#This Row],[ACTUAL MARGIN]]-CompletedJobs[[#This Row],[Live Margin]]</f>
        <v>1.8797183174886906E-2</v>
      </c>
      <c r="L6" s="5">
        <f>SUM(Table18[[#This Row],[Margin]]-Table18[[#This Row],[Prev. Margin]])</f>
        <v>0</v>
      </c>
      <c r="M6" s="16"/>
      <c r="N6" s="16"/>
      <c r="O6" s="91">
        <v>0.17</v>
      </c>
      <c r="P6" s="91"/>
      <c r="Q6" s="4"/>
      <c r="R6" s="20"/>
    </row>
    <row r="7" spans="2:21" ht="15" thickBot="1" x14ac:dyDescent="0.4">
      <c r="B7" s="7" t="s">
        <v>89</v>
      </c>
      <c r="C7" s="34" t="s">
        <v>116</v>
      </c>
      <c r="D7" s="8" t="s">
        <v>117</v>
      </c>
      <c r="E7" s="37">
        <v>44295</v>
      </c>
      <c r="F7" s="37">
        <v>44302</v>
      </c>
      <c r="G7" s="38">
        <v>9101.6</v>
      </c>
      <c r="H7" s="38">
        <v>9085</v>
      </c>
      <c r="I7" s="5">
        <f>SUM(CompletedJobs[[#This Row],[BILLINGS]]-CompletedJobs[[#This Row],[COST]])/CompletedJobs[[#This Row],[BILLINGS]]</f>
        <v>1.8238551463479347E-3</v>
      </c>
      <c r="J7" s="149">
        <v>4.7600000000000003E-2</v>
      </c>
      <c r="K7" s="134">
        <f>CompletedJobs[[#This Row],[ACTUAL MARGIN]]-CompletedJobs[[#This Row],[Live Margin]]</f>
        <v>4.577614485365207E-2</v>
      </c>
      <c r="L7" s="5">
        <f>SUM(Table18[[#This Row],[Margin]]-Table18[[#This Row],[Prev. Margin]])</f>
        <v>0</v>
      </c>
      <c r="M7" s="16"/>
      <c r="N7" s="16"/>
      <c r="O7" s="91">
        <v>0.17</v>
      </c>
      <c r="P7" s="91"/>
    </row>
    <row r="8" spans="2:21" x14ac:dyDescent="0.35">
      <c r="B8" s="7" t="s">
        <v>89</v>
      </c>
      <c r="C8" s="4" t="s">
        <v>175</v>
      </c>
      <c r="D8" s="4" t="s">
        <v>174</v>
      </c>
      <c r="E8" s="77">
        <v>44314</v>
      </c>
      <c r="F8" s="77">
        <v>44321</v>
      </c>
      <c r="G8" s="78">
        <v>7668</v>
      </c>
      <c r="H8" s="78">
        <v>6441</v>
      </c>
      <c r="I8" s="5">
        <f>SUM(CompletedJobs[[#This Row],[BILLINGS]]-CompletedJobs[[#This Row],[COST]])/CompletedJobs[[#This Row],[BILLINGS]]</f>
        <v>0.16001564945226918</v>
      </c>
      <c r="J8" s="150">
        <v>0.19259999999999999</v>
      </c>
      <c r="K8" s="134">
        <f>CompletedJobs[[#This Row],[ACTUAL MARGIN]]-CompletedJobs[[#This Row],[Live Margin]]</f>
        <v>3.2584350547730817E-2</v>
      </c>
      <c r="L8" s="5">
        <f>SUM(Table18[[#This Row],[Margin]]-Table18[[#This Row],[Prev. Margin]])</f>
        <v>0</v>
      </c>
      <c r="M8" s="16"/>
      <c r="N8" s="16"/>
      <c r="O8" s="91">
        <v>0.17</v>
      </c>
      <c r="P8" s="91"/>
      <c r="Q8" s="162" t="s">
        <v>190</v>
      </c>
      <c r="R8" s="164">
        <f>U5</f>
        <v>0.15828598862513646</v>
      </c>
    </row>
    <row r="9" spans="2:21" ht="15" thickBot="1" x14ac:dyDescent="0.4">
      <c r="B9" s="7" t="s">
        <v>89</v>
      </c>
      <c r="C9" s="4" t="s">
        <v>247</v>
      </c>
      <c r="D9" s="4" t="s">
        <v>246</v>
      </c>
      <c r="E9" s="77">
        <v>44322</v>
      </c>
      <c r="F9" s="77">
        <v>44325</v>
      </c>
      <c r="G9" s="78">
        <v>2272.7200000000003</v>
      </c>
      <c r="H9" s="78">
        <v>2053.96</v>
      </c>
      <c r="I9" s="5">
        <f>SUM(CompletedJobs[[#This Row],[BILLINGS]]-CompletedJobs[[#This Row],[COST]])/CompletedJobs[[#This Row],[BILLINGS]]</f>
        <v>9.6254708015065735E-2</v>
      </c>
      <c r="J9" s="150">
        <v>0.14269999999999999</v>
      </c>
      <c r="K9" s="134">
        <f>CompletedJobs[[#This Row],[ACTUAL MARGIN]]-CompletedJobs[[#This Row],[Live Margin]]</f>
        <v>4.6445291984934259E-2</v>
      </c>
      <c r="L9" s="5">
        <f>SUM(Table18[[#This Row],[Margin]]-Table18[[#This Row],[Prev. Margin]])</f>
        <v>0</v>
      </c>
      <c r="M9" s="16"/>
      <c r="N9" s="16"/>
      <c r="O9" s="91">
        <v>0.17</v>
      </c>
      <c r="P9" s="91"/>
      <c r="Q9" s="163"/>
      <c r="R9" s="165"/>
    </row>
    <row r="10" spans="2:21" x14ac:dyDescent="0.35">
      <c r="B10" s="7" t="s">
        <v>22</v>
      </c>
      <c r="C10" s="4" t="s">
        <v>151</v>
      </c>
      <c r="D10" s="4" t="s">
        <v>295</v>
      </c>
      <c r="E10" s="77">
        <v>44276</v>
      </c>
      <c r="F10" s="77">
        <v>44331</v>
      </c>
      <c r="G10" s="79">
        <v>81943.98</v>
      </c>
      <c r="H10" s="79">
        <v>71688.100000000006</v>
      </c>
      <c r="I10" s="5">
        <f>SUM(CompletedJobs[[#This Row],[BILLINGS]]-CompletedJobs[[#This Row],[COST]])/CompletedJobs[[#This Row],[BILLINGS]]</f>
        <v>0.12515721106053174</v>
      </c>
      <c r="J10" s="149">
        <v>0.17749999999999999</v>
      </c>
      <c r="K10" s="134">
        <f>CompletedJobs[[#This Row],[ACTUAL MARGIN]]-CompletedJobs[[#This Row],[Live Margin]]</f>
        <v>5.2342788939468254E-2</v>
      </c>
      <c r="L10" s="5">
        <f>SUM(Table18[[#This Row],[Margin]]-Table18[[#This Row],[Prev. Margin]])</f>
        <v>0</v>
      </c>
      <c r="M10" s="16"/>
      <c r="N10" s="16"/>
      <c r="O10" s="91">
        <v>0.17</v>
      </c>
      <c r="P10" s="91"/>
    </row>
    <row r="11" spans="2:21" x14ac:dyDescent="0.35">
      <c r="B11" s="7" t="s">
        <v>22</v>
      </c>
      <c r="C11" s="8" t="s">
        <v>120</v>
      </c>
      <c r="D11" s="8" t="s">
        <v>121</v>
      </c>
      <c r="E11" s="35">
        <v>44305</v>
      </c>
      <c r="F11" s="35">
        <v>44305</v>
      </c>
      <c r="G11" s="36">
        <v>839.07999999999993</v>
      </c>
      <c r="H11" s="36">
        <v>599.72</v>
      </c>
      <c r="I11" s="5">
        <f>SUM(CompletedJobs[[#This Row],[BILLINGS]]-CompletedJobs[[#This Row],[COST]])/CompletedJobs[[#This Row],[BILLINGS]]</f>
        <v>0.28526481384373353</v>
      </c>
      <c r="J11" s="149">
        <v>0.2853</v>
      </c>
      <c r="K11" s="134">
        <f>CompletedJobs[[#This Row],[ACTUAL MARGIN]]-CompletedJobs[[#This Row],[Live Margin]]</f>
        <v>3.5186156266464597E-5</v>
      </c>
      <c r="L11" s="5">
        <f>SUM(Table18[[#This Row],[Margin]]-Table18[[#This Row],[Prev. Margin]])</f>
        <v>0</v>
      </c>
      <c r="M11" s="16"/>
      <c r="N11" s="16"/>
      <c r="O11" s="91">
        <v>0.17</v>
      </c>
      <c r="P11" s="91"/>
    </row>
    <row r="12" spans="2:21" x14ac:dyDescent="0.35">
      <c r="B12" s="7" t="s">
        <v>28</v>
      </c>
      <c r="C12" s="8" t="s">
        <v>118</v>
      </c>
      <c r="D12" s="8" t="s">
        <v>119</v>
      </c>
      <c r="E12" s="35">
        <v>44294</v>
      </c>
      <c r="F12" s="35">
        <v>44299</v>
      </c>
      <c r="G12" s="36">
        <v>2261</v>
      </c>
      <c r="H12" s="36">
        <v>1641.07</v>
      </c>
      <c r="I12" s="5">
        <f>SUM(CompletedJobs[[#This Row],[BILLINGS]]-CompletedJobs[[#This Row],[COST]])/CompletedJobs[[#This Row],[BILLINGS]]</f>
        <v>0.27418398938522781</v>
      </c>
      <c r="J12" s="149">
        <v>0.33939999999999998</v>
      </c>
      <c r="K12" s="134">
        <f>CompletedJobs[[#This Row],[ACTUAL MARGIN]]-CompletedJobs[[#This Row],[Live Margin]]</f>
        <v>6.5216010614772169E-2</v>
      </c>
      <c r="L12" s="5">
        <f>SUM(Table18[[#This Row],[Margin]]-Table18[[#This Row],[Prev. Margin]])</f>
        <v>-1.4192034131644604E-2</v>
      </c>
      <c r="M12" s="16"/>
      <c r="N12" s="16"/>
      <c r="O12" s="91">
        <v>0.17</v>
      </c>
      <c r="P12" s="91"/>
      <c r="R12" s="11"/>
    </row>
    <row r="13" spans="2:21" x14ac:dyDescent="0.35">
      <c r="B13" s="7" t="s">
        <v>28</v>
      </c>
      <c r="C13" s="8" t="s">
        <v>10</v>
      </c>
      <c r="D13" s="8" t="s">
        <v>180</v>
      </c>
      <c r="E13" s="9">
        <v>44274</v>
      </c>
      <c r="F13" s="9">
        <v>44277</v>
      </c>
      <c r="G13" s="6">
        <v>1142.04</v>
      </c>
      <c r="H13" s="6">
        <v>54.45</v>
      </c>
      <c r="I13" s="5">
        <f>SUM(CompletedJobs[[#This Row],[BILLINGS]]-CompletedJobs[[#This Row],[COST]])/CompletedJobs[[#This Row],[BILLINGS]]</f>
        <v>0.95232216034464634</v>
      </c>
      <c r="J13" s="149">
        <v>0.95230000000000004</v>
      </c>
      <c r="K13" s="134">
        <f>CompletedJobs[[#This Row],[ACTUAL MARGIN]]-CompletedJobs[[#This Row],[Live Margin]]</f>
        <v>-2.2160344646304786E-5</v>
      </c>
      <c r="L13" s="5">
        <f>SUM(Table18[[#This Row],[Margin]]-Table18[[#This Row],[Prev. Margin]])</f>
        <v>0</v>
      </c>
      <c r="M13" s="16"/>
      <c r="N13" s="16"/>
      <c r="O13" s="91">
        <v>0.17</v>
      </c>
      <c r="P13" s="91"/>
      <c r="R13" s="11"/>
    </row>
    <row r="14" spans="2:21" x14ac:dyDescent="0.35">
      <c r="B14" s="7" t="s">
        <v>28</v>
      </c>
      <c r="C14" s="4" t="s">
        <v>177</v>
      </c>
      <c r="D14" s="4" t="s">
        <v>176</v>
      </c>
      <c r="E14" s="77">
        <v>44315</v>
      </c>
      <c r="F14" s="77">
        <v>44317</v>
      </c>
      <c r="G14" s="79">
        <v>969.24</v>
      </c>
      <c r="H14" s="79">
        <v>861.11</v>
      </c>
      <c r="I14" s="5">
        <f>SUM(CompletedJobs[[#This Row],[BILLINGS]]-CompletedJobs[[#This Row],[COST]])/CompletedJobs[[#This Row],[BILLINGS]]</f>
        <v>0.11156163592092773</v>
      </c>
      <c r="J14" s="150">
        <v>0.16039999999999999</v>
      </c>
      <c r="K14" s="134">
        <f>CompletedJobs[[#This Row],[ACTUAL MARGIN]]-CompletedJobs[[#This Row],[Live Margin]]</f>
        <v>4.8838364079072258E-2</v>
      </c>
      <c r="L14" s="5">
        <f>SUM(Table18[[#This Row],[Margin]]-Table18[[#This Row],[Prev. Margin]])</f>
        <v>4.1417296389588493E-2</v>
      </c>
      <c r="M14" s="16"/>
      <c r="N14" s="16"/>
      <c r="O14" s="91">
        <v>0.17</v>
      </c>
      <c r="P14" s="91"/>
      <c r="R14" s="11"/>
    </row>
    <row r="15" spans="2:21" x14ac:dyDescent="0.35">
      <c r="B15" s="7" t="s">
        <v>28</v>
      </c>
      <c r="C15" s="23" t="s">
        <v>10</v>
      </c>
      <c r="D15" s="23" t="s">
        <v>131</v>
      </c>
      <c r="E15" s="35">
        <v>44305</v>
      </c>
      <c r="F15" s="35">
        <v>44308</v>
      </c>
      <c r="G15" s="39">
        <v>4632.32</v>
      </c>
      <c r="H15" s="39">
        <v>4246.5</v>
      </c>
      <c r="I15" s="5">
        <f>SUM(CompletedJobs[[#This Row],[BILLINGS]]-CompletedJobs[[#This Row],[COST]])/CompletedJobs[[#This Row],[BILLINGS]]</f>
        <v>8.3288719259463878E-2</v>
      </c>
      <c r="J15" s="150">
        <v>9.4500000000000001E-2</v>
      </c>
      <c r="K15" s="134">
        <f>CompletedJobs[[#This Row],[ACTUAL MARGIN]]-CompletedJobs[[#This Row],[Live Margin]]</f>
        <v>1.1211280740536123E-2</v>
      </c>
      <c r="L15" s="5">
        <f>SUM(Table18[[#This Row],[Margin]]-Table18[[#This Row],[Prev. Margin]])</f>
        <v>0</v>
      </c>
      <c r="M15" s="16"/>
      <c r="N15" s="16"/>
      <c r="O15" s="91">
        <v>0.17</v>
      </c>
      <c r="P15" s="91"/>
      <c r="R15" s="11"/>
    </row>
    <row r="16" spans="2:21" x14ac:dyDescent="0.35">
      <c r="B16" s="7" t="s">
        <v>28</v>
      </c>
      <c r="C16" s="23" t="s">
        <v>132</v>
      </c>
      <c r="D16" s="23" t="s">
        <v>133</v>
      </c>
      <c r="E16" s="35">
        <v>44305</v>
      </c>
      <c r="F16" s="35">
        <v>44307</v>
      </c>
      <c r="G16" s="39">
        <v>1662.7599999999998</v>
      </c>
      <c r="H16" s="39">
        <v>1335.39</v>
      </c>
      <c r="I16" s="5">
        <f>SUM(CompletedJobs[[#This Row],[BILLINGS]]-CompletedJobs[[#This Row],[COST]])/CompletedJobs[[#This Row],[BILLINGS]]</f>
        <v>0.19688349491207371</v>
      </c>
      <c r="J16" s="149">
        <v>0.23949999999999999</v>
      </c>
      <c r="K16" s="134">
        <f>CompletedJobs[[#This Row],[ACTUAL MARGIN]]-CompletedJobs[[#This Row],[Live Margin]]</f>
        <v>4.2616505087926276E-2</v>
      </c>
      <c r="L16" s="5">
        <f>SUM(Table18[[#This Row],[Margin]]-Table18[[#This Row],[Prev. Margin]])</f>
        <v>0</v>
      </c>
      <c r="M16" s="16"/>
      <c r="N16" s="16"/>
      <c r="O16" s="91">
        <v>0.17</v>
      </c>
      <c r="P16" s="91"/>
    </row>
    <row r="17" spans="2:16" x14ac:dyDescent="0.35">
      <c r="B17" s="7" t="s">
        <v>28</v>
      </c>
      <c r="C17" s="8" t="s">
        <v>134</v>
      </c>
      <c r="D17" s="8" t="s">
        <v>135</v>
      </c>
      <c r="E17" s="77">
        <v>44304</v>
      </c>
      <c r="F17" s="77">
        <v>44305</v>
      </c>
      <c r="G17" s="79">
        <v>2951.16</v>
      </c>
      <c r="H17" s="79">
        <v>2596.9199999999996</v>
      </c>
      <c r="I17" s="5">
        <f>SUM(CompletedJobs[[#This Row],[BILLINGS]]-CompletedJobs[[#This Row],[COST]])/CompletedJobs[[#This Row],[BILLINGS]]</f>
        <v>0.12003415606066775</v>
      </c>
      <c r="J17" s="149">
        <v>0.29360000000000003</v>
      </c>
      <c r="K17" s="134">
        <f>CompletedJobs[[#This Row],[ACTUAL MARGIN]]-CompletedJobs[[#This Row],[Live Margin]]</f>
        <v>0.17356584393933228</v>
      </c>
      <c r="L17" s="5">
        <f>SUM(Table18[[#This Row],[Margin]]-Table18[[#This Row],[Prev. Margin]])</f>
        <v>0</v>
      </c>
      <c r="M17" s="16"/>
      <c r="N17" s="16"/>
      <c r="O17" s="91">
        <v>0.17</v>
      </c>
      <c r="P17" s="91"/>
    </row>
    <row r="18" spans="2:16" x14ac:dyDescent="0.35">
      <c r="B18" s="7" t="s">
        <v>28</v>
      </c>
      <c r="C18" s="4" t="s">
        <v>299</v>
      </c>
      <c r="D18" s="4" t="s">
        <v>298</v>
      </c>
      <c r="E18" s="77">
        <v>44329</v>
      </c>
      <c r="F18" s="77">
        <v>44331</v>
      </c>
      <c r="G18" s="78">
        <v>1101.3899999999999</v>
      </c>
      <c r="H18" s="78">
        <v>890.11</v>
      </c>
      <c r="I18" s="5">
        <f>SUM(CompletedJobs[[#This Row],[BILLINGS]]-CompletedJobs[[#This Row],[COST]])/CompletedJobs[[#This Row],[BILLINGS]]</f>
        <v>0.19183032350030405</v>
      </c>
      <c r="J18" s="149">
        <v>0.22850000000000001</v>
      </c>
      <c r="K18" s="134">
        <f>CompletedJobs[[#This Row],[ACTUAL MARGIN]]-CompletedJobs[[#This Row],[Live Margin]]</f>
        <v>3.6669676499695963E-2</v>
      </c>
      <c r="L18" s="5">
        <f>SUM(Table18[[#This Row],[Margin]]-Table18[[#This Row],[Prev. Margin]])</f>
        <v>0</v>
      </c>
      <c r="M18" s="16"/>
      <c r="N18" s="16"/>
      <c r="O18" s="91">
        <v>0.17</v>
      </c>
      <c r="P18" s="91"/>
    </row>
    <row r="19" spans="2:16" x14ac:dyDescent="0.35">
      <c r="B19" s="7" t="s">
        <v>29</v>
      </c>
      <c r="C19" s="8" t="s">
        <v>122</v>
      </c>
      <c r="D19" s="8" t="s">
        <v>123</v>
      </c>
      <c r="E19" s="77">
        <v>44298</v>
      </c>
      <c r="F19" s="77">
        <v>44300</v>
      </c>
      <c r="G19" s="78">
        <v>3088.7999999999997</v>
      </c>
      <c r="H19" s="78">
        <v>2680.6500000000005</v>
      </c>
      <c r="I19" s="5">
        <f>SUM(CompletedJobs[[#This Row],[BILLINGS]]-CompletedJobs[[#This Row],[COST]])/CompletedJobs[[#This Row],[BILLINGS]]</f>
        <v>0.13213869463869438</v>
      </c>
      <c r="J19" s="149">
        <v>0.18970000000000001</v>
      </c>
      <c r="K19" s="134">
        <f>CompletedJobs[[#This Row],[ACTUAL MARGIN]]-CompletedJobs[[#This Row],[Live Margin]]</f>
        <v>5.7561305361305631E-2</v>
      </c>
      <c r="L19" s="5">
        <f>SUM(Table18[[#This Row],[Margin]]-Table18[[#This Row],[Prev. Margin]])</f>
        <v>0</v>
      </c>
      <c r="M19" s="16"/>
      <c r="N19" s="16"/>
      <c r="O19" s="91">
        <v>0.17</v>
      </c>
      <c r="P19" s="91"/>
    </row>
    <row r="20" spans="2:16" x14ac:dyDescent="0.35">
      <c r="B20" s="7" t="s">
        <v>29</v>
      </c>
      <c r="C20" s="4" t="s">
        <v>179</v>
      </c>
      <c r="D20" s="4" t="s">
        <v>178</v>
      </c>
      <c r="E20" s="77">
        <v>44319</v>
      </c>
      <c r="F20" s="77">
        <v>44321</v>
      </c>
      <c r="G20" s="78">
        <v>3727.35</v>
      </c>
      <c r="H20" s="78">
        <v>3097.84</v>
      </c>
      <c r="I20" s="5">
        <f>SUM(CompletedJobs[[#This Row],[BILLINGS]]-CompletedJobs[[#This Row],[COST]])/CompletedJobs[[#This Row],[BILLINGS]]</f>
        <v>0.16888942546313057</v>
      </c>
      <c r="J20" s="149">
        <v>0.20169999999999999</v>
      </c>
      <c r="K20" s="134">
        <f>CompletedJobs[[#This Row],[ACTUAL MARGIN]]-CompletedJobs[[#This Row],[Live Margin]]</f>
        <v>3.2810574536869419E-2</v>
      </c>
      <c r="L20" s="5">
        <f>SUM(Table18[[#This Row],[Margin]]-Table18[[#This Row],[Prev. Margin]])</f>
        <v>0</v>
      </c>
      <c r="M20" s="16"/>
      <c r="N20" s="16"/>
      <c r="O20" s="91">
        <v>0.17</v>
      </c>
      <c r="P20" s="91"/>
    </row>
    <row r="21" spans="2:16" x14ac:dyDescent="0.35">
      <c r="B21" s="7" t="s">
        <v>29</v>
      </c>
      <c r="C21" s="4" t="s">
        <v>249</v>
      </c>
      <c r="D21" s="4" t="s">
        <v>248</v>
      </c>
      <c r="E21" s="77">
        <v>44326</v>
      </c>
      <c r="F21" s="77">
        <v>44328</v>
      </c>
      <c r="G21" s="78">
        <v>3088.7999999999997</v>
      </c>
      <c r="H21" s="78">
        <v>2951.5</v>
      </c>
      <c r="I21" s="5">
        <f>SUM(CompletedJobs[[#This Row],[BILLINGS]]-CompletedJobs[[#This Row],[COST]])/CompletedJobs[[#This Row],[BILLINGS]]</f>
        <v>4.445091945091937E-2</v>
      </c>
      <c r="J21" s="150">
        <v>-2.8799999999999999E-2</v>
      </c>
      <c r="K21" s="134">
        <f>CompletedJobs[[#This Row],[ACTUAL MARGIN]]-CompletedJobs[[#This Row],[Live Margin]]</f>
        <v>-7.3250919450919369E-2</v>
      </c>
      <c r="L21" s="5">
        <f>SUM(Table18[[#This Row],[Margin]]-Table18[[#This Row],[Prev. Margin]])</f>
        <v>0</v>
      </c>
      <c r="M21" s="16"/>
      <c r="N21" s="16"/>
      <c r="O21" s="91">
        <v>0.17</v>
      </c>
      <c r="P21" s="91"/>
    </row>
    <row r="22" spans="2:16" ht="17.5" customHeight="1" x14ac:dyDescent="0.35">
      <c r="B22" s="7" t="s">
        <v>30</v>
      </c>
      <c r="C22" s="4" t="s">
        <v>9</v>
      </c>
      <c r="D22" s="4" t="s">
        <v>181</v>
      </c>
      <c r="E22" s="77">
        <v>44262</v>
      </c>
      <c r="F22" s="77">
        <v>44286</v>
      </c>
      <c r="G22" s="79">
        <v>66497.5</v>
      </c>
      <c r="H22" s="79">
        <v>54475.82</v>
      </c>
      <c r="I22" s="5">
        <f>SUM(CompletedJobs[[#This Row],[BILLINGS]]-CompletedJobs[[#This Row],[COST]])/CompletedJobs[[#This Row],[BILLINGS]]</f>
        <v>0.1807839392458363</v>
      </c>
      <c r="J22" s="149">
        <v>0.19259999999999999</v>
      </c>
      <c r="K22" s="134">
        <f>CompletedJobs[[#This Row],[ACTUAL MARGIN]]-CompletedJobs[[#This Row],[Live Margin]]</f>
        <v>1.1816060754163693E-2</v>
      </c>
      <c r="L22" s="5">
        <f>SUM(Table18[[#This Row],[Margin]]-Table18[[#This Row],[Prev. Margin]])</f>
        <v>0.17829909741674455</v>
      </c>
      <c r="M22" s="16"/>
      <c r="N22" s="16"/>
      <c r="O22" s="91">
        <v>0.17</v>
      </c>
      <c r="P22" s="91"/>
    </row>
    <row r="23" spans="2:16" ht="17.5" customHeight="1" x14ac:dyDescent="0.35">
      <c r="B23" s="7" t="s">
        <v>30</v>
      </c>
      <c r="C23" s="8" t="s">
        <v>33</v>
      </c>
      <c r="D23" s="8" t="s">
        <v>32</v>
      </c>
      <c r="E23" s="9">
        <v>44262</v>
      </c>
      <c r="F23" s="9">
        <v>44285</v>
      </c>
      <c r="G23" s="6">
        <v>62854.3</v>
      </c>
      <c r="H23" s="6">
        <v>52444.55</v>
      </c>
      <c r="I23" s="5">
        <f>SUM(CompletedJobs[[#This Row],[BILLINGS]]-CompletedJobs[[#This Row],[COST]])/CompletedJobs[[#This Row],[BILLINGS]]</f>
        <v>0.16561714950289796</v>
      </c>
      <c r="J23" s="149">
        <v>0.21579999999999999</v>
      </c>
      <c r="K23" s="134">
        <f>CompletedJobs[[#This Row],[ACTUAL MARGIN]]-CompletedJobs[[#This Row],[Live Margin]]</f>
        <v>5.0182850497102027E-2</v>
      </c>
      <c r="L23" s="5">
        <f>SUM(Table18[[#This Row],[Margin]]-Table18[[#This Row],[Prev. Margin]])</f>
        <v>0.18680327159425303</v>
      </c>
      <c r="M23" s="16"/>
      <c r="N23" s="16"/>
      <c r="O23" s="91">
        <v>0.17</v>
      </c>
      <c r="P23" s="91"/>
    </row>
    <row r="24" spans="2:16" ht="17.5" customHeight="1" x14ac:dyDescent="0.35">
      <c r="B24" s="7" t="s">
        <v>30</v>
      </c>
      <c r="C24" s="8" t="s">
        <v>124</v>
      </c>
      <c r="D24" s="8" t="s">
        <v>125</v>
      </c>
      <c r="E24" s="77">
        <v>44290</v>
      </c>
      <c r="F24" s="77">
        <v>42826</v>
      </c>
      <c r="G24" s="79">
        <v>6176.75</v>
      </c>
      <c r="H24" s="79">
        <v>4754.05</v>
      </c>
      <c r="I24" s="5">
        <f>SUM(CompletedJobs[[#This Row],[BILLINGS]]-CompletedJobs[[#This Row],[COST]])/CompletedJobs[[#This Row],[BILLINGS]]</f>
        <v>0.23033148500424977</v>
      </c>
      <c r="J24" s="149">
        <v>0.27900000000000003</v>
      </c>
      <c r="K24" s="134">
        <f>CompletedJobs[[#This Row],[ACTUAL MARGIN]]-CompletedJobs[[#This Row],[Live Margin]]</f>
        <v>4.8668514995750256E-2</v>
      </c>
      <c r="L24" s="5">
        <f>SUM(Table18[[#This Row],[Margin]]-Table18[[#This Row],[Prev. Margin]])</f>
        <v>0.17436818417863945</v>
      </c>
      <c r="M24" s="16"/>
      <c r="N24" s="16"/>
      <c r="O24" s="91">
        <v>0.17</v>
      </c>
      <c r="P24" s="91"/>
    </row>
    <row r="25" spans="2:16" ht="17.5" customHeight="1" x14ac:dyDescent="0.35">
      <c r="B25" s="7" t="s">
        <v>30</v>
      </c>
      <c r="C25" s="4" t="s">
        <v>255</v>
      </c>
      <c r="D25" s="4" t="s">
        <v>254</v>
      </c>
      <c r="E25" s="77">
        <v>45292</v>
      </c>
      <c r="F25" s="77">
        <v>44288</v>
      </c>
      <c r="G25" s="79">
        <v>9885.2999999999993</v>
      </c>
      <c r="H25" s="79">
        <v>8401.39</v>
      </c>
      <c r="I25" s="5">
        <f>SUM(CompletedJobs[[#This Row],[BILLINGS]]-CompletedJobs[[#This Row],[COST]])/CompletedJobs[[#This Row],[BILLINGS]]</f>
        <v>0.15011279374424649</v>
      </c>
      <c r="J25" s="150">
        <v>0.1986</v>
      </c>
      <c r="K25" s="134">
        <f>CompletedJobs[[#This Row],[ACTUAL MARGIN]]-CompletedJobs[[#This Row],[Live Margin]]</f>
        <v>4.8487206255753507E-2</v>
      </c>
      <c r="L25" s="5">
        <f>SUM(Table18[[#This Row],[Margin]]-Table18[[#This Row],[Prev. Margin]])</f>
        <v>0.14509368458671565</v>
      </c>
      <c r="M25" s="16"/>
      <c r="N25" s="16"/>
      <c r="O25" s="91">
        <v>0.17</v>
      </c>
      <c r="P25" s="91"/>
    </row>
    <row r="26" spans="2:16" ht="17.5" customHeight="1" x14ac:dyDescent="0.35">
      <c r="B26" s="7" t="s">
        <v>30</v>
      </c>
      <c r="C26" s="23" t="s">
        <v>253</v>
      </c>
      <c r="D26" s="4" t="s">
        <v>252</v>
      </c>
      <c r="E26" s="24">
        <v>44256</v>
      </c>
      <c r="F26" s="24">
        <v>11383</v>
      </c>
      <c r="G26" s="25">
        <v>45119.05</v>
      </c>
      <c r="H26" s="25">
        <v>36960.610000000015</v>
      </c>
      <c r="I26" s="5">
        <f>SUM(CompletedJobs[[#This Row],[BILLINGS]]-CompletedJobs[[#This Row],[COST]])/CompletedJobs[[#This Row],[BILLINGS]]</f>
        <v>0.18082029652663315</v>
      </c>
      <c r="J26" s="150">
        <v>0.22520000000000001</v>
      </c>
      <c r="K26" s="134">
        <f>CompletedJobs[[#This Row],[ACTUAL MARGIN]]-CompletedJobs[[#This Row],[Live Margin]]</f>
        <v>4.4379703473366866E-2</v>
      </c>
      <c r="L26" s="5">
        <f>SUM(Table18[[#This Row],[Margin]]-Table18[[#This Row],[Prev. Margin]])</f>
        <v>6.5478821362799242E-2</v>
      </c>
      <c r="M26" s="16"/>
      <c r="N26" s="16"/>
      <c r="O26" s="91">
        <v>0.17</v>
      </c>
      <c r="P26" s="91"/>
    </row>
    <row r="27" spans="2:16" ht="17.5" customHeight="1" x14ac:dyDescent="0.35">
      <c r="B27" s="7" t="s">
        <v>30</v>
      </c>
      <c r="C27" s="4" t="s">
        <v>183</v>
      </c>
      <c r="D27" s="4" t="s">
        <v>182</v>
      </c>
      <c r="E27" s="77">
        <v>44311</v>
      </c>
      <c r="F27" s="77">
        <v>43954</v>
      </c>
      <c r="G27" s="79">
        <v>5955</v>
      </c>
      <c r="H27" s="79">
        <v>4954.6799999999994</v>
      </c>
      <c r="I27" s="5">
        <f>SUM(CompletedJobs[[#This Row],[BILLINGS]]-CompletedJobs[[#This Row],[COST]])/CompletedJobs[[#This Row],[BILLINGS]]</f>
        <v>0.16797984886649883</v>
      </c>
      <c r="J27" s="149">
        <v>0.16200000000000001</v>
      </c>
      <c r="K27" s="134">
        <f>CompletedJobs[[#This Row],[ACTUAL MARGIN]]-CompletedJobs[[#This Row],[Live Margin]]</f>
        <v>-5.979848866498827E-3</v>
      </c>
      <c r="L27" s="5">
        <f>SUM(Table18[[#This Row],[Margin]]-Table18[[#This Row],[Prev. Margin]])</f>
        <v>9.7890028939752835E-2</v>
      </c>
      <c r="M27" s="16"/>
      <c r="N27" s="16"/>
      <c r="O27" s="91">
        <v>0.17</v>
      </c>
      <c r="P27" s="91"/>
    </row>
    <row r="28" spans="2:16" ht="17.5" customHeight="1" x14ac:dyDescent="0.35">
      <c r="B28" s="7" t="s">
        <v>30</v>
      </c>
      <c r="C28" s="4" t="s">
        <v>251</v>
      </c>
      <c r="D28" s="4" t="s">
        <v>250</v>
      </c>
      <c r="E28" s="77">
        <v>44276</v>
      </c>
      <c r="F28" s="77">
        <v>44317</v>
      </c>
      <c r="G28" s="79">
        <v>50661.609999999993</v>
      </c>
      <c r="H28" s="79">
        <v>45509.439999999988</v>
      </c>
      <c r="I28" s="5">
        <f>SUM(CompletedJobs[[#This Row],[BILLINGS]]-CompletedJobs[[#This Row],[COST]])/CompletedJobs[[#This Row],[BILLINGS]]</f>
        <v>0.10169771548910518</v>
      </c>
      <c r="J28" s="150">
        <v>0.1512</v>
      </c>
      <c r="K28" s="134">
        <f>CompletedJobs[[#This Row],[ACTUAL MARGIN]]-CompletedJobs[[#This Row],[Live Margin]]</f>
        <v>4.950228451089482E-2</v>
      </c>
      <c r="L28" s="5">
        <f>SUM(Table18[[#This Row],[Margin]]-Table18[[#This Row],[Prev. Margin]])</f>
        <v>0.10254755318785644</v>
      </c>
      <c r="M28" s="16"/>
      <c r="N28" s="16"/>
      <c r="O28" s="91">
        <v>0.17</v>
      </c>
      <c r="P28" s="91"/>
    </row>
    <row r="29" spans="2:16" ht="17.5" customHeight="1" x14ac:dyDescent="0.35">
      <c r="B29" s="7" t="s">
        <v>30</v>
      </c>
      <c r="C29" s="8" t="s">
        <v>126</v>
      </c>
      <c r="D29" s="8" t="s">
        <v>127</v>
      </c>
      <c r="E29" s="9">
        <v>44292</v>
      </c>
      <c r="F29" s="9">
        <v>44296</v>
      </c>
      <c r="G29" s="6">
        <v>9131</v>
      </c>
      <c r="H29" s="6">
        <v>7328.98</v>
      </c>
      <c r="I29" s="5">
        <f>SUM(CompletedJobs[[#This Row],[BILLINGS]]-CompletedJobs[[#This Row],[COST]])/CompletedJobs[[#This Row],[BILLINGS]]</f>
        <v>0.19735187821706279</v>
      </c>
      <c r="J29" s="149">
        <v>0.23980000000000001</v>
      </c>
      <c r="K29" s="134">
        <f>CompletedJobs[[#This Row],[ACTUAL MARGIN]]-CompletedJobs[[#This Row],[Live Margin]]</f>
        <v>4.244812178293722E-2</v>
      </c>
      <c r="L29" s="5">
        <f>SUM(Table18[[#This Row],[Margin]]-Table18[[#This Row],[Prev. Margin]])</f>
        <v>0.10069630798912581</v>
      </c>
      <c r="M29" s="16"/>
      <c r="N29" s="16"/>
      <c r="O29" s="91">
        <v>0.17</v>
      </c>
      <c r="P29" s="91"/>
    </row>
    <row r="30" spans="2:16" ht="17.5" customHeight="1" x14ac:dyDescent="0.35">
      <c r="B30" s="7" t="s">
        <v>30</v>
      </c>
      <c r="C30" s="4" t="s">
        <v>185</v>
      </c>
      <c r="D30" s="4" t="s">
        <v>184</v>
      </c>
      <c r="E30" s="77">
        <v>44297</v>
      </c>
      <c r="F30" s="77">
        <v>44319</v>
      </c>
      <c r="G30" s="79">
        <v>71847.074999999997</v>
      </c>
      <c r="H30" s="79">
        <v>55742.510000000038</v>
      </c>
      <c r="I30" s="5">
        <f>SUM(CompletedJobs[[#This Row],[BILLINGS]]-CompletedJobs[[#This Row],[COST]])/CompletedJobs[[#This Row],[BILLINGS]]</f>
        <v>0.22415060042458179</v>
      </c>
      <c r="J30" s="149">
        <v>0.25269999999999998</v>
      </c>
      <c r="K30" s="134">
        <f>CompletedJobs[[#This Row],[ACTUAL MARGIN]]-CompletedJobs[[#This Row],[Live Margin]]</f>
        <v>2.8549399575418188E-2</v>
      </c>
      <c r="L30" s="5">
        <f>SUM(Table18[[#This Row],[Margin]]-Table18[[#This Row],[Prev. Margin]])</f>
        <v>0.10960602717702686</v>
      </c>
      <c r="M30" s="16"/>
      <c r="N30" s="16"/>
      <c r="O30" s="91">
        <v>0.17</v>
      </c>
      <c r="P30" s="91"/>
    </row>
    <row r="31" spans="2:16" ht="17.5" customHeight="1" x14ac:dyDescent="0.35">
      <c r="B31" s="7" t="s">
        <v>30</v>
      </c>
      <c r="C31" s="4" t="s">
        <v>301</v>
      </c>
      <c r="D31" s="4" t="s">
        <v>300</v>
      </c>
      <c r="E31" s="77">
        <v>44325</v>
      </c>
      <c r="F31" s="77">
        <v>44332</v>
      </c>
      <c r="G31" s="79">
        <v>4486.1000000000004</v>
      </c>
      <c r="H31" s="79">
        <v>3321.7800000000007</v>
      </c>
      <c r="I31" s="5">
        <f>SUM(CompletedJobs[[#This Row],[BILLINGS]]-CompletedJobs[[#This Row],[COST]])/CompletedJobs[[#This Row],[BILLINGS]]</f>
        <v>0.25953946635161934</v>
      </c>
      <c r="J31" s="149">
        <v>0.2954</v>
      </c>
      <c r="K31" s="134">
        <f>CompletedJobs[[#This Row],[ACTUAL MARGIN]]-CompletedJobs[[#This Row],[Live Margin]]</f>
        <v>3.5860533648380655E-2</v>
      </c>
      <c r="L31" s="5">
        <f>SUM(Table18[[#This Row],[Margin]]-Table18[[#This Row],[Prev. Margin]])</f>
        <v>0.13593418375161381</v>
      </c>
      <c r="M31" s="16"/>
      <c r="N31" s="16"/>
      <c r="O31" s="91">
        <v>0.17</v>
      </c>
      <c r="P31" s="91"/>
    </row>
    <row r="32" spans="2:16" ht="17.5" customHeight="1" x14ac:dyDescent="0.35">
      <c r="B32" s="4" t="s">
        <v>30</v>
      </c>
      <c r="C32" s="4" t="s">
        <v>303</v>
      </c>
      <c r="D32" s="4" t="s">
        <v>302</v>
      </c>
      <c r="E32" s="77">
        <v>44297</v>
      </c>
      <c r="F32" s="77">
        <v>44305</v>
      </c>
      <c r="G32" s="79">
        <v>9199.58</v>
      </c>
      <c r="H32" s="79">
        <v>8341.369999999999</v>
      </c>
      <c r="I32" s="5">
        <f>SUM(CompletedJobs[[#This Row],[BILLINGS]]-CompletedJobs[[#This Row],[COST]])/CompletedJobs[[#This Row],[BILLINGS]]</f>
        <v>9.3287954450094565E-2</v>
      </c>
      <c r="J32" s="149">
        <v>0.1024</v>
      </c>
      <c r="K32" s="134">
        <f>CompletedJobs[[#This Row],[ACTUAL MARGIN]]-CompletedJobs[[#This Row],[Live Margin]]</f>
        <v>9.1120455499054398E-3</v>
      </c>
      <c r="L32" s="5">
        <f>SUM(Table18[[#This Row],[Margin]]-Table18[[#This Row],[Prev. Margin]])</f>
        <v>0.1066644968601622</v>
      </c>
      <c r="M32" s="16"/>
      <c r="N32" s="16"/>
      <c r="O32" s="91">
        <v>0.17</v>
      </c>
      <c r="P32" s="91"/>
    </row>
    <row r="33" spans="2:16" ht="17.5" customHeight="1" x14ac:dyDescent="0.35">
      <c r="B33" s="7" t="s">
        <v>30</v>
      </c>
      <c r="C33" s="23" t="s">
        <v>187</v>
      </c>
      <c r="D33" s="136" t="s">
        <v>186</v>
      </c>
      <c r="E33" s="24">
        <v>44304</v>
      </c>
      <c r="F33" s="24">
        <v>44322</v>
      </c>
      <c r="G33" s="25">
        <v>25131.600000000002</v>
      </c>
      <c r="H33" s="25">
        <v>21033.469999999994</v>
      </c>
      <c r="I33" s="5">
        <f>SUM(CompletedJobs[[#This Row],[BILLINGS]]-CompletedJobs[[#This Row],[COST]])/CompletedJobs[[#This Row],[BILLINGS]]</f>
        <v>0.1630668162791071</v>
      </c>
      <c r="J33" s="149">
        <v>0.15670000000000001</v>
      </c>
      <c r="K33" s="134">
        <f>CompletedJobs[[#This Row],[ACTUAL MARGIN]]-CompletedJobs[[#This Row],[Live Margin]]</f>
        <v>-6.3668162791070959E-3</v>
      </c>
      <c r="L33" s="5">
        <f>SUM(Table18[[#This Row],[Margin]]-Table18[[#This Row],[Prev. Margin]])</f>
        <v>7.8827538893372351E-4</v>
      </c>
      <c r="M33" s="16"/>
      <c r="N33" s="16"/>
      <c r="O33" s="91">
        <v>0.17</v>
      </c>
      <c r="P33" s="91"/>
    </row>
    <row r="34" spans="2:16" ht="17.5" customHeight="1" x14ac:dyDescent="0.35">
      <c r="B34" s="7" t="s">
        <v>30</v>
      </c>
      <c r="C34" s="8" t="s">
        <v>128</v>
      </c>
      <c r="D34" s="8" t="s">
        <v>129</v>
      </c>
      <c r="E34" s="77">
        <v>44304</v>
      </c>
      <c r="F34" s="77">
        <v>44305</v>
      </c>
      <c r="G34" s="79">
        <v>1191</v>
      </c>
      <c r="H34" s="79">
        <v>1454.06</v>
      </c>
      <c r="I34" s="5">
        <f>SUM(CompletedJobs[[#This Row],[BILLINGS]]-CompletedJobs[[#This Row],[COST]])/CompletedJobs[[#This Row],[BILLINGS]]</f>
        <v>-0.22087321578505453</v>
      </c>
      <c r="J34" s="149">
        <v>-0.1593</v>
      </c>
      <c r="K34" s="134">
        <f>CompletedJobs[[#This Row],[ACTUAL MARGIN]]-CompletedJobs[[#This Row],[Live Margin]]</f>
        <v>6.1573215785054536E-2</v>
      </c>
      <c r="L34" s="5">
        <f>SUM(Table18[[#This Row],[Margin]]-Table18[[#This Row],[Prev. Margin]])</f>
        <v>-1.4434885269231201E-2</v>
      </c>
      <c r="M34" s="16"/>
      <c r="N34" s="16"/>
      <c r="O34" s="91">
        <v>0.17</v>
      </c>
      <c r="P34" s="91"/>
    </row>
    <row r="35" spans="2:16" ht="17.5" customHeight="1" x14ac:dyDescent="0.35">
      <c r="B35" s="7" t="s">
        <v>30</v>
      </c>
      <c r="C35" s="8" t="s">
        <v>33</v>
      </c>
      <c r="D35" s="8" t="s">
        <v>130</v>
      </c>
      <c r="E35" s="77">
        <v>44298</v>
      </c>
      <c r="F35" s="77">
        <v>44300</v>
      </c>
      <c r="G35" s="79">
        <v>2382</v>
      </c>
      <c r="H35" s="79">
        <v>2229.8999999999996</v>
      </c>
      <c r="I35" s="5">
        <f>SUM(CompletedJobs[[#This Row],[BILLINGS]]-CompletedJobs[[#This Row],[COST]])/CompletedJobs[[#This Row],[BILLINGS]]</f>
        <v>6.3853904282116028E-2</v>
      </c>
      <c r="J35" s="150">
        <v>9.2999999999999999E-2</v>
      </c>
      <c r="K35" s="134">
        <f>CompletedJobs[[#This Row],[ACTUAL MARGIN]]-CompletedJobs[[#This Row],[Live Margin]]</f>
        <v>2.9146095717883971E-2</v>
      </c>
      <c r="L35" s="5">
        <f>SUM(Table18[[#This Row],[Margin]]-Table18[[#This Row],[Prev. Margin]])</f>
        <v>7.2671181294870768E-3</v>
      </c>
      <c r="M35" s="16"/>
      <c r="N35" s="16"/>
      <c r="O35" s="91">
        <v>0.17</v>
      </c>
      <c r="P35" s="91"/>
    </row>
    <row r="36" spans="2:16" ht="17.5" customHeight="1" x14ac:dyDescent="0.35">
      <c r="B36" s="7" t="s">
        <v>30</v>
      </c>
      <c r="C36" s="4" t="s">
        <v>189</v>
      </c>
      <c r="D36" s="4" t="s">
        <v>188</v>
      </c>
      <c r="E36" s="77">
        <v>44317</v>
      </c>
      <c r="F36" s="77">
        <v>44321</v>
      </c>
      <c r="G36" s="79">
        <v>992.5</v>
      </c>
      <c r="H36" s="79">
        <v>1087.57</v>
      </c>
      <c r="I36" s="5">
        <f>SUM(CompletedJobs[[#This Row],[BILLINGS]]-CompletedJobs[[#This Row],[COST]])/CompletedJobs[[#This Row],[BILLINGS]]</f>
        <v>-9.5788413098236713E-2</v>
      </c>
      <c r="J36" s="149">
        <v>-1.9800000000000002E-2</v>
      </c>
      <c r="K36" s="134">
        <f>CompletedJobs[[#This Row],[ACTUAL MARGIN]]-CompletedJobs[[#This Row],[Live Margin]]</f>
        <v>7.5988413098236715E-2</v>
      </c>
      <c r="L36" s="5">
        <f>SUM(Table18[[#This Row],[Margin]]-Table18[[#This Row],[Prev. Margin]])</f>
        <v>2.7176153676173542E-2</v>
      </c>
      <c r="M36" s="16"/>
      <c r="N36" s="16"/>
      <c r="O36" s="91">
        <v>0.17</v>
      </c>
      <c r="P36" s="91"/>
    </row>
    <row r="37" spans="2:16" x14ac:dyDescent="0.35">
      <c r="B37" s="7" t="s">
        <v>28</v>
      </c>
      <c r="C37" s="8" t="s">
        <v>83</v>
      </c>
      <c r="D37" s="8" t="s">
        <v>81</v>
      </c>
      <c r="E37" s="9">
        <v>44340</v>
      </c>
      <c r="F37" s="9">
        <v>44342</v>
      </c>
      <c r="G37" s="6">
        <v>1428.66</v>
      </c>
      <c r="H37" s="6">
        <v>1146.6600000000001</v>
      </c>
      <c r="I37" s="5">
        <v>0.27539999999999998</v>
      </c>
      <c r="J37" s="149">
        <v>0.29970000000000002</v>
      </c>
      <c r="K37" s="134">
        <f>CompletedJobs[[#This Row],[ACTUAL MARGIN]]-CompletedJobs[[#This Row],[Live Margin]]</f>
        <v>2.4300000000000044E-2</v>
      </c>
      <c r="L37" s="5">
        <f>SUM(Table18[[#This Row],[Margin]]-Table18[[#This Row],[Prev. Margin]])</f>
        <v>0</v>
      </c>
      <c r="M37" s="16"/>
      <c r="N37" s="16"/>
      <c r="O37" s="91">
        <v>0.17</v>
      </c>
      <c r="P37" s="91"/>
    </row>
    <row r="38" spans="2:16" x14ac:dyDescent="0.35">
      <c r="B38" s="7"/>
      <c r="C38" s="8"/>
      <c r="D38" s="8"/>
      <c r="E38" s="9"/>
      <c r="F38" s="9"/>
      <c r="G38" s="6"/>
      <c r="H38" s="81"/>
      <c r="I38" s="5"/>
      <c r="J38" s="10"/>
      <c r="K38" s="134">
        <f>CompletedJobs[[#This Row],[ACTUAL MARGIN]]-CompletedJobs[[#This Row],[Live Margin]]</f>
        <v>0</v>
      </c>
      <c r="L38" s="5">
        <f>SUM(Table18[[#This Row],[Margin]]-Table18[[#This Row],[Prev. Margin]])</f>
        <v>1.5215829654232543E-2</v>
      </c>
      <c r="M38" s="16"/>
      <c r="N38" s="16"/>
      <c r="O38" s="91">
        <v>0.17</v>
      </c>
      <c r="P38" s="91"/>
    </row>
    <row r="39" spans="2:16" x14ac:dyDescent="0.35">
      <c r="B39" s="7"/>
      <c r="C39" s="8"/>
      <c r="D39" s="8"/>
      <c r="E39" s="9"/>
      <c r="F39" s="9"/>
      <c r="G39" s="6"/>
      <c r="H39" s="81"/>
      <c r="I39" s="5"/>
      <c r="J39" s="10"/>
      <c r="K39" s="134">
        <f>CompletedJobs[[#This Row],[ACTUAL MARGIN]]-CompletedJobs[[#This Row],[Live Margin]]</f>
        <v>0</v>
      </c>
      <c r="L39" s="5">
        <f>SUM(Table18[[#This Row],[Margin]]-Table18[[#This Row],[Prev. Margin]])</f>
        <v>0</v>
      </c>
      <c r="M39" s="16"/>
      <c r="N39" s="16"/>
      <c r="O39" s="91">
        <v>0.17</v>
      </c>
      <c r="P39" s="91"/>
    </row>
    <row r="40" spans="2:16" x14ac:dyDescent="0.35">
      <c r="B40" s="7"/>
      <c r="C40" s="8"/>
      <c r="D40" s="8"/>
      <c r="E40" s="9"/>
      <c r="F40" s="9"/>
      <c r="G40" s="6"/>
      <c r="H40" s="81"/>
      <c r="I40" s="5"/>
      <c r="J40" s="10"/>
      <c r="K40" s="134">
        <f>CompletedJobs[[#This Row],[ACTUAL MARGIN]]-CompletedJobs[[#This Row],[Live Margin]]</f>
        <v>0</v>
      </c>
      <c r="L40" s="5">
        <f>SUM(Table18[[#This Row],[Margin]]-Table18[[#This Row],[Prev. Margin]])</f>
        <v>9.8987149724878709E-3</v>
      </c>
      <c r="M40" s="16"/>
      <c r="N40" s="16"/>
      <c r="O40" s="91">
        <v>0.17</v>
      </c>
      <c r="P40" s="91"/>
    </row>
    <row r="41" spans="2:16" x14ac:dyDescent="0.35">
      <c r="B41" s="7"/>
      <c r="C41" s="8"/>
      <c r="D41" s="8"/>
      <c r="E41" s="9"/>
      <c r="F41" s="9"/>
      <c r="G41" s="6"/>
      <c r="H41" s="6"/>
      <c r="I41" s="5"/>
      <c r="J41" s="10"/>
      <c r="K41" s="134">
        <f>CompletedJobs[[#This Row],[ACTUAL MARGIN]]-CompletedJobs[[#This Row],[Live Margin]]</f>
        <v>0</v>
      </c>
      <c r="L41" s="5">
        <f>SUM(Table18[[#This Row],[Margin]]-Table18[[#This Row],[Prev. Margin]])</f>
        <v>0</v>
      </c>
      <c r="M41" s="16"/>
      <c r="N41" s="16"/>
      <c r="O41" s="91">
        <v>0.17</v>
      </c>
      <c r="P41" s="91"/>
    </row>
    <row r="42" spans="2:16" x14ac:dyDescent="0.35">
      <c r="B42" s="7"/>
      <c r="C42" s="8"/>
      <c r="D42" s="8"/>
      <c r="E42" s="9"/>
      <c r="F42" s="9"/>
      <c r="G42" s="6"/>
      <c r="H42" s="6"/>
      <c r="I42" s="5"/>
      <c r="J42" s="10"/>
      <c r="K42" s="134">
        <f>CompletedJobs[[#This Row],[ACTUAL MARGIN]]-CompletedJobs[[#This Row],[Live Margin]]</f>
        <v>0</v>
      </c>
      <c r="L42" s="5">
        <f>SUM(Table18[[#This Row],[Margin]]-Table18[[#This Row],[Prev. Margin]])</f>
        <v>0</v>
      </c>
      <c r="M42" s="16"/>
      <c r="N42" s="16"/>
      <c r="O42" s="91">
        <v>0.17</v>
      </c>
      <c r="P42" s="91"/>
    </row>
    <row r="43" spans="2:16" ht="14.5" customHeight="1" x14ac:dyDescent="0.35">
      <c r="B43" s="7"/>
      <c r="C43" s="8"/>
      <c r="D43" s="8"/>
      <c r="E43" s="9"/>
      <c r="F43" s="9"/>
      <c r="G43" s="6"/>
      <c r="H43" s="6"/>
      <c r="I43" s="5"/>
      <c r="J43" s="10"/>
      <c r="K43" s="134">
        <f>CompletedJobs[[#This Row],[ACTUAL MARGIN]]-CompletedJobs[[#This Row],[Live Margin]]</f>
        <v>0</v>
      </c>
      <c r="L43" s="5">
        <f>SUM(Table18[[#This Row],[Margin]]-Table18[[#This Row],[Prev. Margin]])</f>
        <v>0</v>
      </c>
      <c r="M43" s="16"/>
      <c r="N43" s="16"/>
      <c r="O43" s="91">
        <v>0.17</v>
      </c>
      <c r="P43" s="91"/>
    </row>
    <row r="44" spans="2:16" x14ac:dyDescent="0.35">
      <c r="B44" s="7"/>
      <c r="C44" s="8"/>
      <c r="D44" s="8"/>
      <c r="E44" s="9"/>
      <c r="F44" s="9"/>
      <c r="G44" s="6"/>
      <c r="H44" s="6"/>
      <c r="I44" s="5"/>
      <c r="J44" s="10"/>
      <c r="K44" s="134">
        <f>CompletedJobs[[#This Row],[ACTUAL MARGIN]]-CompletedJobs[[#This Row],[Live Margin]]</f>
        <v>0</v>
      </c>
      <c r="L44" s="5">
        <f>SUM(Table18[[#This Row],[Margin]]-Table18[[#This Row],[Prev. Margin]])</f>
        <v>0</v>
      </c>
      <c r="M44" s="16"/>
      <c r="N44" s="16"/>
      <c r="O44" s="91">
        <v>0.17</v>
      </c>
      <c r="P44" s="91"/>
    </row>
    <row r="45" spans="2:16" x14ac:dyDescent="0.35">
      <c r="B45" s="7"/>
      <c r="C45" s="8"/>
      <c r="D45" s="8"/>
      <c r="E45" s="9"/>
      <c r="F45" s="9"/>
      <c r="G45" s="6"/>
      <c r="H45" s="6"/>
      <c r="I45" s="5"/>
      <c r="J45" s="10"/>
      <c r="K45" s="134">
        <f>CompletedJobs[[#This Row],[ACTUAL MARGIN]]-CompletedJobs[[#This Row],[Live Margin]]</f>
        <v>0</v>
      </c>
      <c r="L45" s="5">
        <f>SUM(Table18[[#This Row],[Margin]]-Table18[[#This Row],[Prev. Margin]])</f>
        <v>0</v>
      </c>
      <c r="M45" s="16"/>
      <c r="N45" s="16"/>
      <c r="O45" s="91">
        <v>0.17</v>
      </c>
      <c r="P45" s="91"/>
    </row>
    <row r="46" spans="2:16" x14ac:dyDescent="0.35">
      <c r="B46" s="7"/>
      <c r="C46" s="8"/>
      <c r="D46" s="8"/>
      <c r="E46" s="9"/>
      <c r="F46" s="9"/>
      <c r="G46" s="6"/>
      <c r="H46" s="6"/>
      <c r="I46" s="5"/>
      <c r="J46" s="10"/>
      <c r="K46" s="134">
        <f>CompletedJobs[[#This Row],[ACTUAL MARGIN]]-CompletedJobs[[#This Row],[Live Margin]]</f>
        <v>0</v>
      </c>
      <c r="L46" s="5">
        <f>SUM(Table18[[#This Row],[Margin]]-Table18[[#This Row],[Prev. Margin]])</f>
        <v>1.1099703703703778E-2</v>
      </c>
      <c r="M46" s="16"/>
      <c r="N46" s="16"/>
      <c r="O46" s="91">
        <v>0.17</v>
      </c>
      <c r="P46" s="91"/>
    </row>
    <row r="47" spans="2:16" x14ac:dyDescent="0.35">
      <c r="B47" s="7"/>
      <c r="C47" s="8"/>
      <c r="D47" s="8"/>
      <c r="E47" s="9"/>
      <c r="F47" s="9"/>
      <c r="G47" s="6"/>
      <c r="H47" s="6"/>
      <c r="I47" s="5"/>
      <c r="J47" s="5"/>
      <c r="K47" s="134">
        <f>CompletedJobs[[#This Row],[ACTUAL MARGIN]]-CompletedJobs[[#This Row],[Live Margin]]</f>
        <v>0</v>
      </c>
      <c r="L47" s="5">
        <f>SUM(Table18[[#This Row],[Margin]]-Table18[[#This Row],[Prev. Margin]])</f>
        <v>0.14536819381146557</v>
      </c>
      <c r="M47" s="16"/>
      <c r="N47" s="16"/>
      <c r="O47" s="91">
        <v>0.17</v>
      </c>
      <c r="P47" s="91"/>
    </row>
    <row r="48" spans="2:16" x14ac:dyDescent="0.35">
      <c r="B48" s="7"/>
      <c r="C48" s="8"/>
      <c r="D48" s="8"/>
      <c r="E48" s="9"/>
      <c r="F48" s="9"/>
      <c r="G48" s="6"/>
      <c r="H48" s="6"/>
      <c r="I48" s="5"/>
      <c r="J48" s="5"/>
      <c r="K48" s="134">
        <f>CompletedJobs[[#This Row],[ACTUAL MARGIN]]-CompletedJobs[[#This Row],[Live Margin]]</f>
        <v>0</v>
      </c>
      <c r="L48" s="5">
        <f>SUM(Table18[[#This Row],[Margin]]-Table18[[#This Row],[Prev. Margin]])</f>
        <v>0</v>
      </c>
      <c r="M48" s="16"/>
      <c r="N48" s="16"/>
      <c r="O48" s="91">
        <v>0.17</v>
      </c>
      <c r="P48" s="91"/>
    </row>
    <row r="49" spans="2:37" x14ac:dyDescent="0.35">
      <c r="B49" s="7"/>
      <c r="C49" s="8"/>
      <c r="D49" s="8"/>
      <c r="E49" s="9"/>
      <c r="F49" s="9"/>
      <c r="G49" s="6"/>
      <c r="H49" s="6"/>
      <c r="I49" s="5"/>
      <c r="J49" s="10"/>
      <c r="K49" s="134">
        <f>CompletedJobs[[#This Row],[ACTUAL MARGIN]]-CompletedJobs[[#This Row],[Live Margin]]</f>
        <v>0</v>
      </c>
      <c r="L49" s="5">
        <f>SUM(Table18[[#This Row],[Margin]]-Table18[[#This Row],[Prev. Margin]])</f>
        <v>0</v>
      </c>
      <c r="M49" s="16"/>
      <c r="N49" s="16"/>
      <c r="O49" s="91">
        <v>0.17</v>
      </c>
      <c r="P49" s="91"/>
    </row>
    <row r="50" spans="2:37" x14ac:dyDescent="0.35">
      <c r="B50" s="7"/>
      <c r="C50" s="8"/>
      <c r="D50" s="8"/>
      <c r="E50" s="9"/>
      <c r="F50" s="9"/>
      <c r="G50" s="6"/>
      <c r="H50" s="6"/>
      <c r="I50" s="5"/>
      <c r="J50" s="10"/>
      <c r="K50" s="134">
        <f>CompletedJobs[[#This Row],[ACTUAL MARGIN]]-CompletedJobs[[#This Row],[Live Margin]]</f>
        <v>0</v>
      </c>
      <c r="L50" s="5">
        <f>SUM(Table18[[#This Row],[Margin]]-Table18[[#This Row],[Prev. Margin]])</f>
        <v>0</v>
      </c>
      <c r="M50" s="16"/>
      <c r="N50" s="16"/>
      <c r="O50" s="91">
        <v>0.17</v>
      </c>
      <c r="P50" s="91"/>
    </row>
    <row r="51" spans="2:37" x14ac:dyDescent="0.35">
      <c r="B51" s="7"/>
      <c r="C51" s="8"/>
      <c r="D51" s="8"/>
      <c r="E51" s="9"/>
      <c r="F51" s="9"/>
      <c r="G51" s="6"/>
      <c r="H51" s="6"/>
      <c r="I51" s="5"/>
      <c r="J51" s="10"/>
      <c r="K51" s="134">
        <f>CompletedJobs[[#This Row],[ACTUAL MARGIN]]-CompletedJobs[[#This Row],[Live Margin]]</f>
        <v>0</v>
      </c>
      <c r="L51" s="5">
        <f>SUM(Table18[[#This Row],[Margin]]-Table18[[#This Row],[Prev. Margin]])</f>
        <v>0</v>
      </c>
      <c r="M51" s="16"/>
      <c r="N51" s="16"/>
      <c r="O51" s="91">
        <v>0.17</v>
      </c>
      <c r="P51" s="91"/>
    </row>
    <row r="52" spans="2:37" x14ac:dyDescent="0.35">
      <c r="B52" s="7"/>
      <c r="C52" s="8"/>
      <c r="D52" s="8"/>
      <c r="E52" s="9"/>
      <c r="F52" s="9"/>
      <c r="G52" s="6"/>
      <c r="H52" s="6"/>
      <c r="I52" s="5"/>
      <c r="J52" s="5"/>
      <c r="K52" s="134">
        <f>CompletedJobs[[#This Row],[ACTUAL MARGIN]]-CompletedJobs[[#This Row],[Live Margin]]</f>
        <v>0</v>
      </c>
      <c r="L52" s="5">
        <f>SUM(Table18[[#This Row],[Margin]]-Table18[[#This Row],[Prev. Margin]])</f>
        <v>1.7912099399311904E-2</v>
      </c>
      <c r="M52" s="16"/>
      <c r="N52" s="16"/>
      <c r="O52" s="91">
        <v>0.17</v>
      </c>
      <c r="P52" s="91"/>
    </row>
    <row r="53" spans="2:37" x14ac:dyDescent="0.35">
      <c r="B53" s="7"/>
      <c r="C53" s="8"/>
      <c r="D53" s="8"/>
      <c r="E53" s="9"/>
      <c r="F53" s="9"/>
      <c r="G53" s="6"/>
      <c r="H53" s="6"/>
      <c r="I53" s="5"/>
      <c r="J53" s="10"/>
      <c r="K53" s="134">
        <f>CompletedJobs[[#This Row],[ACTUAL MARGIN]]-CompletedJobs[[#This Row],[Live Margin]]</f>
        <v>0</v>
      </c>
      <c r="L53" s="5">
        <f>SUM(Table18[[#This Row],[Margin]]-Table18[[#This Row],[Prev. Margin]])</f>
        <v>0</v>
      </c>
      <c r="M53" s="16"/>
      <c r="N53" s="16"/>
      <c r="O53" s="91">
        <v>0.17</v>
      </c>
      <c r="P53" s="91"/>
    </row>
    <row r="54" spans="2:37" x14ac:dyDescent="0.35">
      <c r="B54" s="7"/>
      <c r="C54" s="8"/>
      <c r="D54" s="8"/>
      <c r="E54" s="9"/>
      <c r="F54" s="9"/>
      <c r="G54" s="6"/>
      <c r="H54" s="6"/>
      <c r="I54" s="5"/>
      <c r="J54" s="5"/>
      <c r="K54" s="134">
        <f>CompletedJobs[[#This Row],[ACTUAL MARGIN]]-CompletedJobs[[#This Row],[Live Margin]]</f>
        <v>0</v>
      </c>
      <c r="L54" s="5">
        <f>SUM(Table18[[#This Row],[Margin]]-Table18[[#This Row],[Prev. Margin]])</f>
        <v>0</v>
      </c>
      <c r="M54" s="16"/>
      <c r="N54" s="16"/>
      <c r="O54" s="91">
        <v>0.17</v>
      </c>
      <c r="P54" s="91"/>
    </row>
    <row r="55" spans="2:37" x14ac:dyDescent="0.35">
      <c r="B55" s="7"/>
      <c r="C55" s="23"/>
      <c r="D55" s="23"/>
      <c r="E55" s="24"/>
      <c r="F55" s="24"/>
      <c r="G55" s="25"/>
      <c r="H55" s="25"/>
      <c r="I55" s="5"/>
      <c r="J55" s="5"/>
      <c r="K55" s="134">
        <f>CompletedJobs[[#This Row],[ACTUAL MARGIN]]-CompletedJobs[[#This Row],[Live Margin]]</f>
        <v>0</v>
      </c>
      <c r="L55" s="5">
        <f>SUM(Table18[[#This Row],[Margin]]-Table18[[#This Row],[Prev. Margin]])</f>
        <v>3.294768848431219E-2</v>
      </c>
      <c r="M55" s="16"/>
      <c r="N55" s="16"/>
      <c r="O55" s="91">
        <v>0.17</v>
      </c>
      <c r="P55" s="91"/>
    </row>
    <row r="56" spans="2:37" x14ac:dyDescent="0.35">
      <c r="B56" s="7"/>
      <c r="C56" s="23"/>
      <c r="D56" s="23"/>
      <c r="E56" s="24"/>
      <c r="F56" s="24"/>
      <c r="G56" s="25"/>
      <c r="H56" s="25"/>
      <c r="I56" s="5"/>
      <c r="J56" s="10"/>
      <c r="K56" s="134">
        <f>CompletedJobs[[#This Row],[ACTUAL MARGIN]]-CompletedJobs[[#This Row],[Live Margin]]</f>
        <v>0</v>
      </c>
      <c r="L56" s="5">
        <f>SUM(Table18[[#This Row],[Margin]]-Table18[[#This Row],[Prev. Margin]])</f>
        <v>0</v>
      </c>
      <c r="M56" s="16"/>
      <c r="N56" s="16"/>
      <c r="O56" s="91">
        <v>0.17</v>
      </c>
      <c r="P56" s="91"/>
    </row>
    <row r="57" spans="2:37" x14ac:dyDescent="0.35">
      <c r="B57" s="7"/>
      <c r="C57" s="23"/>
      <c r="D57" s="23"/>
      <c r="E57" s="24"/>
      <c r="F57" s="24"/>
      <c r="G57" s="25"/>
      <c r="H57" s="25"/>
      <c r="I57" s="5"/>
      <c r="J57" s="5"/>
      <c r="K57" s="134">
        <f>CompletedJobs[[#This Row],[ACTUAL MARGIN]]-CompletedJobs[[#This Row],[Live Margin]]</f>
        <v>0</v>
      </c>
      <c r="L57" s="5">
        <f>SUM(Table18[[#This Row],[Margin]]-Table18[[#This Row],[Prev. Margin]])</f>
        <v>7.9727779541405308E-6</v>
      </c>
      <c r="M57" s="16"/>
      <c r="N57" s="16"/>
      <c r="O57" s="91">
        <v>0.17</v>
      </c>
      <c r="P57" s="91"/>
    </row>
    <row r="58" spans="2:37" x14ac:dyDescent="0.35">
      <c r="B58" s="7"/>
      <c r="C58" s="23"/>
      <c r="D58" s="23"/>
      <c r="E58" s="24"/>
      <c r="F58" s="24"/>
      <c r="G58" s="25"/>
      <c r="H58" s="25"/>
      <c r="I58" s="5"/>
      <c r="J58" s="5"/>
      <c r="K58" s="134">
        <f>CompletedJobs[[#This Row],[ACTUAL MARGIN]]-CompletedJobs[[#This Row],[Live Margin]]</f>
        <v>0</v>
      </c>
      <c r="L58" s="5">
        <f>SUM(Table18[[#This Row],[Margin]]-Table18[[#This Row],[Prev. Margin]])</f>
        <v>0</v>
      </c>
      <c r="M58" s="16"/>
      <c r="N58" s="16"/>
      <c r="O58" s="91">
        <v>0.17</v>
      </c>
      <c r="P58" s="91"/>
    </row>
    <row r="59" spans="2:37" x14ac:dyDescent="0.35">
      <c r="B59" s="7"/>
      <c r="C59" s="23"/>
      <c r="D59" s="23"/>
      <c r="E59" s="24"/>
      <c r="F59" s="24"/>
      <c r="G59" s="25"/>
      <c r="H59" s="25"/>
      <c r="I59" s="5"/>
      <c r="J59" s="5"/>
      <c r="K59" s="134">
        <f>CompletedJobs[[#This Row],[ACTUAL MARGIN]]-CompletedJobs[[#This Row],[Live Margin]]</f>
        <v>0</v>
      </c>
      <c r="L59" s="5">
        <f>SUM(Table18[[#This Row],[Margin]]-Table18[[#This Row],[Prev. Margin]])</f>
        <v>0</v>
      </c>
      <c r="M59" s="16"/>
      <c r="N59" s="16"/>
      <c r="O59" s="91">
        <v>0.17</v>
      </c>
      <c r="P59" s="91"/>
    </row>
    <row r="60" spans="2:37" x14ac:dyDescent="0.35">
      <c r="B60" s="7"/>
      <c r="C60" s="23"/>
      <c r="D60" s="23"/>
      <c r="E60" s="24"/>
      <c r="F60" s="24"/>
      <c r="G60" s="25"/>
      <c r="H60" s="25"/>
      <c r="I60" s="5"/>
      <c r="J60" s="5"/>
      <c r="K60" s="134">
        <f>CompletedJobs[[#This Row],[ACTUAL MARGIN]]-CompletedJobs[[#This Row],[Live Margin]]</f>
        <v>0</v>
      </c>
      <c r="L60" s="5">
        <f>SUM(Table18[[#This Row],[Margin]]-Table18[[#This Row],[Prev. Margin]])</f>
        <v>0</v>
      </c>
      <c r="M60" s="16"/>
      <c r="N60" s="16"/>
      <c r="O60" s="91">
        <v>0.17</v>
      </c>
      <c r="P60" s="91"/>
    </row>
    <row r="61" spans="2:37" x14ac:dyDescent="0.35">
      <c r="B61" s="7"/>
      <c r="C61" s="23"/>
      <c r="D61" s="23"/>
      <c r="E61" s="24"/>
      <c r="F61" s="24"/>
      <c r="G61" s="25"/>
      <c r="H61" s="25"/>
      <c r="I61" s="5"/>
      <c r="J61" s="5"/>
      <c r="K61" s="134">
        <f>CompletedJobs[[#This Row],[ACTUAL MARGIN]]-CompletedJobs[[#This Row],[Live Margin]]</f>
        <v>0</v>
      </c>
      <c r="L61" s="5">
        <f>SUM(Table18[[#This Row],[Margin]]-Table18[[#This Row],[Prev. Margin]])</f>
        <v>0</v>
      </c>
      <c r="M61" s="16"/>
      <c r="N61" s="16"/>
      <c r="O61" s="91">
        <v>0.17</v>
      </c>
      <c r="P61" s="91"/>
    </row>
    <row r="62" spans="2:37" x14ac:dyDescent="0.35">
      <c r="B62" s="7"/>
      <c r="C62" s="23"/>
      <c r="D62" s="23"/>
      <c r="E62" s="24"/>
      <c r="F62" s="24"/>
      <c r="G62" s="25"/>
      <c r="H62" s="25"/>
      <c r="I62" s="5"/>
      <c r="J62" s="5"/>
      <c r="K62" s="134">
        <f>CompletedJobs[[#This Row],[ACTUAL MARGIN]]-CompletedJobs[[#This Row],[Live Margin]]</f>
        <v>0</v>
      </c>
      <c r="L62" s="5">
        <f>SUM(Table18[[#This Row],[Margin]]-Table18[[#This Row],[Prev. Margin]])</f>
        <v>0</v>
      </c>
      <c r="M62" s="16"/>
      <c r="N62" s="16"/>
      <c r="O62" s="91">
        <v>0.17</v>
      </c>
      <c r="P62" s="91"/>
    </row>
    <row r="63" spans="2:37" x14ac:dyDescent="0.35">
      <c r="B63" s="7"/>
      <c r="C63" s="8"/>
      <c r="D63" s="8"/>
      <c r="E63" s="9"/>
      <c r="F63" s="9"/>
      <c r="G63" s="6"/>
      <c r="H63" s="6"/>
      <c r="I63" s="5"/>
      <c r="J63" s="10"/>
      <c r="K63" s="134">
        <f>CompletedJobs[[#This Row],[ACTUAL MARGIN]]-CompletedJobs[[#This Row],[Live Margin]]</f>
        <v>0</v>
      </c>
      <c r="L63" s="5">
        <f>SUM(Table18[[#This Row],[Margin]]-Table18[[#This Row],[Prev. Margin]])</f>
        <v>2.5569502556950258E-2</v>
      </c>
      <c r="M63" s="16"/>
      <c r="N63" s="16"/>
      <c r="O63" s="91">
        <v>0.17</v>
      </c>
      <c r="P63" s="91"/>
      <c r="AK63" s="2">
        <v>24.12</v>
      </c>
    </row>
    <row r="64" spans="2:37" x14ac:dyDescent="0.35">
      <c r="B64" s="7"/>
      <c r="C64" s="8"/>
      <c r="D64" s="8"/>
      <c r="E64" s="9"/>
      <c r="F64" s="9"/>
      <c r="G64" s="6"/>
      <c r="H64" s="6"/>
      <c r="I64" s="5"/>
      <c r="J64" s="10"/>
      <c r="K64" s="134">
        <f>CompletedJobs[[#This Row],[ACTUAL MARGIN]]-CompletedJobs[[#This Row],[Live Margin]]</f>
        <v>0</v>
      </c>
      <c r="L64" s="5">
        <f>SUM(Table18[[#This Row],[Margin]]-Table18[[#This Row],[Prev. Margin]])</f>
        <v>0</v>
      </c>
      <c r="M64" s="16"/>
      <c r="N64" s="16"/>
      <c r="O64" s="91">
        <v>0.17</v>
      </c>
      <c r="P64" s="91"/>
      <c r="AK64" s="2">
        <v>16.97</v>
      </c>
    </row>
    <row r="65" spans="2:37" x14ac:dyDescent="0.35">
      <c r="B65" s="7"/>
      <c r="C65" s="13"/>
      <c r="D65" s="8"/>
      <c r="E65" s="9"/>
      <c r="F65" s="9"/>
      <c r="G65" s="6"/>
      <c r="H65" s="6"/>
      <c r="I65" s="5"/>
      <c r="J65" s="5"/>
      <c r="K65" s="134">
        <f>CompletedJobs[[#This Row],[ACTUAL MARGIN]]-CompletedJobs[[#This Row],[Live Margin]]</f>
        <v>0</v>
      </c>
      <c r="L65" s="5">
        <f>SUM(Table18[[#This Row],[Margin]]-Table18[[#This Row],[Prev. Margin]])</f>
        <v>0</v>
      </c>
      <c r="M65" s="16"/>
      <c r="N65" s="16"/>
      <c r="O65" s="91">
        <v>0.17</v>
      </c>
      <c r="P65" s="91"/>
      <c r="AK65" s="2">
        <v>23.99</v>
      </c>
    </row>
    <row r="66" spans="2:37" x14ac:dyDescent="0.35">
      <c r="B66" s="7"/>
      <c r="C66" s="8"/>
      <c r="D66" s="8"/>
      <c r="E66" s="9"/>
      <c r="F66" s="9"/>
      <c r="G66" s="6"/>
      <c r="H66" s="6"/>
      <c r="I66" s="5"/>
      <c r="J66" s="10"/>
      <c r="K66" s="134">
        <f>CompletedJobs[[#This Row],[ACTUAL MARGIN]]-CompletedJobs[[#This Row],[Live Margin]]</f>
        <v>0</v>
      </c>
      <c r="L66" s="5">
        <f>SUM(Table18[[#This Row],[Margin]]-Table18[[#This Row],[Prev. Margin]])</f>
        <v>8.0830574386462684E-2</v>
      </c>
      <c r="M66" s="16"/>
      <c r="N66" s="16"/>
      <c r="O66" s="91">
        <v>0.17</v>
      </c>
      <c r="P66" s="91"/>
      <c r="AK66" s="2">
        <v>12.03</v>
      </c>
    </row>
    <row r="67" spans="2:37" x14ac:dyDescent="0.35">
      <c r="B67" s="7"/>
      <c r="C67" s="8"/>
      <c r="D67" s="8"/>
      <c r="E67" s="9"/>
      <c r="F67" s="9"/>
      <c r="G67" s="6"/>
      <c r="H67" s="6"/>
      <c r="I67" s="5"/>
      <c r="J67" s="10"/>
      <c r="K67" s="134">
        <f>CompletedJobs[[#This Row],[ACTUAL MARGIN]]-CompletedJobs[[#This Row],[Live Margin]]</f>
        <v>0</v>
      </c>
      <c r="L67" s="5">
        <f>SUM(Table18[[#This Row],[Margin]]-Table18[[#This Row],[Prev. Margin]])</f>
        <v>2.4485455639350229E-2</v>
      </c>
      <c r="M67" s="16"/>
      <c r="N67" s="16"/>
      <c r="O67" s="91">
        <v>0.17</v>
      </c>
      <c r="P67" s="91"/>
      <c r="AK67" s="2">
        <v>25.02</v>
      </c>
    </row>
    <row r="68" spans="2:37" x14ac:dyDescent="0.35">
      <c r="B68" s="7"/>
      <c r="C68" s="8"/>
      <c r="D68" s="8"/>
      <c r="E68" s="9"/>
      <c r="F68" s="9"/>
      <c r="G68" s="6"/>
      <c r="H68" s="6"/>
      <c r="I68" s="5"/>
      <c r="J68" s="10"/>
      <c r="K68" s="134">
        <f>CompletedJobs[[#This Row],[ACTUAL MARGIN]]-CompletedJobs[[#This Row],[Live Margin]]</f>
        <v>0</v>
      </c>
      <c r="L68" s="5">
        <f>SUM(Table18[[#This Row],[Margin]]-Table18[[#This Row],[Prev. Margin]])</f>
        <v>-3.1602973188825101E-3</v>
      </c>
      <c r="M68" s="16"/>
      <c r="N68" s="16"/>
      <c r="O68" s="91">
        <v>0.17</v>
      </c>
      <c r="P68" s="91"/>
      <c r="AK68" s="2">
        <v>17</v>
      </c>
    </row>
    <row r="69" spans="2:37" x14ac:dyDescent="0.35">
      <c r="B69" s="7"/>
      <c r="C69" s="8"/>
      <c r="D69" s="8"/>
      <c r="E69" s="9"/>
      <c r="F69" s="9"/>
      <c r="G69" s="6"/>
      <c r="H69" s="6"/>
      <c r="I69" s="5"/>
      <c r="J69" s="10"/>
      <c r="K69" s="134">
        <f>CompletedJobs[[#This Row],[ACTUAL MARGIN]]-CompletedJobs[[#This Row],[Live Margin]]</f>
        <v>0</v>
      </c>
      <c r="L69" s="5">
        <f>SUM(Table18[[#This Row],[Margin]]-Table18[[#This Row],[Prev. Margin]])</f>
        <v>0</v>
      </c>
      <c r="M69" s="16"/>
      <c r="N69" s="16"/>
      <c r="O69" s="91">
        <v>0.17</v>
      </c>
      <c r="P69" s="91"/>
      <c r="AK69" s="2">
        <v>22.87</v>
      </c>
    </row>
    <row r="70" spans="2:37" x14ac:dyDescent="0.35">
      <c r="B70" s="7"/>
      <c r="C70" s="8"/>
      <c r="D70" s="8"/>
      <c r="E70" s="9"/>
      <c r="F70" s="9"/>
      <c r="G70" s="6"/>
      <c r="H70" s="6"/>
      <c r="I70" s="5"/>
      <c r="J70" s="10"/>
      <c r="K70" s="134">
        <f>CompletedJobs[[#This Row],[ACTUAL MARGIN]]-CompletedJobs[[#This Row],[Live Margin]]</f>
        <v>0</v>
      </c>
      <c r="L70" s="5">
        <f>SUM(Table18[[#This Row],[Margin]]-Table18[[#This Row],[Prev. Margin]])</f>
        <v>0</v>
      </c>
      <c r="M70" s="16"/>
      <c r="N70" s="16"/>
      <c r="O70" s="91">
        <v>0.17</v>
      </c>
      <c r="P70" s="91"/>
      <c r="AK70" s="2">
        <v>17.75</v>
      </c>
    </row>
    <row r="71" spans="2:37" ht="13" customHeight="1" x14ac:dyDescent="0.35">
      <c r="B71" s="7"/>
      <c r="C71" s="13"/>
      <c r="D71" s="8"/>
      <c r="E71" s="9"/>
      <c r="F71" s="9"/>
      <c r="G71" s="6"/>
      <c r="H71" s="6"/>
      <c r="I71" s="5"/>
      <c r="J71" s="5"/>
      <c r="K71" s="134">
        <f>CompletedJobs[[#This Row],[ACTUAL MARGIN]]-CompletedJobs[[#This Row],[Live Margin]]</f>
        <v>0</v>
      </c>
      <c r="L71" s="5">
        <f>SUM(Table18[[#This Row],[Margin]]-Table18[[#This Row],[Prev. Margin]])</f>
        <v>0</v>
      </c>
      <c r="M71" s="16"/>
      <c r="N71" s="16"/>
      <c r="O71" s="91">
        <v>0.17</v>
      </c>
      <c r="P71" s="91"/>
      <c r="AK71" s="2">
        <v>18.79</v>
      </c>
    </row>
    <row r="72" spans="2:37" ht="13" customHeight="1" x14ac:dyDescent="0.35">
      <c r="B72" s="7"/>
      <c r="C72" s="14"/>
      <c r="D72" s="8"/>
      <c r="E72" s="9"/>
      <c r="F72" s="9"/>
      <c r="G72" s="6"/>
      <c r="H72" s="6"/>
      <c r="I72" s="5"/>
      <c r="J72" s="5"/>
      <c r="K72" s="134">
        <f>CompletedJobs[[#This Row],[ACTUAL MARGIN]]-CompletedJobs[[#This Row],[Live Margin]]</f>
        <v>0</v>
      </c>
      <c r="L72" s="5">
        <f>SUM(Table18[[#This Row],[Margin]]-Table18[[#This Row],[Prev. Margin]])</f>
        <v>0</v>
      </c>
      <c r="M72" s="16"/>
      <c r="N72" s="16"/>
      <c r="O72" s="91">
        <v>0.17</v>
      </c>
      <c r="P72" s="91"/>
      <c r="AK72" s="2">
        <v>24.45</v>
      </c>
    </row>
    <row r="73" spans="2:37" ht="13" customHeight="1" x14ac:dyDescent="0.35">
      <c r="B73" s="7"/>
      <c r="C73" s="23"/>
      <c r="D73" s="23"/>
      <c r="E73" s="24"/>
      <c r="F73" s="24"/>
      <c r="G73" s="18"/>
      <c r="H73" s="18"/>
      <c r="I73" s="5"/>
      <c r="J73" s="5"/>
      <c r="K73" s="134">
        <f>CompletedJobs[[#This Row],[ACTUAL MARGIN]]-CompletedJobs[[#This Row],[Live Margin]]</f>
        <v>0</v>
      </c>
      <c r="L73" s="5">
        <f>SUM(Table18[[#This Row],[Margin]]-Table18[[#This Row],[Prev. Margin]])</f>
        <v>0</v>
      </c>
      <c r="M73" s="16"/>
      <c r="N73" s="16"/>
      <c r="O73" s="91">
        <v>0.17</v>
      </c>
      <c r="P73" s="91"/>
      <c r="AK73" s="2">
        <v>26.41</v>
      </c>
    </row>
    <row r="74" spans="2:37" s="4" customFormat="1" ht="13" customHeight="1" x14ac:dyDescent="0.35">
      <c r="B74" s="7"/>
      <c r="C74" s="23"/>
      <c r="D74" s="23"/>
      <c r="E74" s="24"/>
      <c r="F74" s="24"/>
      <c r="G74" s="18"/>
      <c r="H74" s="18"/>
      <c r="I74" s="5"/>
      <c r="J74" s="5"/>
      <c r="K74" s="134">
        <f>CompletedJobs[[#This Row],[ACTUAL MARGIN]]-CompletedJobs[[#This Row],[Live Margin]]</f>
        <v>0</v>
      </c>
      <c r="L74" s="5">
        <f>SUM(Table18[[#This Row],[Margin]]-Table18[[#This Row],[Prev. Margin]])</f>
        <v>0</v>
      </c>
      <c r="M74" s="16"/>
      <c r="N74" s="16"/>
      <c r="O74" s="91">
        <v>0.17</v>
      </c>
      <c r="P74" s="91"/>
      <c r="U74" s="126"/>
      <c r="AK74" s="2">
        <v>23.86</v>
      </c>
    </row>
    <row r="75" spans="2:37" s="4" customFormat="1" ht="13" customHeight="1" x14ac:dyDescent="0.35">
      <c r="B75" s="7"/>
      <c r="C75" s="8"/>
      <c r="D75" s="8"/>
      <c r="E75" s="9"/>
      <c r="F75" s="9"/>
      <c r="G75" s="6"/>
      <c r="H75" s="6"/>
      <c r="I75" s="5"/>
      <c r="J75" s="5"/>
      <c r="K75" s="134">
        <f>CompletedJobs[[#This Row],[ACTUAL MARGIN]]-CompletedJobs[[#This Row],[Live Margin]]</f>
        <v>0</v>
      </c>
      <c r="L75" s="5">
        <f>SUM(Table18[[#This Row],[Margin]]-Table18[[#This Row],[Prev. Margin]])</f>
        <v>0</v>
      </c>
      <c r="M75" s="16"/>
      <c r="N75" s="16"/>
      <c r="O75" s="91">
        <v>0.17</v>
      </c>
      <c r="P75" s="91"/>
      <c r="U75" s="126"/>
      <c r="AK75" s="2">
        <v>27.99</v>
      </c>
    </row>
    <row r="76" spans="2:37" s="4" customFormat="1" ht="13" customHeight="1" x14ac:dyDescent="0.35">
      <c r="B76" s="7"/>
      <c r="C76" s="8"/>
      <c r="D76" s="8"/>
      <c r="E76" s="9"/>
      <c r="F76" s="9"/>
      <c r="G76" s="18"/>
      <c r="H76" s="18"/>
      <c r="I76" s="5"/>
      <c r="J76" s="10"/>
      <c r="K76" s="134">
        <f>CompletedJobs[[#This Row],[ACTUAL MARGIN]]-CompletedJobs[[#This Row],[Live Margin]]</f>
        <v>0</v>
      </c>
      <c r="L76" s="5">
        <f>SUM(Table18[[#This Row],[Margin]]-Table18[[#This Row],[Prev. Margin]])</f>
        <v>0</v>
      </c>
      <c r="M76" s="16"/>
      <c r="N76" s="16"/>
      <c r="O76" s="91">
        <v>0.17</v>
      </c>
      <c r="P76" s="91"/>
      <c r="U76" s="126"/>
      <c r="AK76" s="2">
        <v>19.350000000000001</v>
      </c>
    </row>
    <row r="77" spans="2:37" s="4" customFormat="1" x14ac:dyDescent="0.35">
      <c r="B77" s="7"/>
      <c r="C77" s="8"/>
      <c r="D77" s="8"/>
      <c r="E77" s="9"/>
      <c r="F77" s="9"/>
      <c r="G77" s="6"/>
      <c r="H77" s="6"/>
      <c r="I77" s="5"/>
      <c r="J77" s="10"/>
      <c r="K77" s="134">
        <f>CompletedJobs[[#This Row],[ACTUAL MARGIN]]-CompletedJobs[[#This Row],[Live Margin]]</f>
        <v>0</v>
      </c>
      <c r="L77" s="5">
        <f>SUM(Table18[[#This Row],[Margin]]-Table18[[#This Row],[Prev. Margin]])</f>
        <v>0</v>
      </c>
      <c r="M77" s="16"/>
      <c r="N77" s="16"/>
      <c r="O77" s="91">
        <v>0.17</v>
      </c>
      <c r="P77" s="91"/>
      <c r="U77" s="126"/>
      <c r="AK77" s="2">
        <v>20.059999999999999</v>
      </c>
    </row>
    <row r="78" spans="2:37" ht="13" customHeight="1" x14ac:dyDescent="0.35">
      <c r="B78" s="7"/>
      <c r="C78" s="8"/>
      <c r="D78" s="8"/>
      <c r="E78" s="9"/>
      <c r="F78" s="9"/>
      <c r="G78" s="6"/>
      <c r="H78" s="6"/>
      <c r="I78" s="5"/>
      <c r="J78" s="10"/>
      <c r="K78" s="134">
        <f>CompletedJobs[[#This Row],[ACTUAL MARGIN]]-CompletedJobs[[#This Row],[Live Margin]]</f>
        <v>0</v>
      </c>
      <c r="L78" s="5">
        <f>SUM(Table18[[#This Row],[Margin]]-Table18[[#This Row],[Prev. Margin]])</f>
        <v>0</v>
      </c>
      <c r="M78" s="16"/>
      <c r="N78" s="16"/>
      <c r="O78" s="91">
        <v>0.17</v>
      </c>
      <c r="P78" s="91"/>
      <c r="AK78" s="2">
        <v>13.3</v>
      </c>
    </row>
    <row r="79" spans="2:37" ht="13" customHeight="1" x14ac:dyDescent="0.35">
      <c r="B79" s="7"/>
      <c r="C79" s="8"/>
      <c r="D79" s="8"/>
      <c r="E79" s="9"/>
      <c r="F79" s="9"/>
      <c r="G79" s="6"/>
      <c r="H79" s="6"/>
      <c r="I79" s="5"/>
      <c r="J79" s="10"/>
      <c r="K79" s="134">
        <f>CompletedJobs[[#This Row],[ACTUAL MARGIN]]-CompletedJobs[[#This Row],[Live Margin]]</f>
        <v>0</v>
      </c>
      <c r="L79" s="5">
        <f>SUM(Table18[[#This Row],[Margin]]-Table18[[#This Row],[Prev. Margin]])</f>
        <v>0</v>
      </c>
      <c r="M79" s="16"/>
      <c r="N79" s="16"/>
      <c r="O79" s="91">
        <v>0.17</v>
      </c>
      <c r="P79" s="91"/>
      <c r="AK79" s="2">
        <v>23.35</v>
      </c>
    </row>
    <row r="80" spans="2:37" ht="14.5" customHeight="1" x14ac:dyDescent="0.35">
      <c r="B80" s="7"/>
      <c r="C80" s="8"/>
      <c r="D80" s="8"/>
      <c r="E80" s="9"/>
      <c r="F80" s="9"/>
      <c r="G80" s="6"/>
      <c r="H80" s="6"/>
      <c r="I80" s="5"/>
      <c r="J80" s="10"/>
      <c r="K80" s="134">
        <f>CompletedJobs[[#This Row],[ACTUAL MARGIN]]-CompletedJobs[[#This Row],[Live Margin]]</f>
        <v>0</v>
      </c>
      <c r="L80" s="5">
        <f>SUM(Table18[[#This Row],[Margin]]-Table18[[#This Row],[Prev. Margin]])</f>
        <v>0</v>
      </c>
      <c r="M80" s="16"/>
      <c r="N80" s="16"/>
      <c r="O80" s="91">
        <v>0.17</v>
      </c>
      <c r="P80" s="91"/>
      <c r="AK80" s="2">
        <v>22.51</v>
      </c>
    </row>
    <row r="81" spans="2:37" ht="14.5" customHeight="1" x14ac:dyDescent="0.35">
      <c r="B81" s="7"/>
      <c r="C81" s="8"/>
      <c r="D81" s="8"/>
      <c r="E81" s="9"/>
      <c r="F81" s="9"/>
      <c r="G81" s="6"/>
      <c r="H81" s="6"/>
      <c r="I81" s="5"/>
      <c r="J81" s="10"/>
      <c r="K81" s="134">
        <f>CompletedJobs[[#This Row],[ACTUAL MARGIN]]-CompletedJobs[[#This Row],[Live Margin]]</f>
        <v>0</v>
      </c>
      <c r="L81" s="5">
        <f>SUM(Table18[[#This Row],[Margin]]-Table18[[#This Row],[Prev. Margin]])</f>
        <v>0</v>
      </c>
      <c r="M81" s="16"/>
      <c r="N81" s="16"/>
      <c r="O81" s="91">
        <v>0.17</v>
      </c>
      <c r="P81" s="91"/>
      <c r="AK81" s="2">
        <v>21.92</v>
      </c>
    </row>
    <row r="82" spans="2:37" ht="14.5" customHeight="1" x14ac:dyDescent="0.35">
      <c r="B82" s="7"/>
      <c r="C82" s="8"/>
      <c r="D82" s="8"/>
      <c r="E82" s="9"/>
      <c r="F82" s="9"/>
      <c r="G82" s="6"/>
      <c r="H82" s="6"/>
      <c r="I82" s="5"/>
      <c r="J82" s="10"/>
      <c r="K82" s="134">
        <f>CompletedJobs[[#This Row],[ACTUAL MARGIN]]-CompletedJobs[[#This Row],[Live Margin]]</f>
        <v>0</v>
      </c>
      <c r="L82" s="5">
        <f>SUM(Table18[[#This Row],[Margin]]-Table18[[#This Row],[Prev. Margin]])</f>
        <v>0</v>
      </c>
      <c r="M82" s="16"/>
      <c r="N82" s="16"/>
      <c r="O82" s="91">
        <v>0.17</v>
      </c>
      <c r="P82" s="91"/>
      <c r="AK82" s="2">
        <v>25.74</v>
      </c>
    </row>
    <row r="83" spans="2:37" ht="14.5" customHeight="1" x14ac:dyDescent="0.35">
      <c r="B83" s="7"/>
      <c r="C83" s="8"/>
      <c r="D83" s="8"/>
      <c r="E83" s="9"/>
      <c r="F83" s="9"/>
      <c r="G83" s="6"/>
      <c r="H83" s="6"/>
      <c r="I83" s="5"/>
      <c r="J83" s="10"/>
      <c r="K83" s="134">
        <f>CompletedJobs[[#This Row],[ACTUAL MARGIN]]-CompletedJobs[[#This Row],[Live Margin]]</f>
        <v>0</v>
      </c>
      <c r="L83" s="5">
        <f>SUM(Table18[[#This Row],[Margin]]-Table18[[#This Row],[Prev. Margin]])</f>
        <v>0</v>
      </c>
      <c r="M83" s="16"/>
      <c r="N83" s="16"/>
      <c r="O83" s="91">
        <v>0.17</v>
      </c>
      <c r="P83" s="91"/>
      <c r="AK83" s="2">
        <v>25.08</v>
      </c>
    </row>
    <row r="84" spans="2:37" ht="14.5" customHeight="1" x14ac:dyDescent="0.35">
      <c r="B84" s="7"/>
      <c r="C84" s="8"/>
      <c r="D84" s="8"/>
      <c r="E84" s="9"/>
      <c r="F84" s="9"/>
      <c r="G84" s="6"/>
      <c r="H84" s="6"/>
      <c r="I84" s="5"/>
      <c r="J84" s="10"/>
      <c r="K84" s="134">
        <f>CompletedJobs[[#This Row],[ACTUAL MARGIN]]-CompletedJobs[[#This Row],[Live Margin]]</f>
        <v>0</v>
      </c>
      <c r="L84" s="5">
        <f>SUM(Table18[[#This Row],[Margin]]-Table18[[#This Row],[Prev. Margin]])</f>
        <v>0</v>
      </c>
      <c r="M84" s="16"/>
      <c r="N84" s="16"/>
      <c r="O84" s="91">
        <v>0.17</v>
      </c>
      <c r="P84" s="91"/>
      <c r="AK84" s="2">
        <v>14.37</v>
      </c>
    </row>
    <row r="85" spans="2:37" ht="14.5" customHeight="1" x14ac:dyDescent="0.35">
      <c r="B85" s="7"/>
      <c r="C85" s="8"/>
      <c r="D85" s="8"/>
      <c r="E85" s="9"/>
      <c r="F85" s="9"/>
      <c r="G85" s="6"/>
      <c r="H85" s="6"/>
      <c r="I85" s="5"/>
      <c r="J85" s="10"/>
      <c r="K85" s="134">
        <f>CompletedJobs[[#This Row],[ACTUAL MARGIN]]-CompletedJobs[[#This Row],[Live Margin]]</f>
        <v>0</v>
      </c>
      <c r="L85" s="5">
        <f>SUM(Table18[[#This Row],[Margin]]-Table18[[#This Row],[Prev. Margin]])</f>
        <v>0</v>
      </c>
      <c r="M85" s="16"/>
      <c r="N85" s="16"/>
      <c r="O85" s="91">
        <v>0.17</v>
      </c>
      <c r="P85" s="91"/>
      <c r="AK85" s="2">
        <v>18.399999999999999</v>
      </c>
    </row>
    <row r="86" spans="2:37" ht="14.5" customHeight="1" x14ac:dyDescent="0.35">
      <c r="B86" s="7"/>
      <c r="C86" s="8"/>
      <c r="D86" s="8"/>
      <c r="E86" s="24"/>
      <c r="F86" s="24"/>
      <c r="G86" s="6"/>
      <c r="H86" s="6"/>
      <c r="I86" s="5"/>
      <c r="J86" s="10"/>
      <c r="K86" s="134">
        <f>CompletedJobs[[#This Row],[ACTUAL MARGIN]]-CompletedJobs[[#This Row],[Live Margin]]</f>
        <v>0</v>
      </c>
      <c r="L86" s="5">
        <f>SUM(Table18[[#This Row],[Margin]]-Table18[[#This Row],[Prev. Margin]])</f>
        <v>0</v>
      </c>
      <c r="M86" s="16"/>
      <c r="N86" s="16"/>
      <c r="O86" s="91">
        <v>0.17</v>
      </c>
      <c r="P86" s="91"/>
      <c r="AK86" s="2">
        <v>17.43</v>
      </c>
    </row>
    <row r="87" spans="2:37" ht="14.5" customHeight="1" x14ac:dyDescent="0.35">
      <c r="B87" s="7"/>
      <c r="C87" s="8"/>
      <c r="D87" s="8"/>
      <c r="E87" s="9"/>
      <c r="F87" s="9"/>
      <c r="G87" s="6"/>
      <c r="H87" s="6"/>
      <c r="I87" s="5"/>
      <c r="J87" s="10"/>
      <c r="K87" s="134">
        <f>CompletedJobs[[#This Row],[ACTUAL MARGIN]]-CompletedJobs[[#This Row],[Live Margin]]</f>
        <v>0</v>
      </c>
      <c r="L87" s="5">
        <f>SUM(Table18[[#This Row],[Margin]]-Table18[[#This Row],[Prev. Margin]])</f>
        <v>0</v>
      </c>
      <c r="M87" s="16"/>
      <c r="N87" s="16"/>
      <c r="O87" s="91">
        <v>0.17</v>
      </c>
      <c r="P87" s="91"/>
      <c r="AK87" s="2">
        <v>18.579999999999998</v>
      </c>
    </row>
    <row r="88" spans="2:37" ht="14.5" customHeight="1" x14ac:dyDescent="0.35">
      <c r="B88" s="7"/>
      <c r="C88" s="8"/>
      <c r="D88" s="8"/>
      <c r="E88" s="9"/>
      <c r="F88" s="9"/>
      <c r="G88" s="6"/>
      <c r="H88" s="6"/>
      <c r="I88" s="5"/>
      <c r="J88" s="10"/>
      <c r="K88" s="134">
        <f>CompletedJobs[[#This Row],[ACTUAL MARGIN]]-CompletedJobs[[#This Row],[Live Margin]]</f>
        <v>0</v>
      </c>
      <c r="L88" s="5">
        <f>SUM(Table18[[#This Row],[Margin]]-Table18[[#This Row],[Prev. Margin]])</f>
        <v>-1.3355259858503554E-2</v>
      </c>
      <c r="M88" s="16"/>
      <c r="N88" s="16"/>
      <c r="O88" s="91">
        <v>0.17</v>
      </c>
      <c r="P88" s="91"/>
      <c r="AK88" s="2">
        <v>21.15</v>
      </c>
    </row>
    <row r="89" spans="2:37" ht="14.5" customHeight="1" x14ac:dyDescent="0.35">
      <c r="B89" s="7"/>
      <c r="C89" s="8"/>
      <c r="D89" s="8"/>
      <c r="E89" s="9"/>
      <c r="F89" s="9"/>
      <c r="G89" s="6"/>
      <c r="H89" s="6"/>
      <c r="I89" s="5"/>
      <c r="J89" s="10"/>
      <c r="K89" s="134">
        <f>CompletedJobs[[#This Row],[ACTUAL MARGIN]]-CompletedJobs[[#This Row],[Live Margin]]</f>
        <v>0</v>
      </c>
      <c r="L89" s="5">
        <f>SUM(Table18[[#This Row],[Margin]]-Table18[[#This Row],[Prev. Margin]])</f>
        <v>0</v>
      </c>
      <c r="M89" s="16"/>
      <c r="N89" s="16"/>
      <c r="O89" s="91">
        <v>0.17</v>
      </c>
      <c r="P89" s="91"/>
    </row>
    <row r="90" spans="2:37" ht="14.5" customHeight="1" x14ac:dyDescent="0.35">
      <c r="B90" s="7"/>
      <c r="C90" s="8"/>
      <c r="D90" s="8"/>
      <c r="E90" s="9"/>
      <c r="F90" s="9"/>
      <c r="G90" s="6"/>
      <c r="H90" s="6"/>
      <c r="I90" s="5"/>
      <c r="J90" s="10"/>
      <c r="K90" s="134">
        <f>CompletedJobs[[#This Row],[ACTUAL MARGIN]]-CompletedJobs[[#This Row],[Live Margin]]</f>
        <v>0</v>
      </c>
      <c r="L90" s="5">
        <f>SUM(Table18[[#This Row],[Margin]]-Table18[[#This Row],[Prev. Margin]])</f>
        <v>0</v>
      </c>
      <c r="M90" s="16"/>
      <c r="N90" s="16"/>
      <c r="O90" s="91">
        <v>0.17</v>
      </c>
      <c r="P90" s="91"/>
    </row>
    <row r="91" spans="2:37" ht="14.5" customHeight="1" x14ac:dyDescent="0.35">
      <c r="B91" s="7"/>
      <c r="C91" s="8"/>
      <c r="D91" s="8"/>
      <c r="E91" s="9"/>
      <c r="F91" s="9"/>
      <c r="G91" s="6"/>
      <c r="H91" s="6"/>
      <c r="I91" s="5"/>
      <c r="J91" s="10"/>
      <c r="K91" s="134">
        <f>CompletedJobs[[#This Row],[ACTUAL MARGIN]]-CompletedJobs[[#This Row],[Live Margin]]</f>
        <v>0</v>
      </c>
      <c r="L91" s="5">
        <f>SUM(Table18[[#This Row],[Margin]]-Table18[[#This Row],[Prev. Margin]])</f>
        <v>0</v>
      </c>
      <c r="M91" s="16"/>
      <c r="N91" s="16"/>
      <c r="O91" s="91">
        <v>0.17</v>
      </c>
      <c r="P91" s="91"/>
    </row>
    <row r="92" spans="2:37" ht="14.5" customHeight="1" x14ac:dyDescent="0.35">
      <c r="B92" s="7"/>
      <c r="C92" s="8"/>
      <c r="D92" s="8"/>
      <c r="E92" s="9"/>
      <c r="F92" s="9"/>
      <c r="G92" s="6"/>
      <c r="H92" s="6"/>
      <c r="I92" s="5"/>
      <c r="J92" s="10"/>
      <c r="K92" s="134">
        <f>CompletedJobs[[#This Row],[ACTUAL MARGIN]]-CompletedJobs[[#This Row],[Live Margin]]</f>
        <v>0</v>
      </c>
      <c r="L92" s="5">
        <f>SUM(Table18[[#This Row],[Margin]]-Table18[[#This Row],[Prev. Margin]])</f>
        <v>0</v>
      </c>
      <c r="M92" s="16"/>
      <c r="N92" s="16"/>
      <c r="O92" s="91">
        <v>0.17</v>
      </c>
      <c r="P92" s="91"/>
    </row>
    <row r="93" spans="2:37" ht="14.5" customHeight="1" x14ac:dyDescent="0.35">
      <c r="B93" s="7"/>
      <c r="C93" s="8"/>
      <c r="D93" s="8"/>
      <c r="E93" s="9"/>
      <c r="F93" s="9"/>
      <c r="G93" s="6"/>
      <c r="H93" s="6"/>
      <c r="I93" s="5"/>
      <c r="J93" s="10"/>
      <c r="K93" s="134">
        <f>CompletedJobs[[#This Row],[ACTUAL MARGIN]]-CompletedJobs[[#This Row],[Live Margin]]</f>
        <v>0</v>
      </c>
      <c r="L93" s="5">
        <f>SUM(Table18[[#This Row],[Margin]]-Table18[[#This Row],[Prev. Margin]])</f>
        <v>0</v>
      </c>
      <c r="M93" s="16"/>
      <c r="N93" s="16"/>
      <c r="O93" s="91">
        <v>0.17</v>
      </c>
      <c r="P93" s="91"/>
    </row>
    <row r="94" spans="2:37" x14ac:dyDescent="0.35">
      <c r="B94" s="7"/>
      <c r="C94" s="8"/>
      <c r="D94" s="8"/>
      <c r="E94" s="9"/>
      <c r="F94" s="9"/>
      <c r="G94" s="6"/>
      <c r="H94" s="6"/>
      <c r="I94" s="5"/>
      <c r="J94" s="10"/>
      <c r="K94" s="134">
        <f>CompletedJobs[[#This Row],[ACTUAL MARGIN]]-CompletedJobs[[#This Row],[Live Margin]]</f>
        <v>0</v>
      </c>
      <c r="L94" s="5">
        <f>SUM(Table18[[#This Row],[Margin]]-Table18[[#This Row],[Prev. Margin]])</f>
        <v>-3.9199465761179234E-2</v>
      </c>
      <c r="M94" s="16"/>
      <c r="N94" s="16"/>
      <c r="O94" s="91">
        <v>0.17</v>
      </c>
      <c r="P94" s="91"/>
    </row>
    <row r="95" spans="2:37" ht="14.5" customHeight="1" x14ac:dyDescent="0.35">
      <c r="B95" s="7"/>
      <c r="C95" s="8"/>
      <c r="D95" s="8"/>
      <c r="E95" s="9"/>
      <c r="F95" s="9"/>
      <c r="G95" s="6"/>
      <c r="H95" s="6"/>
      <c r="I95" s="5"/>
      <c r="J95" s="10"/>
      <c r="K95" s="134">
        <f>CompletedJobs[[#This Row],[ACTUAL MARGIN]]-CompletedJobs[[#This Row],[Live Margin]]</f>
        <v>0</v>
      </c>
      <c r="L95" s="5">
        <f>SUM(Table18[[#This Row],[Margin]]-Table18[[#This Row],[Prev. Margin]])</f>
        <v>-1.6526745428680212E-3</v>
      </c>
      <c r="M95" s="16"/>
      <c r="N95" s="16"/>
      <c r="O95" s="91">
        <v>0.17</v>
      </c>
      <c r="P95" s="91"/>
    </row>
    <row r="96" spans="2:37" ht="14.5" customHeight="1" x14ac:dyDescent="0.35">
      <c r="B96" s="7"/>
      <c r="C96" s="8"/>
      <c r="D96" s="8"/>
      <c r="E96" s="9"/>
      <c r="F96" s="9"/>
      <c r="G96" s="6"/>
      <c r="H96" s="6"/>
      <c r="I96" s="5"/>
      <c r="J96" s="10"/>
      <c r="K96" s="134">
        <f>CompletedJobs[[#This Row],[ACTUAL MARGIN]]-CompletedJobs[[#This Row],[Live Margin]]</f>
        <v>0</v>
      </c>
      <c r="L96" s="5">
        <f>SUM(Table18[[#This Row],[Margin]]-Table18[[#This Row],[Prev. Margin]])</f>
        <v>-9.5296641112898317E-3</v>
      </c>
      <c r="M96" s="16"/>
      <c r="N96" s="16"/>
      <c r="O96" s="91">
        <v>0.17</v>
      </c>
      <c r="P96" s="91"/>
    </row>
    <row r="97" spans="2:16" x14ac:dyDescent="0.35">
      <c r="B97" s="7"/>
      <c r="C97" s="8"/>
      <c r="D97" s="8"/>
      <c r="E97" s="9"/>
      <c r="F97" s="9"/>
      <c r="G97" s="6"/>
      <c r="H97" s="6"/>
      <c r="I97" s="5"/>
      <c r="J97" s="10"/>
      <c r="K97" s="134">
        <f>CompletedJobs[[#This Row],[ACTUAL MARGIN]]-CompletedJobs[[#This Row],[Live Margin]]</f>
        <v>0</v>
      </c>
      <c r="L97" s="5">
        <f>SUM(Table18[[#This Row],[Margin]]-Table18[[#This Row],[Prev. Margin]])</f>
        <v>0</v>
      </c>
      <c r="M97" s="16"/>
      <c r="N97" s="16"/>
      <c r="O97" s="91">
        <v>0.17</v>
      </c>
      <c r="P97" s="91"/>
    </row>
    <row r="98" spans="2:16" ht="14.5" customHeight="1" x14ac:dyDescent="0.35">
      <c r="B98" s="7"/>
      <c r="C98" s="8"/>
      <c r="D98" s="8"/>
      <c r="E98" s="9"/>
      <c r="F98" s="9"/>
      <c r="G98" s="6"/>
      <c r="H98" s="6"/>
      <c r="I98" s="5"/>
      <c r="J98" s="10"/>
      <c r="K98" s="134">
        <f>CompletedJobs[[#This Row],[ACTUAL MARGIN]]-CompletedJobs[[#This Row],[Live Margin]]</f>
        <v>0</v>
      </c>
      <c r="L98" s="5">
        <f>SUM(Table18[[#This Row],[Margin]]-Table18[[#This Row],[Prev. Margin]])</f>
        <v>-1.3942281771232287E-2</v>
      </c>
      <c r="M98" s="16"/>
      <c r="N98" s="16"/>
      <c r="O98" s="91">
        <v>0.17</v>
      </c>
      <c r="P98" s="91"/>
    </row>
    <row r="99" spans="2:16" x14ac:dyDescent="0.35">
      <c r="B99" s="7"/>
      <c r="C99" s="8"/>
      <c r="D99" s="8"/>
      <c r="E99" s="9"/>
      <c r="F99" s="9"/>
      <c r="G99" s="6"/>
      <c r="H99" s="6"/>
      <c r="I99" s="5"/>
      <c r="J99" s="10"/>
      <c r="K99" s="134">
        <f>CompletedJobs[[#This Row],[ACTUAL MARGIN]]-CompletedJobs[[#This Row],[Live Margin]]</f>
        <v>0</v>
      </c>
      <c r="L99" s="5">
        <f>SUM(Table18[[#This Row],[Margin]]-Table18[[#This Row],[Prev. Margin]])</f>
        <v>0</v>
      </c>
      <c r="M99" s="16"/>
      <c r="N99" s="16"/>
      <c r="O99" s="91">
        <v>0.17</v>
      </c>
      <c r="P99" s="91"/>
    </row>
    <row r="100" spans="2:16" x14ac:dyDescent="0.35">
      <c r="B100" s="7"/>
      <c r="C100" s="8"/>
      <c r="D100" s="8"/>
      <c r="E100" s="9"/>
      <c r="F100" s="9"/>
      <c r="G100" s="6"/>
      <c r="H100" s="6"/>
      <c r="I100" s="5"/>
      <c r="J100" s="10"/>
      <c r="K100" s="134">
        <f>CompletedJobs[[#This Row],[ACTUAL MARGIN]]-CompletedJobs[[#This Row],[Live Margin]]</f>
        <v>0</v>
      </c>
      <c r="L100" s="5">
        <f>SUM(Table18[[#This Row],[Margin]]-Table18[[#This Row],[Prev. Margin]])</f>
        <v>-5.1492389454920212E-2</v>
      </c>
      <c r="M100" s="16"/>
      <c r="N100" s="16"/>
      <c r="O100" s="91">
        <v>0.17</v>
      </c>
      <c r="P100" s="91"/>
    </row>
    <row r="101" spans="2:16" ht="14.5" customHeight="1" x14ac:dyDescent="0.35">
      <c r="B101" s="7"/>
      <c r="C101" s="8"/>
      <c r="D101" s="8"/>
      <c r="E101" s="9"/>
      <c r="F101" s="9"/>
      <c r="G101" s="6"/>
      <c r="H101" s="6"/>
      <c r="I101" s="5"/>
      <c r="J101" s="10"/>
      <c r="K101" s="134">
        <f>CompletedJobs[[#This Row],[ACTUAL MARGIN]]-CompletedJobs[[#This Row],[Live Margin]]</f>
        <v>0</v>
      </c>
      <c r="L101" s="5">
        <f>SUM(Table18[[#This Row],[Margin]]-Table18[[#This Row],[Prev. Margin]])</f>
        <v>-6.9226878249837059E-2</v>
      </c>
      <c r="M101" s="16"/>
      <c r="N101" s="16"/>
      <c r="O101" s="91">
        <v>0.17</v>
      </c>
      <c r="P101" s="91"/>
    </row>
    <row r="102" spans="2:16" ht="14.5" customHeight="1" x14ac:dyDescent="0.35">
      <c r="B102" s="7"/>
      <c r="C102" s="8"/>
      <c r="D102" s="8"/>
      <c r="E102" s="9"/>
      <c r="F102" s="9"/>
      <c r="G102" s="6"/>
      <c r="H102" s="6"/>
      <c r="I102" s="5"/>
      <c r="J102" s="10"/>
      <c r="K102" s="134">
        <f>CompletedJobs[[#This Row],[ACTUAL MARGIN]]-CompletedJobs[[#This Row],[Live Margin]]</f>
        <v>0</v>
      </c>
      <c r="L102" s="5">
        <f>SUM(Table18[[#This Row],[Margin]]-Table18[[#This Row],[Prev. Margin]])</f>
        <v>5.0268817204300986E-2</v>
      </c>
      <c r="M102" s="16"/>
      <c r="N102" s="16"/>
      <c r="O102" s="91">
        <v>0.17</v>
      </c>
      <c r="P102" s="91"/>
    </row>
    <row r="103" spans="2:16" ht="14.5" customHeight="1" x14ac:dyDescent="0.35">
      <c r="B103" s="7"/>
      <c r="C103" s="8"/>
      <c r="D103" s="8"/>
      <c r="E103" s="9"/>
      <c r="F103" s="9"/>
      <c r="G103" s="6"/>
      <c r="H103" s="6"/>
      <c r="I103" s="5"/>
      <c r="J103" s="10"/>
      <c r="K103" s="134">
        <f>CompletedJobs[[#This Row],[ACTUAL MARGIN]]-CompletedJobs[[#This Row],[Live Margin]]</f>
        <v>0</v>
      </c>
      <c r="L103" s="5">
        <f>SUM(Table18[[#This Row],[Margin]]-Table18[[#This Row],[Prev. Margin]])</f>
        <v>-2.5150265528755517E-2</v>
      </c>
      <c r="M103" s="16"/>
      <c r="N103" s="16"/>
      <c r="O103" s="91">
        <v>0.17</v>
      </c>
      <c r="P103" s="91"/>
    </row>
    <row r="104" spans="2:16" ht="14.5" customHeight="1" x14ac:dyDescent="0.35">
      <c r="B104" s="7"/>
      <c r="C104" s="8"/>
      <c r="D104" s="8"/>
      <c r="E104" s="9"/>
      <c r="F104" s="9"/>
      <c r="G104" s="6"/>
      <c r="H104" s="6"/>
      <c r="I104" s="5"/>
      <c r="J104" s="10"/>
      <c r="K104" s="134">
        <f>CompletedJobs[[#This Row],[ACTUAL MARGIN]]-CompletedJobs[[#This Row],[Live Margin]]</f>
        <v>0</v>
      </c>
      <c r="L104" s="5">
        <f>SUM(Table18[[#This Row],[Margin]]-Table18[[#This Row],[Prev. Margin]])</f>
        <v>8.9340877576631922E-2</v>
      </c>
      <c r="M104" s="16"/>
      <c r="N104" s="16"/>
      <c r="O104" s="91">
        <v>0.17</v>
      </c>
      <c r="P104" s="91"/>
    </row>
    <row r="105" spans="2:16" x14ac:dyDescent="0.35">
      <c r="B105" s="7"/>
      <c r="C105" s="8"/>
      <c r="D105" s="8"/>
      <c r="E105" s="9"/>
      <c r="F105" s="9"/>
      <c r="G105" s="6"/>
      <c r="H105" s="6"/>
      <c r="I105" s="5"/>
      <c r="J105" s="10"/>
      <c r="K105" s="134">
        <f>CompletedJobs[[#This Row],[ACTUAL MARGIN]]-CompletedJobs[[#This Row],[Live Margin]]</f>
        <v>0</v>
      </c>
      <c r="L105" s="5">
        <f>SUM(Table18[[#This Row],[Margin]]-Table18[[#This Row],[Prev. Margin]])</f>
        <v>3.1609501154370501E-2</v>
      </c>
      <c r="M105" s="16"/>
      <c r="N105" s="16"/>
      <c r="O105" s="91">
        <v>0.17</v>
      </c>
      <c r="P105" s="91"/>
    </row>
    <row r="106" spans="2:16" x14ac:dyDescent="0.35">
      <c r="B106" s="7"/>
      <c r="C106" s="8"/>
      <c r="D106" s="8"/>
      <c r="E106" s="9"/>
      <c r="F106" s="9"/>
      <c r="G106" s="6"/>
      <c r="H106" s="6"/>
      <c r="I106" s="5"/>
      <c r="J106" s="10"/>
      <c r="K106" s="134">
        <f>CompletedJobs[[#This Row],[ACTUAL MARGIN]]-CompletedJobs[[#This Row],[Live Margin]]</f>
        <v>0</v>
      </c>
      <c r="L106" s="5">
        <f>SUM(Table18[[#This Row],[Margin]]-Table18[[#This Row],[Prev. Margin]])</f>
        <v>0</v>
      </c>
      <c r="M106" s="16"/>
      <c r="N106" s="16"/>
      <c r="O106" s="91">
        <v>0.17</v>
      </c>
      <c r="P106" s="91"/>
    </row>
    <row r="107" spans="2:16" x14ac:dyDescent="0.35">
      <c r="B107" s="7"/>
      <c r="C107" s="8"/>
      <c r="D107" s="8"/>
      <c r="E107" s="9"/>
      <c r="F107" s="9"/>
      <c r="G107" s="6"/>
      <c r="H107" s="6"/>
      <c r="I107" s="5"/>
      <c r="J107" s="10"/>
      <c r="K107" s="134">
        <f>CompletedJobs[[#This Row],[ACTUAL MARGIN]]-CompletedJobs[[#This Row],[Live Margin]]</f>
        <v>0</v>
      </c>
      <c r="L107" s="5">
        <f>SUM(Table18[[#This Row],[Margin]]-Table18[[#This Row],[Prev. Margin]])</f>
        <v>0</v>
      </c>
      <c r="M107" s="16"/>
      <c r="N107" s="16"/>
      <c r="O107" s="91">
        <v>0.17</v>
      </c>
      <c r="P107" s="91"/>
    </row>
    <row r="108" spans="2:16" x14ac:dyDescent="0.35">
      <c r="B108" s="7"/>
      <c r="C108" s="8"/>
      <c r="D108" s="8"/>
      <c r="E108" s="9"/>
      <c r="F108" s="9"/>
      <c r="G108" s="6"/>
      <c r="H108" s="6"/>
      <c r="I108" s="5"/>
      <c r="J108" s="10"/>
      <c r="K108" s="134">
        <f>CompletedJobs[[#This Row],[ACTUAL MARGIN]]-CompletedJobs[[#This Row],[Live Margin]]</f>
        <v>0</v>
      </c>
      <c r="L108" s="5">
        <f>SUM(Table18[[#This Row],[Margin]]-Table18[[#This Row],[Prev. Margin]])</f>
        <v>0</v>
      </c>
      <c r="M108" s="16"/>
      <c r="N108" s="16"/>
      <c r="O108" s="91">
        <v>0.17</v>
      </c>
      <c r="P108" s="91"/>
    </row>
    <row r="109" spans="2:16" x14ac:dyDescent="0.35">
      <c r="B109" s="7"/>
      <c r="C109" s="8"/>
      <c r="D109" s="8"/>
      <c r="E109" s="9"/>
      <c r="F109" s="9"/>
      <c r="G109" s="6"/>
      <c r="H109" s="6"/>
      <c r="I109" s="5"/>
      <c r="J109" s="10"/>
      <c r="K109" s="134">
        <f>CompletedJobs[[#This Row],[ACTUAL MARGIN]]-CompletedJobs[[#This Row],[Live Margin]]</f>
        <v>0</v>
      </c>
      <c r="L109" s="5">
        <f>SUM(Table18[[#This Row],[Margin]]-Table18[[#This Row],[Prev. Margin]])</f>
        <v>0</v>
      </c>
      <c r="M109" s="16"/>
      <c r="N109" s="16"/>
      <c r="O109" s="91">
        <v>0.17</v>
      </c>
      <c r="P109" s="91"/>
    </row>
    <row r="110" spans="2:16" x14ac:dyDescent="0.35">
      <c r="B110" s="7"/>
      <c r="C110" s="8"/>
      <c r="D110" s="8"/>
      <c r="E110" s="9"/>
      <c r="F110" s="9"/>
      <c r="G110" s="6"/>
      <c r="H110" s="6"/>
      <c r="I110" s="5"/>
      <c r="J110" s="10"/>
      <c r="K110" s="134">
        <f>CompletedJobs[[#This Row],[ACTUAL MARGIN]]-CompletedJobs[[#This Row],[Live Margin]]</f>
        <v>0</v>
      </c>
      <c r="L110" s="5">
        <f>SUM(Table18[[#This Row],[Margin]]-Table18[[#This Row],[Prev. Margin]])</f>
        <v>0</v>
      </c>
      <c r="M110" s="16"/>
      <c r="N110" s="16"/>
      <c r="O110" s="91">
        <v>0.17</v>
      </c>
      <c r="P110" s="91"/>
    </row>
    <row r="111" spans="2:16" x14ac:dyDescent="0.35">
      <c r="B111" s="7"/>
      <c r="C111" s="8"/>
      <c r="D111" s="8"/>
      <c r="E111" s="9"/>
      <c r="F111" s="9"/>
      <c r="G111" s="6"/>
      <c r="H111" s="6"/>
      <c r="I111" s="5"/>
      <c r="J111" s="10"/>
      <c r="K111" s="134">
        <f>CompletedJobs[[#This Row],[ACTUAL MARGIN]]-CompletedJobs[[#This Row],[Live Margin]]</f>
        <v>0</v>
      </c>
      <c r="L111" s="5">
        <f>SUM(Table18[[#This Row],[Margin]]-Table18[[#This Row],[Prev. Margin]])</f>
        <v>0</v>
      </c>
      <c r="M111" s="16"/>
      <c r="N111" s="16"/>
      <c r="O111" s="91">
        <v>0.17</v>
      </c>
      <c r="P111" s="91"/>
    </row>
    <row r="112" spans="2:16" x14ac:dyDescent="0.35">
      <c r="B112" s="7"/>
      <c r="C112" s="8"/>
      <c r="D112" s="8"/>
      <c r="E112" s="9"/>
      <c r="F112" s="9"/>
      <c r="G112" s="6"/>
      <c r="H112" s="6"/>
      <c r="I112" s="5"/>
      <c r="J112" s="10"/>
      <c r="K112" s="134">
        <f>CompletedJobs[[#This Row],[ACTUAL MARGIN]]-CompletedJobs[[#This Row],[Live Margin]]</f>
        <v>0</v>
      </c>
      <c r="L112" s="5">
        <f>SUM(Table18[[#This Row],[Margin]]-Table18[[#This Row],[Prev. Margin]])</f>
        <v>0</v>
      </c>
      <c r="M112" s="16"/>
      <c r="N112" s="16"/>
      <c r="O112" s="91">
        <v>0.17</v>
      </c>
      <c r="P112" s="91"/>
    </row>
    <row r="113" spans="2:16" x14ac:dyDescent="0.35">
      <c r="B113" s="7"/>
      <c r="C113" s="8"/>
      <c r="D113" s="8"/>
      <c r="E113" s="9"/>
      <c r="F113" s="9"/>
      <c r="G113" s="6"/>
      <c r="H113" s="6"/>
      <c r="I113" s="5"/>
      <c r="J113" s="10"/>
      <c r="K113" s="134">
        <f>CompletedJobs[[#This Row],[ACTUAL MARGIN]]-CompletedJobs[[#This Row],[Live Margin]]</f>
        <v>0</v>
      </c>
      <c r="L113" s="5">
        <f>SUM(Table18[[#This Row],[Margin]]-Table18[[#This Row],[Prev. Margin]])</f>
        <v>0</v>
      </c>
      <c r="M113" s="16"/>
      <c r="N113" s="16"/>
      <c r="O113" s="91">
        <v>0.17</v>
      </c>
      <c r="P113" s="91"/>
    </row>
    <row r="114" spans="2:16" x14ac:dyDescent="0.35">
      <c r="B114" s="7"/>
      <c r="C114" s="8"/>
      <c r="D114" s="8"/>
      <c r="E114" s="9"/>
      <c r="F114" s="9"/>
      <c r="G114" s="6"/>
      <c r="H114" s="6"/>
      <c r="I114" s="5"/>
      <c r="J114" s="10"/>
      <c r="K114" s="134">
        <f>CompletedJobs[[#This Row],[ACTUAL MARGIN]]-CompletedJobs[[#This Row],[Live Margin]]</f>
        <v>0</v>
      </c>
      <c r="L114" s="5">
        <f>SUM(Table18[[#This Row],[Margin]]-Table18[[#This Row],[Prev. Margin]])</f>
        <v>4.1090511136861144E-2</v>
      </c>
      <c r="M114" s="16"/>
      <c r="N114" s="16"/>
      <c r="O114" s="91">
        <v>0.17</v>
      </c>
      <c r="P114" s="91"/>
    </row>
    <row r="115" spans="2:16" x14ac:dyDescent="0.35">
      <c r="B115" s="7"/>
      <c r="C115" s="8"/>
      <c r="D115" s="8"/>
      <c r="E115" s="9"/>
      <c r="F115" s="9"/>
      <c r="G115" s="6"/>
      <c r="H115" s="6"/>
      <c r="I115" s="5"/>
      <c r="J115" s="10"/>
      <c r="K115" s="134">
        <f>CompletedJobs[[#This Row],[ACTUAL MARGIN]]-CompletedJobs[[#This Row],[Live Margin]]</f>
        <v>0</v>
      </c>
      <c r="L115" s="5">
        <f>SUM(Table18[[#This Row],[Margin]]-Table18[[#This Row],[Prev. Margin]])</f>
        <v>0</v>
      </c>
      <c r="M115" s="16"/>
      <c r="N115" s="16"/>
      <c r="O115" s="91">
        <v>0.17</v>
      </c>
      <c r="P115" s="91"/>
    </row>
    <row r="116" spans="2:16" x14ac:dyDescent="0.35">
      <c r="B116" s="7"/>
      <c r="C116" s="8"/>
      <c r="D116" s="8"/>
      <c r="E116" s="9"/>
      <c r="F116" s="9"/>
      <c r="G116" s="6"/>
      <c r="H116" s="6"/>
      <c r="I116" s="5"/>
      <c r="J116" s="10"/>
      <c r="K116" s="134">
        <f>CompletedJobs[[#This Row],[ACTUAL MARGIN]]-CompletedJobs[[#This Row],[Live Margin]]</f>
        <v>0</v>
      </c>
      <c r="L116" s="5">
        <f>SUM(Table18[[#This Row],[Margin]]-Table18[[#This Row],[Prev. Margin]])</f>
        <v>0</v>
      </c>
      <c r="M116" s="16"/>
      <c r="N116" s="16"/>
      <c r="O116" s="91">
        <v>0.17</v>
      </c>
      <c r="P116" s="91"/>
    </row>
    <row r="117" spans="2:16" x14ac:dyDescent="0.35">
      <c r="B117" s="7"/>
      <c r="C117" s="8"/>
      <c r="D117" s="8"/>
      <c r="E117" s="9"/>
      <c r="F117" s="9"/>
      <c r="G117" s="6"/>
      <c r="H117" s="6"/>
      <c r="I117" s="5"/>
      <c r="J117" s="10"/>
      <c r="K117" s="134">
        <f>CompletedJobs[[#This Row],[ACTUAL MARGIN]]-CompletedJobs[[#This Row],[Live Margin]]</f>
        <v>0</v>
      </c>
      <c r="L117" s="5">
        <f>SUM(Table18[[#This Row],[Margin]]-Table18[[#This Row],[Prev. Margin]])</f>
        <v>0</v>
      </c>
      <c r="M117" s="16"/>
      <c r="N117" s="16"/>
      <c r="O117" s="91">
        <v>0.17</v>
      </c>
      <c r="P117" s="91"/>
    </row>
    <row r="118" spans="2:16" x14ac:dyDescent="0.35">
      <c r="B118" s="7"/>
      <c r="C118" s="8"/>
      <c r="D118" s="8"/>
      <c r="E118" s="9"/>
      <c r="F118" s="9"/>
      <c r="G118" s="6"/>
      <c r="H118" s="6"/>
      <c r="I118" s="5"/>
      <c r="J118" s="10"/>
      <c r="K118" s="134">
        <f>CompletedJobs[[#This Row],[ACTUAL MARGIN]]-CompletedJobs[[#This Row],[Live Margin]]</f>
        <v>0</v>
      </c>
      <c r="L118" s="5">
        <f>SUM(Table18[[#This Row],[Margin]]-Table18[[#This Row],[Prev. Margin]])</f>
        <v>0</v>
      </c>
      <c r="M118" s="16"/>
      <c r="N118" s="16"/>
      <c r="O118" s="91">
        <v>0.17</v>
      </c>
      <c r="P118" s="91"/>
    </row>
    <row r="119" spans="2:16" x14ac:dyDescent="0.35">
      <c r="B119" s="7"/>
      <c r="C119" s="8"/>
      <c r="D119" s="8"/>
      <c r="E119" s="9"/>
      <c r="F119" s="9"/>
      <c r="G119" s="6"/>
      <c r="H119" s="6"/>
      <c r="I119" s="5"/>
      <c r="J119" s="10"/>
      <c r="K119" s="134">
        <f>CompletedJobs[[#This Row],[ACTUAL MARGIN]]-CompletedJobs[[#This Row],[Live Margin]]</f>
        <v>0</v>
      </c>
      <c r="L119" s="5">
        <f>SUM(Table18[[#This Row],[Margin]]-Table18[[#This Row],[Prev. Margin]])</f>
        <v>0</v>
      </c>
      <c r="M119" s="16"/>
      <c r="N119" s="16"/>
      <c r="O119" s="91">
        <v>0.17</v>
      </c>
      <c r="P119" s="91"/>
    </row>
    <row r="120" spans="2:16" x14ac:dyDescent="0.35">
      <c r="B120" s="7"/>
      <c r="C120" s="8"/>
      <c r="D120" s="8"/>
      <c r="E120" s="9"/>
      <c r="F120" s="9"/>
      <c r="G120" s="6"/>
      <c r="H120" s="6"/>
      <c r="I120" s="5"/>
      <c r="J120" s="10"/>
      <c r="K120" s="134">
        <f>CompletedJobs[[#This Row],[ACTUAL MARGIN]]-CompletedJobs[[#This Row],[Live Margin]]</f>
        <v>0</v>
      </c>
      <c r="L120" s="5">
        <f>SUM(Table18[[#This Row],[Margin]]-Table18[[#This Row],[Prev. Margin]])</f>
        <v>0</v>
      </c>
      <c r="M120" s="16"/>
      <c r="N120" s="16"/>
      <c r="O120" s="91">
        <v>0.17</v>
      </c>
      <c r="P120" s="91"/>
    </row>
    <row r="121" spans="2:16" x14ac:dyDescent="0.35">
      <c r="B121" s="7"/>
      <c r="C121" s="23"/>
      <c r="D121" s="23"/>
      <c r="E121" s="24"/>
      <c r="F121" s="24"/>
      <c r="G121" s="25"/>
      <c r="H121" s="25"/>
      <c r="I121" s="5"/>
      <c r="J121" s="5"/>
      <c r="K121" s="134">
        <f>CompletedJobs[[#This Row],[ACTUAL MARGIN]]-CompletedJobs[[#This Row],[Live Margin]]</f>
        <v>0</v>
      </c>
      <c r="L121" s="5">
        <f>SUM(Table18[[#This Row],[Margin]]-Table18[[#This Row],[Prev. Margin]])</f>
        <v>0</v>
      </c>
      <c r="M121" s="16"/>
      <c r="N121" s="16"/>
      <c r="O121" s="91">
        <v>0.17</v>
      </c>
      <c r="P121" s="91"/>
    </row>
    <row r="122" spans="2:16" x14ac:dyDescent="0.35">
      <c r="B122" s="7"/>
      <c r="C122" s="8"/>
      <c r="D122" s="8"/>
      <c r="E122" s="9"/>
      <c r="F122" s="9"/>
      <c r="G122" s="6"/>
      <c r="H122" s="6"/>
      <c r="I122" s="5"/>
      <c r="J122" s="10"/>
      <c r="K122" s="134">
        <f>CompletedJobs[[#This Row],[ACTUAL MARGIN]]-CompletedJobs[[#This Row],[Live Margin]]</f>
        <v>0</v>
      </c>
      <c r="L122" s="5">
        <f>SUM(Table18[[#This Row],[Margin]]-Table18[[#This Row],[Prev. Margin]])</f>
        <v>0</v>
      </c>
      <c r="M122" s="16"/>
      <c r="N122" s="16"/>
      <c r="O122" s="91">
        <v>0.17</v>
      </c>
      <c r="P122" s="91"/>
    </row>
    <row r="123" spans="2:16" x14ac:dyDescent="0.35">
      <c r="B123" s="7"/>
      <c r="C123" s="8"/>
      <c r="D123" s="8"/>
      <c r="E123" s="9"/>
      <c r="F123" s="9"/>
      <c r="G123" s="6"/>
      <c r="H123" s="6"/>
      <c r="I123" s="5"/>
      <c r="J123" s="5"/>
      <c r="K123" s="134">
        <f>CompletedJobs[[#This Row],[ACTUAL MARGIN]]-CompletedJobs[[#This Row],[Live Margin]]</f>
        <v>0</v>
      </c>
      <c r="L123" s="5">
        <f>SUM(Table18[[#This Row],[Margin]]-Table18[[#This Row],[Prev. Margin]])</f>
        <v>0</v>
      </c>
      <c r="M123" s="16"/>
      <c r="N123" s="16"/>
      <c r="O123" s="91">
        <v>0.17</v>
      </c>
      <c r="P123" s="91"/>
    </row>
    <row r="124" spans="2:16" x14ac:dyDescent="0.35">
      <c r="B124" s="7"/>
      <c r="C124" s="15"/>
      <c r="D124" s="8"/>
      <c r="E124" s="9"/>
      <c r="F124" s="9"/>
      <c r="G124" s="6"/>
      <c r="H124" s="6"/>
      <c r="I124" s="5"/>
      <c r="J124" s="5"/>
      <c r="K124" s="134">
        <f>CompletedJobs[[#This Row],[ACTUAL MARGIN]]-CompletedJobs[[#This Row],[Live Margin]]</f>
        <v>0</v>
      </c>
      <c r="L124" s="5">
        <f>SUM(Table18[[#This Row],[Margin]]-Table18[[#This Row],[Prev. Margin]])</f>
        <v>-1.3178888350451057E-3</v>
      </c>
      <c r="M124" s="16"/>
      <c r="N124" s="16"/>
      <c r="O124" s="91">
        <v>0.17</v>
      </c>
      <c r="P124" s="91"/>
    </row>
    <row r="125" spans="2:16" x14ac:dyDescent="0.35">
      <c r="B125" s="7"/>
      <c r="C125" s="23"/>
      <c r="D125" s="23"/>
      <c r="E125" s="24"/>
      <c r="F125" s="24"/>
      <c r="G125" s="25"/>
      <c r="H125" s="25"/>
      <c r="I125" s="5"/>
      <c r="J125" s="10"/>
      <c r="K125" s="134">
        <f>CompletedJobs[[#This Row],[ACTUAL MARGIN]]-CompletedJobs[[#This Row],[Live Margin]]</f>
        <v>0</v>
      </c>
      <c r="L125" s="5">
        <f>SUM(Table18[[#This Row],[Margin]]-Table18[[#This Row],[Prev. Margin]])</f>
        <v>0</v>
      </c>
      <c r="M125" s="16"/>
      <c r="N125" s="16"/>
      <c r="O125" s="91">
        <v>0.17</v>
      </c>
      <c r="P125" s="91"/>
    </row>
    <row r="126" spans="2:16" x14ac:dyDescent="0.35">
      <c r="B126" s="7"/>
      <c r="C126" s="8"/>
      <c r="D126" s="8"/>
      <c r="E126" s="9"/>
      <c r="F126" s="9"/>
      <c r="G126" s="6"/>
      <c r="H126" s="6"/>
      <c r="I126" s="5"/>
      <c r="J126" s="10"/>
      <c r="K126" s="134">
        <f>CompletedJobs[[#This Row],[ACTUAL MARGIN]]-CompletedJobs[[#This Row],[Live Margin]]</f>
        <v>0</v>
      </c>
      <c r="L126" s="5">
        <f>SUM(Table18[[#This Row],[Margin]]-Table18[[#This Row],[Prev. Margin]])</f>
        <v>0</v>
      </c>
      <c r="M126" s="16"/>
      <c r="N126" s="16"/>
      <c r="O126" s="91">
        <v>0.17</v>
      </c>
      <c r="P126" s="91"/>
    </row>
    <row r="127" spans="2:16" x14ac:dyDescent="0.35">
      <c r="B127" s="7"/>
      <c r="C127" s="8"/>
      <c r="D127" s="8"/>
      <c r="E127" s="9"/>
      <c r="F127" s="9"/>
      <c r="G127" s="6"/>
      <c r="H127" s="6"/>
      <c r="I127" s="5"/>
      <c r="J127" s="10"/>
      <c r="K127" s="134">
        <f>CompletedJobs[[#This Row],[ACTUAL MARGIN]]-CompletedJobs[[#This Row],[Live Margin]]</f>
        <v>0</v>
      </c>
      <c r="L127" s="5">
        <f>SUM(Table18[[#This Row],[Margin]]-Table18[[#This Row],[Prev. Margin]])</f>
        <v>0</v>
      </c>
      <c r="M127" s="16"/>
      <c r="N127" s="16"/>
      <c r="O127" s="91">
        <v>0.17</v>
      </c>
      <c r="P127" s="91"/>
    </row>
    <row r="128" spans="2:16" x14ac:dyDescent="0.35">
      <c r="B128" s="7"/>
      <c r="C128" s="8"/>
      <c r="D128" s="8"/>
      <c r="E128" s="9"/>
      <c r="F128" s="9"/>
      <c r="G128" s="6"/>
      <c r="H128" s="6"/>
      <c r="I128" s="5"/>
      <c r="J128" s="5"/>
      <c r="K128" s="134">
        <f>CompletedJobs[[#This Row],[ACTUAL MARGIN]]-CompletedJobs[[#This Row],[Live Margin]]</f>
        <v>0</v>
      </c>
      <c r="L128" s="5">
        <f>SUM(Table18[[#This Row],[Margin]]-Table18[[#This Row],[Prev. Margin]])</f>
        <v>0</v>
      </c>
      <c r="M128" s="16"/>
      <c r="N128" s="16"/>
      <c r="O128" s="91">
        <v>0.17</v>
      </c>
      <c r="P128" s="91"/>
    </row>
    <row r="129" spans="2:16" x14ac:dyDescent="0.35">
      <c r="B129" s="7"/>
      <c r="C129" s="8"/>
      <c r="D129" s="8"/>
      <c r="E129" s="9"/>
      <c r="F129" s="9"/>
      <c r="G129" s="6"/>
      <c r="H129" s="6"/>
      <c r="I129" s="5"/>
      <c r="J129" s="10"/>
      <c r="K129" s="134">
        <f>CompletedJobs[[#This Row],[ACTUAL MARGIN]]-CompletedJobs[[#This Row],[Live Margin]]</f>
        <v>0</v>
      </c>
      <c r="L129" s="5">
        <f>SUM(Table18[[#This Row],[Margin]]-Table18[[#This Row],[Prev. Margin]])</f>
        <v>-2.9881207028265785E-2</v>
      </c>
      <c r="M129" s="16"/>
      <c r="N129" s="16"/>
      <c r="O129" s="91">
        <v>0.17</v>
      </c>
      <c r="P129" s="91"/>
    </row>
    <row r="130" spans="2:16" x14ac:dyDescent="0.35">
      <c r="B130" s="7"/>
      <c r="C130" s="8"/>
      <c r="D130" s="8"/>
      <c r="E130" s="9"/>
      <c r="F130" s="9"/>
      <c r="G130" s="6"/>
      <c r="H130" s="6"/>
      <c r="I130" s="5"/>
      <c r="J130" s="5"/>
      <c r="K130" s="134">
        <f>CompletedJobs[[#This Row],[ACTUAL MARGIN]]-CompletedJobs[[#This Row],[Live Margin]]</f>
        <v>0</v>
      </c>
      <c r="L130" s="5">
        <f>SUM(Table18[[#This Row],[Margin]]-Table18[[#This Row],[Prev. Margin]])</f>
        <v>0</v>
      </c>
      <c r="M130" s="16"/>
      <c r="N130" s="16"/>
      <c r="O130" s="91">
        <v>0.17</v>
      </c>
      <c r="P130" s="91"/>
    </row>
    <row r="131" spans="2:16" x14ac:dyDescent="0.35">
      <c r="B131" s="7"/>
      <c r="C131" s="8"/>
      <c r="D131" s="8"/>
      <c r="E131" s="9"/>
      <c r="F131" s="9"/>
      <c r="G131" s="6"/>
      <c r="H131" s="6"/>
      <c r="I131" s="5"/>
      <c r="J131" s="10"/>
      <c r="K131" s="134">
        <f>CompletedJobs[[#This Row],[ACTUAL MARGIN]]-CompletedJobs[[#This Row],[Live Margin]]</f>
        <v>0</v>
      </c>
      <c r="L131" s="5">
        <f>SUM(Table18[[#This Row],[Margin]]-Table18[[#This Row],[Prev. Margin]])</f>
        <v>0</v>
      </c>
      <c r="M131" s="16"/>
      <c r="N131" s="16"/>
      <c r="O131" s="91">
        <v>0.17</v>
      </c>
      <c r="P131" s="91"/>
    </row>
    <row r="132" spans="2:16" x14ac:dyDescent="0.35">
      <c r="B132" s="7"/>
      <c r="C132" s="8"/>
      <c r="D132" s="8"/>
      <c r="E132" s="9"/>
      <c r="F132" s="9"/>
      <c r="G132" s="6"/>
      <c r="H132" s="6"/>
      <c r="I132" s="5"/>
      <c r="J132" s="10"/>
      <c r="K132" s="134">
        <f>CompletedJobs[[#This Row],[ACTUAL MARGIN]]-CompletedJobs[[#This Row],[Live Margin]]</f>
        <v>0</v>
      </c>
      <c r="L132" s="5">
        <f>SUM(Table18[[#This Row],[Margin]]-Table18[[#This Row],[Prev. Margin]])</f>
        <v>1.2284493794122914E-2</v>
      </c>
      <c r="M132" s="16"/>
      <c r="N132" s="16"/>
      <c r="O132" s="91">
        <v>0.17</v>
      </c>
      <c r="P132" s="91"/>
    </row>
    <row r="133" spans="2:16" x14ac:dyDescent="0.35">
      <c r="B133" s="7"/>
      <c r="C133" s="8"/>
      <c r="D133" s="8"/>
      <c r="E133" s="9"/>
      <c r="F133" s="9"/>
      <c r="G133" s="6"/>
      <c r="H133" s="6"/>
      <c r="I133" s="5"/>
      <c r="J133" s="10"/>
      <c r="K133" s="134">
        <f>CompletedJobs[[#This Row],[ACTUAL MARGIN]]-CompletedJobs[[#This Row],[Live Margin]]</f>
        <v>0</v>
      </c>
      <c r="L133" s="5">
        <f>SUM(Table18[[#This Row],[Margin]]-Table18[[#This Row],[Prev. Margin]])</f>
        <v>0</v>
      </c>
      <c r="M133" s="16"/>
      <c r="N133" s="16"/>
      <c r="O133" s="91">
        <v>0.17</v>
      </c>
      <c r="P133" s="91"/>
    </row>
    <row r="134" spans="2:16" x14ac:dyDescent="0.35">
      <c r="B134" s="7"/>
      <c r="C134" s="8"/>
      <c r="D134" s="8"/>
      <c r="E134" s="9"/>
      <c r="F134" s="9"/>
      <c r="G134" s="6"/>
      <c r="H134" s="6"/>
      <c r="I134" s="5"/>
      <c r="J134" s="10"/>
      <c r="K134" s="134">
        <f>CompletedJobs[[#This Row],[ACTUAL MARGIN]]-CompletedJobs[[#This Row],[Live Margin]]</f>
        <v>0</v>
      </c>
      <c r="L134" s="5">
        <f>SUM(Table18[[#This Row],[Margin]]-Table18[[#This Row],[Prev. Margin]])</f>
        <v>0</v>
      </c>
      <c r="M134" s="16"/>
      <c r="N134" s="16"/>
      <c r="O134" s="91">
        <v>0.17</v>
      </c>
      <c r="P134" s="91"/>
    </row>
    <row r="135" spans="2:16" x14ac:dyDescent="0.35">
      <c r="B135" s="7"/>
      <c r="C135" s="23"/>
      <c r="D135" s="23"/>
      <c r="E135" s="24"/>
      <c r="F135" s="24"/>
      <c r="G135" s="25"/>
      <c r="H135" s="25"/>
      <c r="I135" s="5"/>
      <c r="J135" s="10"/>
      <c r="K135" s="134">
        <f>CompletedJobs[[#This Row],[ACTUAL MARGIN]]-CompletedJobs[[#This Row],[Live Margin]]</f>
        <v>0</v>
      </c>
      <c r="L135" s="5">
        <f>SUM(Table18[[#This Row],[Margin]]-Table18[[#This Row],[Prev. Margin]])</f>
        <v>0</v>
      </c>
      <c r="M135" s="16"/>
      <c r="N135" s="16"/>
      <c r="O135" s="91">
        <v>0.17</v>
      </c>
      <c r="P135" s="91"/>
    </row>
    <row r="136" spans="2:16" x14ac:dyDescent="0.35">
      <c r="B136" s="7"/>
      <c r="C136" s="8"/>
      <c r="D136" s="8"/>
      <c r="E136" s="9"/>
      <c r="F136" s="9"/>
      <c r="G136" s="6"/>
      <c r="H136" s="6"/>
      <c r="I136" s="5"/>
      <c r="J136" s="5"/>
      <c r="K136" s="134">
        <f>CompletedJobs[[#This Row],[ACTUAL MARGIN]]-CompletedJobs[[#This Row],[Live Margin]]</f>
        <v>0</v>
      </c>
      <c r="L136" s="5">
        <f>SUM(Table18[[#This Row],[Margin]]-Table18[[#This Row],[Prev. Margin]])</f>
        <v>0</v>
      </c>
      <c r="M136" s="16"/>
      <c r="N136" s="16"/>
      <c r="O136" s="91">
        <v>0.17</v>
      </c>
      <c r="P136" s="91"/>
    </row>
    <row r="137" spans="2:16" x14ac:dyDescent="0.35">
      <c r="B137" s="7"/>
      <c r="C137" s="8"/>
      <c r="D137" s="8"/>
      <c r="E137" s="9"/>
      <c r="F137" s="9"/>
      <c r="G137" s="6"/>
      <c r="H137" s="6"/>
      <c r="I137" s="5"/>
      <c r="J137" s="5"/>
      <c r="K137" s="134">
        <f>CompletedJobs[[#This Row],[ACTUAL MARGIN]]-CompletedJobs[[#This Row],[Live Margin]]</f>
        <v>0</v>
      </c>
      <c r="L137" s="5">
        <f>SUM(Table18[[#This Row],[Margin]]-Table18[[#This Row],[Prev. Margin]])</f>
        <v>0</v>
      </c>
      <c r="M137" s="16"/>
      <c r="N137" s="16"/>
      <c r="O137" s="91">
        <v>0.17</v>
      </c>
      <c r="P137" s="91"/>
    </row>
    <row r="138" spans="2:16" x14ac:dyDescent="0.35">
      <c r="B138" s="7"/>
      <c r="C138" s="8"/>
      <c r="D138" s="8"/>
      <c r="E138" s="24"/>
      <c r="F138" s="24"/>
      <c r="G138" s="6"/>
      <c r="H138" s="6"/>
      <c r="I138" s="5"/>
      <c r="J138" s="10"/>
      <c r="K138" s="134">
        <f>CompletedJobs[[#This Row],[ACTUAL MARGIN]]-CompletedJobs[[#This Row],[Live Margin]]</f>
        <v>0</v>
      </c>
      <c r="L138" s="5">
        <f>SUM(Table18[[#This Row],[Margin]]-Table18[[#This Row],[Prev. Margin]])</f>
        <v>0</v>
      </c>
      <c r="M138" s="16"/>
      <c r="N138" s="16"/>
      <c r="O138" s="91">
        <v>0.17</v>
      </c>
      <c r="P138" s="91"/>
    </row>
    <row r="139" spans="2:16" x14ac:dyDescent="0.35">
      <c r="B139" s="7"/>
      <c r="C139" s="23"/>
      <c r="D139" s="23"/>
      <c r="E139" s="24"/>
      <c r="F139" s="24"/>
      <c r="G139" s="25"/>
      <c r="H139" s="25"/>
      <c r="I139" s="5"/>
      <c r="J139" s="5"/>
      <c r="K139" s="134">
        <f>CompletedJobs[[#This Row],[ACTUAL MARGIN]]-CompletedJobs[[#This Row],[Live Margin]]</f>
        <v>0</v>
      </c>
      <c r="L139" s="5">
        <f>SUM(Table18[[#This Row],[Margin]]-Table18[[#This Row],[Prev. Margin]])</f>
        <v>0</v>
      </c>
      <c r="M139" s="16"/>
      <c r="N139" s="16"/>
      <c r="O139" s="91">
        <v>0.17</v>
      </c>
      <c r="P139" s="91"/>
    </row>
    <row r="140" spans="2:16" x14ac:dyDescent="0.35">
      <c r="B140" s="7"/>
      <c r="C140" s="23"/>
      <c r="D140" s="23"/>
      <c r="E140" s="24"/>
      <c r="F140" s="24"/>
      <c r="G140" s="25"/>
      <c r="H140" s="25"/>
      <c r="I140" s="5"/>
      <c r="J140" s="5"/>
      <c r="K140" s="134">
        <f>CompletedJobs[[#This Row],[ACTUAL MARGIN]]-CompletedJobs[[#This Row],[Live Margin]]</f>
        <v>0</v>
      </c>
      <c r="L140" s="5">
        <f>SUM(Table18[[#This Row],[Margin]]-Table18[[#This Row],[Prev. Margin]])</f>
        <v>0</v>
      </c>
      <c r="M140" s="16"/>
      <c r="N140" s="16"/>
      <c r="O140" s="91">
        <v>0.17</v>
      </c>
      <c r="P140" s="91"/>
    </row>
    <row r="141" spans="2:16" x14ac:dyDescent="0.35">
      <c r="B141" s="7"/>
      <c r="C141" s="23"/>
      <c r="D141" s="23"/>
      <c r="E141" s="24"/>
      <c r="F141" s="24"/>
      <c r="G141" s="25"/>
      <c r="H141" s="25"/>
      <c r="I141" s="5"/>
      <c r="J141" s="10"/>
      <c r="K141" s="134">
        <f>CompletedJobs[[#This Row],[ACTUAL MARGIN]]-CompletedJobs[[#This Row],[Live Margin]]</f>
        <v>0</v>
      </c>
      <c r="L141" s="5">
        <f>SUM(Table18[[#This Row],[Margin]]-Table18[[#This Row],[Prev. Margin]])</f>
        <v>0</v>
      </c>
      <c r="M141" s="16"/>
      <c r="N141" s="16"/>
      <c r="O141" s="91">
        <v>0.17</v>
      </c>
      <c r="P141" s="91"/>
    </row>
    <row r="142" spans="2:16" x14ac:dyDescent="0.35">
      <c r="B142" s="7"/>
      <c r="C142" s="8"/>
      <c r="D142" s="8"/>
      <c r="E142" s="24"/>
      <c r="F142" s="24"/>
      <c r="G142" s="6"/>
      <c r="H142" s="6"/>
      <c r="I142" s="5"/>
      <c r="J142" s="10"/>
      <c r="K142" s="134">
        <f>CompletedJobs[[#This Row],[ACTUAL MARGIN]]-CompletedJobs[[#This Row],[Live Margin]]</f>
        <v>0</v>
      </c>
      <c r="L142" s="5">
        <f>SUM(Table18[[#This Row],[Margin]]-Table18[[#This Row],[Prev. Margin]])</f>
        <v>0</v>
      </c>
      <c r="M142" s="16"/>
      <c r="N142" s="16"/>
      <c r="O142" s="91">
        <v>0.17</v>
      </c>
      <c r="P142" s="91"/>
    </row>
    <row r="143" spans="2:16" x14ac:dyDescent="0.35">
      <c r="B143" s="7"/>
      <c r="C143" s="8"/>
      <c r="D143" s="8"/>
      <c r="E143" s="9"/>
      <c r="F143" s="9"/>
      <c r="G143" s="6"/>
      <c r="H143" s="6"/>
      <c r="I143" s="5"/>
      <c r="J143" s="5"/>
      <c r="K143" s="134">
        <f>CompletedJobs[[#This Row],[ACTUAL MARGIN]]-CompletedJobs[[#This Row],[Live Margin]]</f>
        <v>0</v>
      </c>
      <c r="L143" s="5">
        <f>SUM(Table18[[#This Row],[Margin]]-Table18[[#This Row],[Prev. Margin]])</f>
        <v>0</v>
      </c>
      <c r="M143" s="16"/>
      <c r="N143" s="16"/>
      <c r="O143" s="91">
        <v>0.17</v>
      </c>
      <c r="P143" s="91"/>
    </row>
    <row r="144" spans="2:16" x14ac:dyDescent="0.35">
      <c r="B144" s="7"/>
      <c r="C144" s="23"/>
      <c r="D144" s="23"/>
      <c r="E144" s="24"/>
      <c r="F144" s="24"/>
      <c r="G144" s="25"/>
      <c r="H144" s="25"/>
      <c r="I144" s="5"/>
      <c r="J144" s="10"/>
      <c r="K144" s="134">
        <f>CompletedJobs[[#This Row],[ACTUAL MARGIN]]-CompletedJobs[[#This Row],[Live Margin]]</f>
        <v>0</v>
      </c>
      <c r="L144" s="5">
        <f>SUM(Table18[[#This Row],[Margin]]-Table18[[#This Row],[Prev. Margin]])</f>
        <v>0.12493834863475642</v>
      </c>
      <c r="M144" s="16"/>
      <c r="N144" s="16"/>
      <c r="O144" s="91">
        <v>0.17</v>
      </c>
      <c r="P144" s="91"/>
    </row>
    <row r="145" spans="2:16" x14ac:dyDescent="0.35">
      <c r="B145" s="7"/>
      <c r="C145" s="23"/>
      <c r="D145" s="23"/>
      <c r="E145" s="24"/>
      <c r="F145" s="24"/>
      <c r="G145" s="25"/>
      <c r="H145" s="25"/>
      <c r="I145" s="5"/>
      <c r="J145" s="10"/>
      <c r="K145" s="134">
        <f>CompletedJobs[[#This Row],[ACTUAL MARGIN]]-CompletedJobs[[#This Row],[Live Margin]]</f>
        <v>0</v>
      </c>
      <c r="L145" s="5">
        <f>SUM(Table18[[#This Row],[Margin]]-Table18[[#This Row],[Prev. Margin]])</f>
        <v>0.20492106025492463</v>
      </c>
      <c r="M145" s="16"/>
      <c r="N145" s="16"/>
      <c r="O145" s="91">
        <v>0.17</v>
      </c>
      <c r="P145" s="91"/>
    </row>
    <row r="146" spans="2:16" x14ac:dyDescent="0.35">
      <c r="B146" s="7"/>
      <c r="C146" s="23"/>
      <c r="D146" s="23"/>
      <c r="E146" s="24"/>
      <c r="F146" s="24"/>
      <c r="G146" s="25"/>
      <c r="H146" s="25"/>
      <c r="I146" s="5"/>
      <c r="J146" s="10"/>
      <c r="K146" s="134">
        <f>CompletedJobs[[#This Row],[ACTUAL MARGIN]]-CompletedJobs[[#This Row],[Live Margin]]</f>
        <v>0</v>
      </c>
      <c r="L146" s="5">
        <f>SUM(Table18[[#This Row],[Margin]]-Table18[[#This Row],[Prev. Margin]])</f>
        <v>0.13132385176875189</v>
      </c>
      <c r="M146" s="16"/>
      <c r="N146" s="16"/>
      <c r="O146" s="91">
        <v>0.17</v>
      </c>
      <c r="P146" s="91"/>
    </row>
    <row r="147" spans="2:16" x14ac:dyDescent="0.35">
      <c r="B147" s="7"/>
      <c r="C147" s="23"/>
      <c r="D147" s="23"/>
      <c r="E147" s="24"/>
      <c r="F147" s="24"/>
      <c r="G147" s="25"/>
      <c r="H147" s="25"/>
      <c r="I147" s="5"/>
      <c r="J147" s="10"/>
      <c r="K147" s="134">
        <f>CompletedJobs[[#This Row],[ACTUAL MARGIN]]-CompletedJobs[[#This Row],[Live Margin]]</f>
        <v>0</v>
      </c>
      <c r="L147" s="5">
        <f>SUM(Table18[[#This Row],[Margin]]-Table18[[#This Row],[Prev. Margin]])</f>
        <v>4.2392156862744883E-2</v>
      </c>
      <c r="M147" s="16"/>
      <c r="N147" s="16"/>
      <c r="O147" s="91">
        <v>0.17</v>
      </c>
      <c r="P147" s="91"/>
    </row>
    <row r="148" spans="2:16" x14ac:dyDescent="0.35">
      <c r="B148" s="7"/>
      <c r="C148" s="23"/>
      <c r="D148" s="23"/>
      <c r="E148" s="24"/>
      <c r="F148" s="24"/>
      <c r="G148" s="25"/>
      <c r="H148" s="25"/>
      <c r="I148" s="5"/>
      <c r="J148" s="10"/>
      <c r="K148" s="134">
        <f>CompletedJobs[[#This Row],[ACTUAL MARGIN]]-CompletedJobs[[#This Row],[Live Margin]]</f>
        <v>0</v>
      </c>
      <c r="L148" s="5">
        <f>SUM(Table18[[#This Row],[Margin]]-Table18[[#This Row],[Prev. Margin]])</f>
        <v>7.4536500579374221E-2</v>
      </c>
      <c r="M148" s="16"/>
      <c r="N148" s="16"/>
      <c r="O148" s="91">
        <v>0.17</v>
      </c>
      <c r="P148" s="91"/>
    </row>
    <row r="149" spans="2:16" x14ac:dyDescent="0.35">
      <c r="B149" s="7"/>
      <c r="C149" s="23"/>
      <c r="D149" s="23"/>
      <c r="E149" s="24"/>
      <c r="F149" s="24"/>
      <c r="G149" s="25"/>
      <c r="H149" s="25"/>
      <c r="I149" s="5"/>
      <c r="J149" s="5"/>
      <c r="K149" s="134">
        <f>CompletedJobs[[#This Row],[ACTUAL MARGIN]]-CompletedJobs[[#This Row],[Live Margin]]</f>
        <v>0</v>
      </c>
      <c r="L149" s="5">
        <f>SUM(Table18[[#This Row],[Margin]]-Table18[[#This Row],[Prev. Margin]])</f>
        <v>0.12284356894553847</v>
      </c>
      <c r="M149" s="16"/>
      <c r="N149" s="16"/>
      <c r="O149" s="91">
        <v>0.17</v>
      </c>
      <c r="P149" s="91"/>
    </row>
    <row r="150" spans="2:16" x14ac:dyDescent="0.35">
      <c r="B150" s="7"/>
      <c r="C150" s="23"/>
      <c r="D150" s="23"/>
      <c r="E150" s="24"/>
      <c r="F150" s="24"/>
      <c r="G150" s="25"/>
      <c r="H150" s="25"/>
      <c r="I150" s="5"/>
      <c r="J150" s="10"/>
      <c r="K150" s="134">
        <f>CompletedJobs[[#This Row],[ACTUAL MARGIN]]-CompletedJobs[[#This Row],[Live Margin]]</f>
        <v>0</v>
      </c>
      <c r="L150" s="5">
        <f>SUM(Table18[[#This Row],[Margin]]-Table18[[#This Row],[Prev. Margin]])</f>
        <v>9.4361676690761426E-2</v>
      </c>
      <c r="M150" s="16"/>
      <c r="N150" s="16"/>
      <c r="O150" s="91">
        <v>0.17</v>
      </c>
      <c r="P150" s="91"/>
    </row>
    <row r="151" spans="2:16" x14ac:dyDescent="0.35">
      <c r="B151" s="7"/>
      <c r="C151" s="23"/>
      <c r="D151" s="23"/>
      <c r="E151" s="24"/>
      <c r="F151" s="24"/>
      <c r="G151" s="25"/>
      <c r="H151" s="25"/>
      <c r="I151" s="5"/>
      <c r="J151" s="10"/>
      <c r="K151" s="134">
        <f>CompletedJobs[[#This Row],[ACTUAL MARGIN]]-CompletedJobs[[#This Row],[Live Margin]]</f>
        <v>0</v>
      </c>
      <c r="L151" s="5" t="e">
        <f>SUM(Table18[[#This Row],[Margin]]-Table18[[#This Row],[Prev. Margin]])</f>
        <v>#VALUE!</v>
      </c>
      <c r="M151" s="16"/>
      <c r="N151" s="16"/>
      <c r="O151" s="91">
        <v>0.17</v>
      </c>
      <c r="P151" s="91"/>
    </row>
    <row r="152" spans="2:16" x14ac:dyDescent="0.35">
      <c r="B152" s="7"/>
      <c r="C152" s="23"/>
      <c r="D152" s="23"/>
      <c r="E152" s="24"/>
      <c r="F152" s="24"/>
      <c r="G152" s="25"/>
      <c r="H152" s="25"/>
      <c r="I152" s="5"/>
      <c r="J152" s="5"/>
      <c r="K152" s="134">
        <f>CompletedJobs[[#This Row],[ACTUAL MARGIN]]-CompletedJobs[[#This Row],[Live Margin]]</f>
        <v>0</v>
      </c>
      <c r="L152" s="5" t="e">
        <f>SUM(Table18[[#This Row],[Margin]]-Table18[[#This Row],[Prev. Margin]])</f>
        <v>#VALUE!</v>
      </c>
      <c r="M152" s="16"/>
      <c r="N152" s="16"/>
      <c r="O152" s="91">
        <v>0.17</v>
      </c>
      <c r="P152" s="91"/>
    </row>
    <row r="153" spans="2:16" x14ac:dyDescent="0.35">
      <c r="B153" s="7"/>
      <c r="C153" s="23"/>
      <c r="D153" s="23"/>
      <c r="E153" s="24"/>
      <c r="F153" s="24"/>
      <c r="G153" s="25"/>
      <c r="H153" s="25"/>
      <c r="I153" s="5"/>
      <c r="J153" s="10"/>
      <c r="K153" s="134">
        <f>CompletedJobs[[#This Row],[ACTUAL MARGIN]]-CompletedJobs[[#This Row],[Live Margin]]</f>
        <v>0</v>
      </c>
      <c r="L153" s="5" t="e">
        <f>SUM(Table18[[#This Row],[Margin]]-Table18[[#This Row],[Prev. Margin]])</f>
        <v>#VALUE!</v>
      </c>
      <c r="M153" s="16"/>
      <c r="N153" s="16"/>
      <c r="O153" s="91">
        <v>0.17</v>
      </c>
      <c r="P153" s="91"/>
    </row>
    <row r="154" spans="2:16" x14ac:dyDescent="0.35">
      <c r="B154" s="7"/>
      <c r="C154" s="23"/>
      <c r="D154" s="23"/>
      <c r="E154" s="24"/>
      <c r="F154" s="24"/>
      <c r="G154" s="25"/>
      <c r="H154" s="25"/>
      <c r="I154" s="5"/>
      <c r="J154" s="10"/>
      <c r="K154" s="134">
        <f>CompletedJobs[[#This Row],[ACTUAL MARGIN]]-CompletedJobs[[#This Row],[Live Margin]]</f>
        <v>0</v>
      </c>
      <c r="L154" s="5" t="e">
        <f>SUM(Table18[[#This Row],[Margin]]-Table18[[#This Row],[Prev. Margin]])</f>
        <v>#VALUE!</v>
      </c>
      <c r="M154" s="16"/>
      <c r="N154" s="16"/>
      <c r="O154" s="91">
        <v>0.17</v>
      </c>
      <c r="P154" s="91"/>
    </row>
    <row r="155" spans="2:16" x14ac:dyDescent="0.35">
      <c r="B155" s="7"/>
      <c r="C155" s="23"/>
      <c r="D155" s="23"/>
      <c r="E155" s="24"/>
      <c r="F155" s="24"/>
      <c r="G155" s="25"/>
      <c r="H155" s="25"/>
      <c r="I155" s="5"/>
      <c r="J155" s="10"/>
      <c r="K155" s="134">
        <f>CompletedJobs[[#This Row],[ACTUAL MARGIN]]-CompletedJobs[[#This Row],[Live Margin]]</f>
        <v>0</v>
      </c>
      <c r="L155" s="5" t="e">
        <f>SUM(Table18[[#This Row],[Margin]]-Table18[[#This Row],[Prev. Margin]])</f>
        <v>#VALUE!</v>
      </c>
      <c r="M155" s="16"/>
      <c r="N155" s="16"/>
      <c r="O155" s="91">
        <v>0.17</v>
      </c>
      <c r="P155" s="91"/>
    </row>
    <row r="156" spans="2:16" x14ac:dyDescent="0.35">
      <c r="B156" s="7"/>
      <c r="C156" s="23"/>
      <c r="D156" s="23"/>
      <c r="E156" s="24"/>
      <c r="F156" s="24"/>
      <c r="G156" s="25"/>
      <c r="H156" s="25"/>
      <c r="I156" s="5"/>
      <c r="J156" s="10"/>
      <c r="K156" s="134">
        <f>CompletedJobs[[#This Row],[ACTUAL MARGIN]]-CompletedJobs[[#This Row],[Live Margin]]</f>
        <v>0</v>
      </c>
      <c r="L156" s="5" t="e">
        <f>SUM(Table18[[#This Row],[Margin]]-Table18[[#This Row],[Prev. Margin]])</f>
        <v>#VALUE!</v>
      </c>
      <c r="M156" s="16"/>
      <c r="N156" s="16"/>
      <c r="O156" s="91">
        <v>0.17</v>
      </c>
      <c r="P156" s="91"/>
    </row>
    <row r="157" spans="2:16" x14ac:dyDescent="0.35">
      <c r="B157" s="7"/>
      <c r="C157" s="23"/>
      <c r="D157" s="23"/>
      <c r="E157" s="24"/>
      <c r="F157" s="24"/>
      <c r="G157" s="25"/>
      <c r="H157" s="25"/>
      <c r="I157" s="5"/>
      <c r="J157" s="5"/>
      <c r="K157" s="134">
        <f>CompletedJobs[[#This Row],[ACTUAL MARGIN]]-CompletedJobs[[#This Row],[Live Margin]]</f>
        <v>0</v>
      </c>
      <c r="L157" s="5" t="e">
        <f>SUM(Table18[[#This Row],[Margin]]-Table18[[#This Row],[Prev. Margin]])</f>
        <v>#VALUE!</v>
      </c>
      <c r="M157" s="16"/>
      <c r="N157" s="16"/>
      <c r="O157" s="91">
        <v>0.17</v>
      </c>
      <c r="P157" s="91"/>
    </row>
    <row r="158" spans="2:16" x14ac:dyDescent="0.35">
      <c r="B158" s="7"/>
      <c r="C158" s="23"/>
      <c r="D158" s="26"/>
      <c r="E158" s="24"/>
      <c r="F158" s="24"/>
      <c r="G158" s="25"/>
      <c r="H158" s="25"/>
      <c r="I158" s="5"/>
      <c r="J158" s="5"/>
      <c r="K158" s="134">
        <f>CompletedJobs[[#This Row],[ACTUAL MARGIN]]-CompletedJobs[[#This Row],[Live Margin]]</f>
        <v>0</v>
      </c>
      <c r="L158" s="5" t="e">
        <f>SUM(Table18[[#This Row],[Margin]]-Table18[[#This Row],[Prev. Margin]])</f>
        <v>#VALUE!</v>
      </c>
      <c r="M158" s="16"/>
      <c r="N158" s="16"/>
      <c r="O158" s="91">
        <v>0.17</v>
      </c>
      <c r="P158" s="91"/>
    </row>
    <row r="159" spans="2:16" x14ac:dyDescent="0.35">
      <c r="B159" s="7"/>
      <c r="C159" s="23"/>
      <c r="D159" s="26"/>
      <c r="E159" s="24"/>
      <c r="F159" s="24"/>
      <c r="G159" s="25"/>
      <c r="H159" s="25"/>
      <c r="I159" s="5"/>
      <c r="J159" s="10"/>
      <c r="K159" s="134">
        <f>CompletedJobs[[#This Row],[ACTUAL MARGIN]]-CompletedJobs[[#This Row],[Live Margin]]</f>
        <v>0</v>
      </c>
      <c r="L159" s="5" t="e">
        <f>SUM(Table18[[#This Row],[Margin]]-Table18[[#This Row],[Prev. Margin]])</f>
        <v>#VALUE!</v>
      </c>
      <c r="M159" s="16"/>
      <c r="N159" s="16"/>
      <c r="O159" s="91">
        <v>0.17</v>
      </c>
      <c r="P159" s="91"/>
    </row>
    <row r="160" spans="2:16" x14ac:dyDescent="0.35">
      <c r="B160" s="7"/>
      <c r="C160" s="23"/>
      <c r="D160" s="23"/>
      <c r="E160" s="24"/>
      <c r="F160" s="24"/>
      <c r="G160" s="25"/>
      <c r="H160" s="25"/>
      <c r="I160" s="5" t="e">
        <v>#REF!</v>
      </c>
      <c r="J160" s="5"/>
      <c r="K160" s="134" t="e">
        <f>CompletedJobs[[#This Row],[ACTUAL MARGIN]]-CompletedJobs[[#This Row],[Live Margin]]</f>
        <v>#REF!</v>
      </c>
      <c r="L160" s="5" t="e">
        <f>SUM(Table18[[#This Row],[Margin]]-Table18[[#This Row],[Prev. Margin]])</f>
        <v>#VALUE!</v>
      </c>
      <c r="M160" s="16"/>
      <c r="N160" s="16"/>
      <c r="O160" s="91">
        <v>0.17</v>
      </c>
      <c r="P160" s="91"/>
    </row>
    <row r="161" spans="2:16" x14ac:dyDescent="0.35">
      <c r="B161" s="7"/>
      <c r="C161" s="23"/>
      <c r="D161" s="23"/>
      <c r="E161" s="24"/>
      <c r="F161" s="24"/>
      <c r="G161" s="25"/>
      <c r="H161" s="25"/>
      <c r="I161" s="5" t="e">
        <v>#REF!</v>
      </c>
      <c r="J161" s="5"/>
      <c r="K161" s="134" t="e">
        <f>CompletedJobs[[#This Row],[ACTUAL MARGIN]]-CompletedJobs[[#This Row],[Live Margin]]</f>
        <v>#REF!</v>
      </c>
      <c r="L161" s="5" t="e">
        <f>SUM(Table18[[#This Row],[Margin]]-Table18[[#This Row],[Prev. Margin]])</f>
        <v>#VALUE!</v>
      </c>
      <c r="M161" s="16"/>
      <c r="N161" s="16"/>
      <c r="O161" s="91">
        <v>0.17</v>
      </c>
      <c r="P161" s="91"/>
    </row>
    <row r="162" spans="2:16" x14ac:dyDescent="0.35">
      <c r="B162" s="7"/>
      <c r="C162" s="23"/>
      <c r="D162" s="23"/>
      <c r="E162" s="24"/>
      <c r="F162" s="24"/>
      <c r="G162" s="25"/>
      <c r="H162" s="25"/>
      <c r="I162" s="5" t="e">
        <v>#REF!</v>
      </c>
      <c r="J162" s="5"/>
      <c r="K162" s="134" t="e">
        <f>CompletedJobs[[#This Row],[ACTUAL MARGIN]]-CompletedJobs[[#This Row],[Live Margin]]</f>
        <v>#REF!</v>
      </c>
      <c r="L162" s="5" t="e">
        <f>SUM(Table18[[#This Row],[Margin]]-Table18[[#This Row],[Prev. Margin]])</f>
        <v>#VALUE!</v>
      </c>
      <c r="M162" s="16"/>
      <c r="N162" s="16"/>
      <c r="O162" s="91">
        <v>0.17</v>
      </c>
      <c r="P162" s="91"/>
    </row>
    <row r="163" spans="2:16" x14ac:dyDescent="0.35">
      <c r="B163" s="7"/>
      <c r="C163" s="23"/>
      <c r="D163" s="26"/>
      <c r="E163" s="24"/>
      <c r="F163" s="24"/>
      <c r="G163" s="25"/>
      <c r="H163" s="25"/>
      <c r="I163" s="5" t="e">
        <v>#REF!</v>
      </c>
      <c r="J163" s="10"/>
      <c r="K163" s="134" t="e">
        <f>CompletedJobs[[#This Row],[ACTUAL MARGIN]]-CompletedJobs[[#This Row],[Live Margin]]</f>
        <v>#REF!</v>
      </c>
      <c r="L163" s="5" t="e">
        <f>SUM(Table18[[#This Row],[Margin]]-Table18[[#This Row],[Prev. Margin]])</f>
        <v>#VALUE!</v>
      </c>
      <c r="M163" s="16"/>
      <c r="N163" s="16"/>
      <c r="O163" s="91">
        <v>0.17</v>
      </c>
      <c r="P163" s="91"/>
    </row>
  </sheetData>
  <sortState xmlns:xlrd2="http://schemas.microsoft.com/office/spreadsheetml/2017/richdata2" ref="B2:J108">
    <sortCondition ref="C2:C108"/>
  </sortState>
  <customSheetViews>
    <customSheetView guid="{E88EB3B6-C869-4132-A555-2BC045752423}" scale="80" showGridLines="0">
      <selection activeCell="M4" sqref="M4"/>
      <pageMargins left="0.7" right="0.7" top="0.75" bottom="0.75" header="0.3" footer="0.3"/>
    </customSheetView>
    <customSheetView guid="{2F1BB094-22AA-4369-918D-49871A137985}" scale="80" showGridLines="0">
      <selection activeCell="M4" sqref="M4"/>
      <pageMargins left="0.7" right="0.7" top="0.75" bottom="0.75" header="0.3" footer="0.3"/>
    </customSheetView>
  </customSheetViews>
  <mergeCells count="2">
    <mergeCell ref="Q8:Q9"/>
    <mergeCell ref="R8:R9"/>
  </mergeCells>
  <conditionalFormatting sqref="K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31 K33:K1048576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{8270EDC5-4477-4B33-96D0-3ACD1F714A1A}</x14:id>
        </ext>
      </extLst>
    </cfRule>
  </conditionalFormatting>
  <conditionalFormatting sqref="K3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{ABAFACF1-4BC6-4751-A270-381DD8C88775}</x14:id>
        </ext>
      </extLst>
    </cfRule>
  </conditionalFormatting>
  <pageMargins left="0.7" right="0.7" top="0.75" bottom="0.75" header="0.3" footer="0.3"/>
  <pageSetup paperSize="9" scale="20" orientation="landscape" r:id="rId1"/>
  <drawing r:id="rId2"/>
  <legacyDrawing r:id="rId3"/>
  <tableParts count="2"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70EDC5-4477-4B33-96D0-3ACD1F714A1A}">
            <x14:dataBar minLength="0" maxLength="100" border="1" negativeBarBorderColorSameAsPositive="0" axisPosition="none">
              <x14:cfvo type="autoMin"/>
              <x14:cfvo type="autoMax"/>
              <x14:borderColor rgb="FFFFB628"/>
              <x14:negativeFillColor rgb="FFFF0000"/>
              <x14:negativeBorderColor rgb="FFFF0000"/>
            </x14:dataBar>
          </x14:cfRule>
          <xm:sqref>K1:K31 K33:K1048576</xm:sqref>
        </x14:conditionalFormatting>
        <x14:conditionalFormatting xmlns:xm="http://schemas.microsoft.com/office/excel/2006/main">
          <x14:cfRule type="dataBar" id="{ABAFACF1-4BC6-4751-A270-381DD8C88775}">
            <x14:dataBar minLength="0" maxLength="100" border="1" negativeBarBorderColorSameAsPositive="0" axisPosition="none">
              <x14:cfvo type="autoMin"/>
              <x14:cfvo type="autoMax"/>
              <x14:borderColor rgb="FFFFB628"/>
              <x14:negativeFillColor rgb="FFFF0000"/>
              <x14:negativeBorderColor rgb="FFFF0000"/>
            </x14:dataBar>
          </x14:cfRule>
          <xm:sqref>K32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G A A B Q S w M E F A A C A A g A P I f i U r E e 0 A S k A A A A 9 Q A A A B I A H A B D b 2 5 m a W c v U G F j a 2 F n Z S 5 4 b W w g o h g A K K A U A A A A A A A A A A A A A A A A A A A A A A A A A A A A h Y 8 x D o I w G I W v Q r r T l u K g p J R E B x d J T E y M a 1 M q N M K P o c V y N w e P 5 B X E K O r m + L 7 3 D e / d r z e e D U 0 d X H R n T Q s p i j B F g Q b V F g b K F P X u G M 5 R J v h W q p M s d T D K Y J P B F i m q n D s n h H j v s Y 9 x 2 5 W E U R q R Q 7 7 Z q U o 3 E n 1 k 8 1 8 O D V g n Q W k k + P 4 1 R j C 8 i P G M M U w 5 m R j P D X x 7 N s 5 9 t j + Q r / r a 9 Z 0 W G s L 1 k p M p c v K + I B 5 Q S w M E F A A C A A g A P I f i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y H 4 l I 7 8 3 M D a g M A A B E R A A A T A B w A R m 9 y b X V s Y X M v U 2 V j d G l v b j E u b S C i G A A o o B Q A A A A A A A A A A A A A A A A A A A A A A A A A A A D l V t 9 P G k E Q f j f x f 9 i s L 5 B c i d C m D 7 Z o F D S l 9 f f R 9 A F I s 3 B T 2 L i 3 S 3 f 3 U G L 4 3 7 s / k D v g r q Z a T a 3 6 I M z M z n z z 7 e z 4 K R h o K j g K / d / q h 8 2 N z Q 0 1 I h I i F B L K V T + R U 4 X q i I H e 3 E D m J x S J H I C x H A k W g a w c U Q a q h B s 7 3 a 8 K p O o O i B 6 B p B w q m k y Z k N 0 m q C s t x t 2 L E 9 Q U 1 5 w J E q G 3 2 9 X t m v n t p j V w O f A F t r B J q c E i + E S j C D h y J a r Y 1 G y T P o N K C M z A v R T X q u T R B A j I Y I Q 6 + 1 p L 2 k 8 0 q N 5 e x x / u 7 a G P u 0 j L B N L 8 L T 4 R V 4 A a i d I i R k c J 9 7 2 n B f a j q C F Y E v N S I Z g A 4 b Y k X P 0 Q M n Y 2 P A e x t W o v d R q C a + C 6 V 0 4 h X A I n s U n q y 2 S b 8 5 6 5 v V Q M N k C 3 + N R E W i S e h Y r 7 O s s W i c X E F D m z N 5 J T y v O Y l l o D Z W t k c 6 8 3 n a l 2 e D M m P D L H X f J 5 k k w 1 7 3 e f F + Q W I M w j 1 y f x I R a M B b z K 9 B Y O S T w 2 x d 3 X c o b v x o j w o c U 2 H U M K a X H e p 7 V O m 7 a g k + B 2 l Q 1 t D i A N N 3 p m m W p T z d a t o R Z y 3 f p Z 9 E 3 e a O E g f D q P J l K j J t F r n k M e L d k j 8 9 k 5 D i h j l A / V n Y M n c R + k c z W E 0 j n m E y K H l O c 4 9 s d j a e / D u F p c v 3 9 X s Y z M Z u X N D c p z m c y u i 3 M i D S v m r V Q N v 8 s 3 g Y y d o E 5 L L W I u E p D T u n 2 W A T q g n M h p y z w u T X 9 Q k P X l w 4 E r V c c + z E J b S X M J P x N q E L h 0 v S y k 7 I Q s 4 c n b Z 4 c 3 A 2 C V b 0 J e 9 Y W 4 K q X t B I Y i x o K V J W L u g q A w i W M D 6 n s 4 A t A 2 r c 9 2 2 2 l p i O t L M T j 4 Q n l U x z 6 0 N + t Y Z 2 + R 7 l y K W G i 7 Z o C Y t a r S I Z 1 7 5 v Z S b u U A d e Z h + 4 y F A 8 K I V J 6 O p b t b K 7 J M 1 r 0 U P d X K P y U T O i R u r 6 U c b s 8 W i z P t I R P p s H c W G 9 G N g p m R y L w F k w T f Y g w 3 Y B o i 8 s j c f 8 K I e 7 R 4 B x c M B Z 5 h 1 M s d n W J C M l N S R v X d N O L h k / U E 0 / X k E 2 Y L 3 N 1 Q Q b H 0 C n 0 T 2 c m 7 O G k e P 2 r e z j g 0 J Z 0 A e o N O R G w m J o n N A l N 2 8 2 Z m s X n 8 0 j U G K t X K R T r D + f 5 n r e E a f C a 9 M S f 6 f s 3 h W V 9 a n c 7 0 7 N q j 1 T 4 + f K D 2 y I S v i o + F y H g 5 6 q O 2 q j 7 c f T x G g d w N w 1 9 W I R 7 X n y i R 2 m t U I s U 0 P d l / h 3 9 B j r i 2 f y 9 J i p n J j M w D Z E n u m L 0 W W f I L U E s B A i 0 A F A A C A A g A P I f i U r E e 0 A S k A A A A 9 Q A A A B I A A A A A A A A A A A A A A A A A A A A A A E N v b m Z p Z y 9 Q Y W N r Y W d l L n h t b F B L A Q I t A B Q A A g A I A D y H 4 l I P y u m r p A A A A O k A A A A T A A A A A A A A A A A A A A A A A P A A A A B b Q 2 9 u d G V u d F 9 U e X B l c 1 0 u e G 1 s U E s B A i 0 A F A A C A A g A P I f i U j v z c w N q A w A A E R E A A B M A A A A A A A A A A A A A A A A A 4 Q E A A E Z v c m 1 1 b G F z L 1 N l Y 3 R p b 2 4 x L m 1 Q S w U G A A A A A A M A A w D C A A A A m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U A A A A A A A A D / P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J B Q U F B Q U F B Q U F C Y m 1 O R l Z s d 2 d V U z R y V T h M S n J q a 2 R y S G x S e V l X N X p a b T l 5 Y l N C R 2 F X e G x J R 1 p 5 Y j I w Z 1 U y R n B i b k 5 p Z F h K N W N 3 Q U F B Q U F B Q U F B Q U F B R G t 1 W V R B W W 0 v N V R v b z h M b 0 F F U X F P b E R r a G x i S E J s Y 2 l C U m R X V n l h V 1 Z 6 Q U F G Y m 1 O R l Z s d 2 d V U z R y V T h M S n J q a 2 R y Q U F B Q U F B Q U F B Q U F P R S 9 D e T V n c U p R N n k r S l h v N G s y c X d H R l J 5 W V c 1 e l p t O X l i U 0 J H Y V d 4 b E l H W n l i M j B n V V U x R V R B Q U F B Z 0 F B Q U F B Q U F B Q 1 J r d D J v O W F X c F F x Q W d B N 3 Z U Y 3 c 3 d U R r a G x i S E J s Y 2 l C U m R X V n l h V 1 Z 6 Q U F F T 0 U v Q 3 k 1 Z 3 F K U T Z 5 K 0 p Y b z R r M n F 3 Q U F B Q U F B P T 0 i I C 8 + P C 9 T d G F i b G V F b n R y a W V z P j w v S X R l b T 4 8 S X R l b T 4 8 S X R l b U x v Y 2 F 0 a W 9 u P j x J d G V t V H l w Z T 5 G b 3 J t d W x h P C 9 J d G V t V H l w Z T 4 8 S X R l b V B h d G g + U 2 V j d G l v b j E v U 2 F p b n N i d X J 5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T Y W l u c 2 J 1 c n l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M w V D E y O j Q w O j I z L j Q y N T c y N D l a I i A v P j x F b n R y e S B U e X B l P S J G a W x s Q 2 9 s d W 1 u V H l w Z X M i I F Z h b H V l P S J z Q m d Z R 0 F B Q U p C U V V G Q X c 9 P S I g L z 4 8 R W 5 0 c n k g V H l w Z T 0 i R m l s b E N v b H V t b k 5 h b W V z I i B W Y W x 1 Z T 0 i c 1 s m c X V v d D t T b 3 V y Y 2 U u T m F t Z S Z x d W 9 0 O y w m c X V v d D t U a X R s Z S Z x d W 9 0 O y w m c X V v d D t T d G 9 y Z S Z x d W 9 0 O y w m c X V v d D t K b 2 I g Q 2 9 k Z S Z x d W 9 0 O y w m c X V v d D t T d G F y d C B E Y X R l J n F 1 b 3 Q 7 L C Z x d W 9 0 O 0 V u Z C B E Y X R l J n F 1 b 3 Q 7 L C Z x d W 9 0 O 0 J p b G x p b m d z J n F 1 b 3 Q 7 L C Z x d W 9 0 O 0 N v c 3 Q m c X V v d D s s J n F 1 b 3 Q 7 T W F y Z 2 l u J n F 1 b 3 Q 7 L C Z x d W 9 0 O 0 F w c H J v d m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a W 5 z Y n V y e X M v Q 2 h h b m d l Z C B U e X B l L n t T b 3 V y Y 2 U u T m F t Z S w w f S Z x d W 9 0 O y w m c X V v d D t T Z W N 0 a W 9 u M S 9 T Y W l u c 2 J 1 c n l z L 0 N o Y W 5 n Z W Q g V H l w Z S 5 7 V G l 0 b G U s M X 0 m c X V v d D s s J n F 1 b 3 Q 7 U 2 V j d G l v b j E v U 2 F p b n N i d X J 5 c y 9 D a G F u Z 2 V k I F R 5 c G U u e 1 N 0 b 3 J l L D J 9 J n F 1 b 3 Q 7 L C Z x d W 9 0 O 1 N l Y 3 R p b 2 4 x L 1 N h a W 5 z Y n V y e X M v Q 2 h h b m d l Z C B U e X B l L n t K b 2 I g Q 2 9 k Z S w z f S Z x d W 9 0 O y w m c X V v d D t T Z W N 0 a W 9 u M S 9 T Y W l u c 2 J 1 c n l z L 0 N o Y W 5 n Z W Q g V H l w Z S 5 7 U 3 R h c n Q g R G F 0 Z S w 0 f S Z x d W 9 0 O y w m c X V v d D t T Z W N 0 a W 9 u M S 9 T Y W l u c 2 J 1 c n l z L 0 N o Y W 5 n Z W Q g V H l w Z S 5 7 R W 5 k I E R h d G U s N X 0 m c X V v d D s s J n F 1 b 3 Q 7 U 2 V j d G l v b j E v U 2 F p b n N i d X J 5 c y 9 D a G F u Z 2 V k I F R 5 c G U u e 0 J p b G x p b m d z L D Z 9 J n F 1 b 3 Q 7 L C Z x d W 9 0 O 1 N l Y 3 R p b 2 4 x L 1 N h a W 5 z Y n V y e X M v Q 2 h h b m d l Z C B U e X B l L n t D b 3 N 0 L D d 9 J n F 1 b 3 Q 7 L C Z x d W 9 0 O 1 N l Y 3 R p b 2 4 x L 1 N h a W 5 z Y n V y e X M v Q 2 h h b m d l Z C B U e X B l L n t N Y X J n a W 4 s O H 0 m c X V v d D s s J n F 1 b 3 Q 7 U 2 V j d G l v b j E v U 2 F p b n N i d X J 5 c y 9 D a G F u Z 2 V k I F R 5 c G U u e 0 F w c H J v d m V k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Y W l u c 2 J 1 c n l z L 0 N o Y W 5 n Z W Q g V H l w Z S 5 7 U 2 9 1 c m N l L k 5 h b W U s M H 0 m c X V v d D s s J n F 1 b 3 Q 7 U 2 V j d G l v b j E v U 2 F p b n N i d X J 5 c y 9 D a G F u Z 2 V k I F R 5 c G U u e 1 R p d G x l L D F 9 J n F 1 b 3 Q 7 L C Z x d W 9 0 O 1 N l Y 3 R p b 2 4 x L 1 N h a W 5 z Y n V y e X M v Q 2 h h b m d l Z C B U e X B l L n t T d G 9 y Z S w y f S Z x d W 9 0 O y w m c X V v d D t T Z W N 0 a W 9 u M S 9 T Y W l u c 2 J 1 c n l z L 0 N o Y W 5 n Z W Q g V H l w Z S 5 7 S m 9 i I E N v Z G U s M 3 0 m c X V v d D s s J n F 1 b 3 Q 7 U 2 V j d G l v b j E v U 2 F p b n N i d X J 5 c y 9 D a G F u Z 2 V k I F R 5 c G U u e 1 N 0 Y X J 0 I E R h d G U s N H 0 m c X V v d D s s J n F 1 b 3 Q 7 U 2 V j d G l v b j E v U 2 F p b n N i d X J 5 c y 9 D a G F u Z 2 V k I F R 5 c G U u e 0 V u Z C B E Y X R l L D V 9 J n F 1 b 3 Q 7 L C Z x d W 9 0 O 1 N l Y 3 R p b 2 4 x L 1 N h a W 5 z Y n V y e X M v Q 2 h h b m d l Z C B U e X B l L n t C a W x s a W 5 n c y w 2 f S Z x d W 9 0 O y w m c X V v d D t T Z W N 0 a W 9 u M S 9 T Y W l u c 2 J 1 c n l z L 0 N o Y W 5 n Z W Q g V H l w Z S 5 7 Q 2 9 z d C w 3 f S Z x d W 9 0 O y w m c X V v d D t T Z W N 0 a W 9 u M S 9 T Y W l u c 2 J 1 c n l z L 0 N o Y W 5 n Z W Q g V H l w Z S 5 7 T W F y Z 2 l u L D h 9 J n F 1 b 3 Q 7 L C Z x d W 9 0 O 1 N l Y 3 R p b 2 4 x L 1 N h a W 5 z Y n V y e X M v Q 2 h h b m d l Z C B U e X B l L n t B c H B y b 3 Z l Z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p b n N i d X J 5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j M D g 0 Y j l l N C 0 2 Z j Y y L T R l Z j k t O G E z Y y 0 y Z T g w M D Q 0 M m E z Y T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C 0 z M F Q x M j o 0 M D o x M i 4 z M z c 2 M z c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C 0 x M C 0 z M F Q x M j o 0 M D o x M i 4 z M z k 2 M z I 1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j M D g 0 Y j l l N C 0 2 Z j Y y L T R l Z j k t O G E z Y y 0 y Z T g w M D Q 0 M m E z Y T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T V k M T k 4 N W I t M D g 5 N y 0 0 Y j E 0 L T h h Z D Q t Z j B i M j Z i O G U 0 N z Z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T A t M z B U M T I 6 N D A 6 M T I u M z M y N j U x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0 R h d G E l M j B T d W 1 t Y X J 5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M w O D R i O W U 0 L T Z m N j I t N G V m O S 0 4 Y T N j L T J l O D A w N D Q y Y T N h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w L T M w V D E y O j Q w O j E y L j M 0 M D Y y O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p b n N i d X J 5 c y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a W 5 z Y n V y e X M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p b n N i d X J 5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l u c 2 J 1 c n l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p b n N i d X J 5 c y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a W 5 z Y n V y e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T U R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D J U M T U 6 N D U 6 M D Y u M D M x O T M 4 N V o i I C 8 + P E V u d H J 5 I F R 5 c G U 9 I k Z p b G x D b 2 x 1 b W 5 U e X B l c y I g V m F s d W U 9 I n N C Z 1 l H Q m d r S k J R V U Z B d z 0 9 I i A v P j x F b n R y e S B U e X B l P S J G a W x s Q 2 9 s d W 1 u T m F t Z X M i I F Z h b H V l P S J z W y Z x d W 9 0 O 1 N v d X J j Z S 5 O Y W 1 l J n F 1 b 3 Q 7 L C Z x d W 9 0 O 1 R J V E x F J n F 1 b 3 Q 7 L C Z x d W 9 0 O 1 N 0 b 3 J l J n F 1 b 3 Q 7 L C Z x d W 9 0 O 0 p v Y i B D b 2 R l J n F 1 b 3 Q 7 L C Z x d W 9 0 O 1 N 0 Y X J 0 I E R h d G U m c X V v d D s s J n F 1 b 3 Q 7 R W 5 k I E R h d G U m c X V v d D s s J n F 1 b 3 Q 7 Q m l s b G l u Z 3 M m c X V v d D s s J n F 1 b 3 Q 7 Q 2 9 z d C Z x d W 9 0 O y w m c X V v d D t N Y X J n a W 4 m c X V v d D s s J n F 1 b 3 Q 7 Q X B w c m 9 2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U 1 E T C 9 B d X R v U m V t b 3 Z l Z E N v b H V t b n M x L n t T b 3 V y Y 2 U u T m F t Z S w w f S Z x d W 9 0 O y w m c X V v d D t T Z W N 0 a W 9 u M S 9 R T U R M L 0 F 1 d G 9 S Z W 1 v d m V k Q 2 9 s d W 1 u c z E u e 1 R J V E x F L D F 9 J n F 1 b 3 Q 7 L C Z x d W 9 0 O 1 N l Y 3 R p b 2 4 x L 1 F N R E w v Q X V 0 b 1 J l b W 9 2 Z W R D b 2 x 1 b W 5 z M S 5 7 U 3 R v c m U s M n 0 m c X V v d D s s J n F 1 b 3 Q 7 U 2 V j d G l v b j E v U U 1 E T C 9 B d X R v U m V t b 3 Z l Z E N v b H V t b n M x L n t K b 2 I g Q 2 9 k Z S w z f S Z x d W 9 0 O y w m c X V v d D t T Z W N 0 a W 9 u M S 9 R T U R M L 0 F 1 d G 9 S Z W 1 v d m V k Q 2 9 s d W 1 u c z E u e 1 N 0 Y X J 0 I E R h d G U s N H 0 m c X V v d D s s J n F 1 b 3 Q 7 U 2 V j d G l v b j E v U U 1 E T C 9 B d X R v U m V t b 3 Z l Z E N v b H V t b n M x L n t F b m Q g R G F 0 Z S w 1 f S Z x d W 9 0 O y w m c X V v d D t T Z W N 0 a W 9 u M S 9 R T U R M L 0 F 1 d G 9 S Z W 1 v d m V k Q 2 9 s d W 1 u c z E u e 0 J p b G x p b m d z L D Z 9 J n F 1 b 3 Q 7 L C Z x d W 9 0 O 1 N l Y 3 R p b 2 4 x L 1 F N R E w v Q X V 0 b 1 J l b W 9 2 Z W R D b 2 x 1 b W 5 z M S 5 7 Q 2 9 z d C w 3 f S Z x d W 9 0 O y w m c X V v d D t T Z W N 0 a W 9 u M S 9 R T U R M L 0 F 1 d G 9 S Z W 1 v d m V k Q 2 9 s d W 1 u c z E u e 0 1 h c m d p b i w 4 f S Z x d W 9 0 O y w m c X V v d D t T Z W N 0 a W 9 u M S 9 R T U R M L 0 F 1 d G 9 S Z W 1 v d m V k Q 2 9 s d W 1 u c z E u e 0 F w c H J v d m V k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R T U R M L 0 F 1 d G 9 S Z W 1 v d m V k Q 2 9 s d W 1 u c z E u e 1 N v d X J j Z S 5 O Y W 1 l L D B 9 J n F 1 b 3 Q 7 L C Z x d W 9 0 O 1 N l Y 3 R p b 2 4 x L 1 F N R E w v Q X V 0 b 1 J l b W 9 2 Z W R D b 2 x 1 b W 5 z M S 5 7 V E l U T E U s M X 0 m c X V v d D s s J n F 1 b 3 Q 7 U 2 V j d G l v b j E v U U 1 E T C 9 B d X R v U m V t b 3 Z l Z E N v b H V t b n M x L n t T d G 9 y Z S w y f S Z x d W 9 0 O y w m c X V v d D t T Z W N 0 a W 9 u M S 9 R T U R M L 0 F 1 d G 9 S Z W 1 v d m V k Q 2 9 s d W 1 u c z E u e 0 p v Y i B D b 2 R l L D N 9 J n F 1 b 3 Q 7 L C Z x d W 9 0 O 1 N l Y 3 R p b 2 4 x L 1 F N R E w v Q X V 0 b 1 J l b W 9 2 Z W R D b 2 x 1 b W 5 z M S 5 7 U 3 R h c n Q g R G F 0 Z S w 0 f S Z x d W 9 0 O y w m c X V v d D t T Z W N 0 a W 9 u M S 9 R T U R M L 0 F 1 d G 9 S Z W 1 v d m V k Q 2 9 s d W 1 u c z E u e 0 V u Z C B E Y X R l L D V 9 J n F 1 b 3 Q 7 L C Z x d W 9 0 O 1 N l Y 3 R p b 2 4 x L 1 F N R E w v Q X V 0 b 1 J l b W 9 2 Z W R D b 2 x 1 b W 5 z M S 5 7 Q m l s b G l u Z 3 M s N n 0 m c X V v d D s s J n F 1 b 3 Q 7 U 2 V j d G l v b j E v U U 1 E T C 9 B d X R v U m V t b 3 Z l Z E N v b H V t b n M x L n t D b 3 N 0 L D d 9 J n F 1 b 3 Q 7 L C Z x d W 9 0 O 1 N l Y 3 R p b 2 4 x L 1 F N R E w v Q X V 0 b 1 J l b W 9 2 Z W R D b 2 x 1 b W 5 z M S 5 7 T W F y Z 2 l u L D h 9 J n F 1 b 3 Q 7 L C Z x d W 9 0 O 1 N l Y 3 R p b 2 4 x L 1 F N R E w v Q X V 0 b 1 J l b W 9 2 Z W R D b 2 x 1 b W 5 z M S 5 7 Q X B w c m 9 2 Z W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N R E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T h k Z D k y O T E t Y T V m N S 0 0 M m E 5 L W E w M j A t M D N i Y m Q z N z M w Z W V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c t M D J U M T U 6 N D Q 6 N T E u M D M w N z Y 4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y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c t M D J U M T U 6 N D Q 6 N T E u M D Q w N z Y 2 N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Y T h k Z D k y O T E t Y T V m N S 0 0 M m E 5 L W E w M j A t M D N i Y m Q z N z M w Z W V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I y Z j A x M z B l L T B h Z T Y t N D M 4 O S 1 h Y 2 J l L T I 1 N 2 E z O D k z N m F i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c t M D J U M T U 6 N D Q 6 N T E u M D I 1 M D M 5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L 0 R h d G E l M j B T d W 1 t Y X J 5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K D I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E 4 Z G Q 5 M j k x L W E 1 Z j U t N D J h O S 1 h M D I w L T A z Y m J k M z c z M G V l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3 L T A y V D E 1 O j Q 0 O j U x L j A 0 O D k w M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U 1 E T C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N R E w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U 1 E T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T U R M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U 1 E T C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N R E w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/ P f z L B y b C U + C 4 g A w N k l n 4 w A A A A A C A A A A A A A D Z g A A w A A A A B A A A A A t v N G q X 0 m o g c O M L S 2 N c 7 J u A A A A A A S A A A C g A A A A E A A A A K 8 I M 1 U X 2 K 9 y 8 v / h O I U i i l 9 Q A A A A M P c k I d g E n 0 B k Q p x x 4 W t f Z j b 7 j I j N R 2 l Q k O I T x I m 1 8 3 1 o c B X 1 O c v J 5 w f 5 w 3 a d D n 7 K T 0 U U 5 e 2 b i U N D C 9 U U / O i 6 r l 9 w D G R k 4 r O J E q O Z C y q k F m w U A A A A 9 c w 5 F o + L J Z 5 + 1 J t b Y c P E V 8 c 5 n n Q = < / D a t a M a s h u p > 
</file>

<file path=customXml/itemProps1.xml><?xml version="1.0" encoding="utf-8"?>
<ds:datastoreItem xmlns:ds="http://schemas.openxmlformats.org/officeDocument/2006/customXml" ds:itemID="{B28FB0BB-2A86-48F9-B99F-8DFB188429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Exec Summary</vt:lpstr>
      <vt:lpstr>Focus</vt:lpstr>
      <vt:lpstr>2021_2022</vt:lpstr>
      <vt:lpstr>Margins_Workings</vt:lpstr>
      <vt:lpstr>FQM 21_22</vt:lpstr>
      <vt:lpstr>Weekly_Data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Taylor (MIL-HO)</dc:creator>
  <cp:lastModifiedBy>Catherine Taylor (MIL-HO)</cp:lastModifiedBy>
  <cp:lastPrinted>2021-08-17T08:56:46Z</cp:lastPrinted>
  <dcterms:created xsi:type="dcterms:W3CDTF">2020-10-30T12:39:26Z</dcterms:created>
  <dcterms:modified xsi:type="dcterms:W3CDTF">2021-08-24T11:15:06Z</dcterms:modified>
</cp:coreProperties>
</file>