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1550" windowHeight="4620" firstSheet="8" activeTab="11"/>
  </bookViews>
  <sheets>
    <sheet name="jan13" sheetId="1" r:id="rId1"/>
    <sheet name="feb13" sheetId="2" r:id="rId2"/>
    <sheet name="march10" sheetId="3" r:id="rId3"/>
    <sheet name="april10" sheetId="4" r:id="rId4"/>
    <sheet name="may10" sheetId="5" r:id="rId5"/>
    <sheet name="june" sheetId="6" r:id="rId6"/>
    <sheet name="july" sheetId="7" r:id="rId7"/>
    <sheet name="aug" sheetId="10" r:id="rId8"/>
    <sheet name="Sept" sheetId="9" r:id="rId9"/>
    <sheet name="oct.11" sheetId="11" r:id="rId10"/>
    <sheet name="nov.11" sheetId="12" r:id="rId11"/>
    <sheet name="Dec.11" sheetId="13" r:id="rId12"/>
    <sheet name="Sheet1" sheetId="8" r:id="rId13"/>
    <sheet name="Sheet2" sheetId="14" r:id="rId14"/>
    <sheet name="GAD" sheetId="15" r:id="rId15"/>
    <sheet name="SEF" sheetId="16" r:id="rId16"/>
    <sheet name="Sheet3" sheetId="17" r:id="rId17"/>
    <sheet name="balance13" sheetId="18" r:id="rId18"/>
    <sheet name="bySector" sheetId="19" r:id="rId19"/>
    <sheet name="Sheet5" sheetId="20" r:id="rId20"/>
  </sheets>
  <externalReferences>
    <externalReference r:id="rId21"/>
    <externalReference r:id="rId22"/>
  </externalReferences>
  <definedNames>
    <definedName name="_xlnm.Print_Area" localSheetId="7">aug!$A$163:$G$190</definedName>
    <definedName name="_xlnm.Print_Area" localSheetId="17">balance13!$A$1:$C$12</definedName>
    <definedName name="_xlnm.Print_Area" localSheetId="18">bySector!$A$1:$G$48</definedName>
    <definedName name="_xlnm.Print_Area" localSheetId="11">Dec.11!$A$164:$G$197</definedName>
    <definedName name="_xlnm.Print_Area" localSheetId="1">[1]Sheet2!$A$1:$D$22</definedName>
    <definedName name="_xlnm.Print_Area" localSheetId="14">GAD!$A$1:$D$43</definedName>
    <definedName name="_xlnm.Print_Area" localSheetId="0">'jan13'!$A$164:$G$191</definedName>
    <definedName name="_xlnm.Print_Area" localSheetId="5">june!$A$125:$C$158</definedName>
    <definedName name="_xlnm.Print_Area" localSheetId="2">march10!$A$120:$G$159</definedName>
    <definedName name="_xlnm.Print_Area" localSheetId="4">'may10'!$A$163:$G$196</definedName>
    <definedName name="_xlnm.Print_Area" localSheetId="10">nov.11!$A$162:$G$189</definedName>
    <definedName name="_xlnm.Print_Area" localSheetId="9">oct.11!$A$161:$G$194</definedName>
    <definedName name="_xlnm.Print_Area" localSheetId="12">Sheet1!$A$1:$D$26</definedName>
    <definedName name="_xlnm.Print_Area" localSheetId="13">Sheet2!$A$123:$D$159</definedName>
    <definedName name="_xlnm.Print_Area" localSheetId="16">Sheet3!$A$125:$C$158</definedName>
  </definedNames>
  <calcPr calcId="145621"/>
</workbook>
</file>

<file path=xl/calcChain.xml><?xml version="1.0" encoding="utf-8"?>
<calcChain xmlns="http://schemas.openxmlformats.org/spreadsheetml/2006/main">
  <c r="E57" i="19" l="1"/>
  <c r="E86" i="19" s="1"/>
  <c r="D85" i="19"/>
  <c r="D80" i="19"/>
  <c r="D82" i="19" s="1"/>
  <c r="D72" i="19"/>
  <c r="D71" i="19"/>
  <c r="D74" i="19" s="1"/>
  <c r="D64" i="19"/>
  <c r="D67" i="19" s="1"/>
  <c r="D58" i="19"/>
  <c r="D87" i="19" s="1"/>
  <c r="D57" i="19"/>
  <c r="D60" i="19" s="1"/>
  <c r="C80" i="19"/>
  <c r="C72" i="19"/>
  <c r="C71" i="19"/>
  <c r="J65" i="19"/>
  <c r="C64" i="19"/>
  <c r="C58" i="19"/>
  <c r="I45" i="19"/>
  <c r="D86" i="19" l="1"/>
  <c r="D89" i="19" s="1"/>
  <c r="I72" i="19" l="1"/>
  <c r="I71" i="19"/>
  <c r="C57" i="19"/>
  <c r="I69" i="19"/>
  <c r="E39" i="19" l="1"/>
  <c r="E38" i="19"/>
  <c r="E32" i="19"/>
  <c r="E31" i="19"/>
  <c r="E24" i="19"/>
  <c r="E17" i="19"/>
  <c r="E45" i="19" s="1"/>
  <c r="E44" i="19"/>
  <c r="E37" i="19"/>
  <c r="D45" i="19" l="1"/>
  <c r="D39" i="19"/>
  <c r="D46" i="19" s="1"/>
  <c r="D37" i="19"/>
  <c r="D34" i="19"/>
  <c r="D27" i="19"/>
  <c r="D20" i="19"/>
  <c r="D41" i="19" l="1"/>
  <c r="D44" i="19"/>
  <c r="D48" i="19" s="1"/>
  <c r="C39" i="19"/>
  <c r="C37" i="19"/>
  <c r="H24" i="19"/>
  <c r="C46" i="19"/>
  <c r="C45" i="19"/>
  <c r="C44" i="19"/>
  <c r="F39" i="19"/>
  <c r="E142" i="19"/>
  <c r="D140" i="19"/>
  <c r="G140" i="19" s="1"/>
  <c r="C140" i="19"/>
  <c r="F140" i="19" s="1"/>
  <c r="D139" i="19"/>
  <c r="D142" i="19" s="1"/>
  <c r="C139" i="19"/>
  <c r="C142" i="19" s="1"/>
  <c r="E135" i="19"/>
  <c r="D135" i="19"/>
  <c r="C135" i="19"/>
  <c r="G132" i="19"/>
  <c r="G135" i="19" s="1"/>
  <c r="F132" i="19"/>
  <c r="F135" i="19" s="1"/>
  <c r="E125" i="19"/>
  <c r="D125" i="19"/>
  <c r="C125" i="19"/>
  <c r="G123" i="19"/>
  <c r="F123" i="19"/>
  <c r="G122" i="19"/>
  <c r="G125" i="19" s="1"/>
  <c r="F122" i="19"/>
  <c r="F125" i="19" s="1"/>
  <c r="J121" i="19"/>
  <c r="E87" i="19"/>
  <c r="G85" i="19"/>
  <c r="F85" i="19"/>
  <c r="E85" i="19"/>
  <c r="C85" i="19"/>
  <c r="E82" i="19"/>
  <c r="G80" i="19"/>
  <c r="F80" i="19"/>
  <c r="C82" i="19"/>
  <c r="E74" i="19"/>
  <c r="G72" i="19"/>
  <c r="F72" i="19"/>
  <c r="C74" i="19"/>
  <c r="E67" i="19"/>
  <c r="G65" i="19"/>
  <c r="F65" i="19"/>
  <c r="C67" i="19"/>
  <c r="E60" i="19"/>
  <c r="F58" i="19"/>
  <c r="C60" i="19"/>
  <c r="M39" i="19"/>
  <c r="G39" i="19"/>
  <c r="G38" i="19"/>
  <c r="F38" i="19"/>
  <c r="L37" i="19"/>
  <c r="E41" i="19"/>
  <c r="C41" i="19"/>
  <c r="G32" i="19"/>
  <c r="F32" i="19"/>
  <c r="G31" i="19"/>
  <c r="F31" i="19"/>
  <c r="M30" i="19"/>
  <c r="E34" i="19"/>
  <c r="C34" i="19"/>
  <c r="J26" i="19"/>
  <c r="J27" i="19" s="1"/>
  <c r="J28" i="19" s="1"/>
  <c r="J30" i="19" s="1"/>
  <c r="G25" i="19"/>
  <c r="F25" i="19"/>
  <c r="G24" i="19"/>
  <c r="F24" i="19"/>
  <c r="L23" i="19"/>
  <c r="L24" i="19" s="1"/>
  <c r="E27" i="19"/>
  <c r="C27" i="19"/>
  <c r="S20" i="19"/>
  <c r="S21" i="19" s="1"/>
  <c r="R20" i="19"/>
  <c r="R21" i="19" s="1"/>
  <c r="M20" i="19"/>
  <c r="I19" i="19"/>
  <c r="E46" i="19"/>
  <c r="E48" i="19" s="1"/>
  <c r="H17" i="19"/>
  <c r="H16" i="19"/>
  <c r="H20" i="19" s="1"/>
  <c r="I15" i="19"/>
  <c r="I14" i="19"/>
  <c r="M12" i="19"/>
  <c r="F87" i="19" l="1"/>
  <c r="C48" i="19"/>
  <c r="I48" i="19" s="1"/>
  <c r="E89" i="19"/>
  <c r="G16" i="19"/>
  <c r="G18" i="19"/>
  <c r="G46" i="19" s="1"/>
  <c r="S22" i="19"/>
  <c r="F16" i="19"/>
  <c r="F17" i="19"/>
  <c r="F45" i="19" s="1"/>
  <c r="F18" i="19"/>
  <c r="F46" i="19" s="1"/>
  <c r="F23" i="19"/>
  <c r="F27" i="19" s="1"/>
  <c r="F30" i="19"/>
  <c r="F34" i="19" s="1"/>
  <c r="F37" i="19"/>
  <c r="F41" i="19" s="1"/>
  <c r="G57" i="19"/>
  <c r="G58" i="19"/>
  <c r="G87" i="19" s="1"/>
  <c r="F64" i="19"/>
  <c r="F67" i="19" s="1"/>
  <c r="G71" i="19"/>
  <c r="G74" i="19" s="1"/>
  <c r="F79" i="19"/>
  <c r="F82" i="19" s="1"/>
  <c r="C86" i="19"/>
  <c r="C87" i="19"/>
  <c r="G139" i="19"/>
  <c r="G142" i="19" s="1"/>
  <c r="G17" i="19"/>
  <c r="G45" i="19" s="1"/>
  <c r="C20" i="19"/>
  <c r="E20" i="19"/>
  <c r="G23" i="19"/>
  <c r="G27" i="19" s="1"/>
  <c r="G30" i="19"/>
  <c r="G34" i="19" s="1"/>
  <c r="G37" i="19"/>
  <c r="G41" i="19" s="1"/>
  <c r="F57" i="19"/>
  <c r="G64" i="19"/>
  <c r="G67" i="19" s="1"/>
  <c r="F71" i="19"/>
  <c r="F74" i="19" s="1"/>
  <c r="G79" i="19"/>
  <c r="G82" i="19" s="1"/>
  <c r="F139" i="19"/>
  <c r="F142" i="19" s="1"/>
  <c r="G92" i="13"/>
  <c r="F92" i="13"/>
  <c r="G145" i="13"/>
  <c r="F145" i="13"/>
  <c r="G184" i="13"/>
  <c r="F184" i="13"/>
  <c r="C89" i="19" l="1"/>
  <c r="F86" i="19"/>
  <c r="F89" i="19" s="1"/>
  <c r="F60" i="19"/>
  <c r="G86" i="19"/>
  <c r="G89" i="19" s="1"/>
  <c r="G60" i="19"/>
  <c r="F44" i="19"/>
  <c r="F48" i="19" s="1"/>
  <c r="F20" i="19"/>
  <c r="G20" i="19"/>
  <c r="G44" i="19"/>
  <c r="G48" i="19" s="1"/>
  <c r="F181" i="13"/>
  <c r="G181" i="13"/>
  <c r="D190" i="13"/>
  <c r="F140" i="13"/>
  <c r="G156" i="13"/>
  <c r="G151" i="13"/>
  <c r="G149" i="13"/>
  <c r="G148" i="13"/>
  <c r="G147" i="13"/>
  <c r="G146" i="13"/>
  <c r="G143" i="13"/>
  <c r="G141" i="13"/>
  <c r="G137" i="13"/>
  <c r="G136" i="13"/>
  <c r="G135" i="13"/>
  <c r="G133" i="13"/>
  <c r="G132" i="13"/>
  <c r="G131" i="13"/>
  <c r="G130" i="13"/>
  <c r="G129" i="13"/>
  <c r="F149" i="13"/>
  <c r="F148" i="13"/>
  <c r="F147" i="13"/>
  <c r="F146" i="13"/>
  <c r="F144" i="13"/>
  <c r="F143" i="13"/>
  <c r="F141" i="13"/>
  <c r="F137" i="13"/>
  <c r="F136" i="13"/>
  <c r="F135" i="13"/>
  <c r="F133" i="13"/>
  <c r="F132" i="13"/>
  <c r="F131" i="13"/>
  <c r="F130" i="13"/>
  <c r="F129" i="13"/>
  <c r="E139" i="13"/>
  <c r="E159" i="13" s="1"/>
  <c r="I202" i="13"/>
  <c r="L199" i="13"/>
  <c r="L198" i="13"/>
  <c r="L201" i="13" s="1"/>
  <c r="E190" i="13"/>
  <c r="E203" i="13" s="1"/>
  <c r="C190" i="13"/>
  <c r="C191" i="13" s="1"/>
  <c r="G188" i="13"/>
  <c r="F188" i="13"/>
  <c r="G187" i="13"/>
  <c r="F187" i="13"/>
  <c r="G186" i="13"/>
  <c r="F186" i="13"/>
  <c r="G185" i="13"/>
  <c r="F185" i="13"/>
  <c r="G183" i="13"/>
  <c r="F183" i="13"/>
  <c r="G182" i="13"/>
  <c r="F182" i="13"/>
  <c r="G180" i="13"/>
  <c r="F180" i="13"/>
  <c r="G179" i="13"/>
  <c r="F179" i="13"/>
  <c r="G178" i="13"/>
  <c r="F178" i="13"/>
  <c r="I177" i="13"/>
  <c r="G177" i="13"/>
  <c r="F177" i="13"/>
  <c r="G176" i="13"/>
  <c r="F176" i="13"/>
  <c r="I175" i="13"/>
  <c r="F175" i="13"/>
  <c r="G174" i="13"/>
  <c r="F174" i="13"/>
  <c r="F190" i="13" s="1"/>
  <c r="E164" i="13"/>
  <c r="D159" i="13"/>
  <c r="C159" i="13"/>
  <c r="G158" i="13"/>
  <c r="G157" i="13"/>
  <c r="F157" i="13"/>
  <c r="F156" i="13"/>
  <c r="G155" i="13"/>
  <c r="F155" i="13"/>
  <c r="G154" i="13"/>
  <c r="F154" i="13"/>
  <c r="G153" i="13"/>
  <c r="F153" i="13"/>
  <c r="G152" i="13"/>
  <c r="F152" i="13"/>
  <c r="F151" i="13"/>
  <c r="G150" i="13"/>
  <c r="F150" i="13"/>
  <c r="J145" i="13"/>
  <c r="G144" i="13"/>
  <c r="G142" i="13"/>
  <c r="F142" i="13"/>
  <c r="G140" i="13"/>
  <c r="G139" i="13"/>
  <c r="F139" i="13"/>
  <c r="G138" i="13"/>
  <c r="F138" i="13"/>
  <c r="G128" i="13"/>
  <c r="F128" i="13"/>
  <c r="F159" i="13" s="1"/>
  <c r="F161" i="13" s="1"/>
  <c r="E115" i="13"/>
  <c r="D115" i="13"/>
  <c r="C115" i="13"/>
  <c r="G112" i="13"/>
  <c r="F112" i="13"/>
  <c r="G111" i="13"/>
  <c r="G115" i="13" s="1"/>
  <c r="F111" i="13"/>
  <c r="F115" i="13" s="1"/>
  <c r="E108" i="13"/>
  <c r="C108" i="13"/>
  <c r="G105" i="13"/>
  <c r="F105" i="13"/>
  <c r="F104" i="13"/>
  <c r="F108" i="13" s="1"/>
  <c r="D108" i="13"/>
  <c r="E101" i="13"/>
  <c r="E201" i="13" s="1"/>
  <c r="C101" i="13"/>
  <c r="G98" i="13"/>
  <c r="F98" i="13"/>
  <c r="F97" i="13"/>
  <c r="F101" i="13" s="1"/>
  <c r="D101" i="13"/>
  <c r="E94" i="13"/>
  <c r="C94" i="13"/>
  <c r="G91" i="13"/>
  <c r="F91" i="13"/>
  <c r="F90" i="13"/>
  <c r="F94" i="13" s="1"/>
  <c r="D94" i="13"/>
  <c r="E87" i="13"/>
  <c r="C87" i="13"/>
  <c r="G84" i="13"/>
  <c r="F84" i="13"/>
  <c r="F83" i="13"/>
  <c r="F87" i="13" s="1"/>
  <c r="D87" i="13"/>
  <c r="E80" i="13"/>
  <c r="C80" i="13"/>
  <c r="G77" i="13"/>
  <c r="F77" i="13"/>
  <c r="F76" i="13"/>
  <c r="F80" i="13" s="1"/>
  <c r="D80" i="13"/>
  <c r="E73" i="13"/>
  <c r="C73" i="13"/>
  <c r="G71" i="13"/>
  <c r="F71" i="13"/>
  <c r="G70" i="13"/>
  <c r="F70" i="13"/>
  <c r="F69" i="13"/>
  <c r="F73" i="13" s="1"/>
  <c r="D73" i="13"/>
  <c r="E57" i="13"/>
  <c r="C57" i="13"/>
  <c r="G55" i="13"/>
  <c r="F55" i="13"/>
  <c r="G54" i="13"/>
  <c r="F54" i="13"/>
  <c r="F53" i="13"/>
  <c r="F57" i="13" s="1"/>
  <c r="D57" i="13"/>
  <c r="E50" i="13"/>
  <c r="C50" i="13"/>
  <c r="G48" i="13"/>
  <c r="F48" i="13"/>
  <c r="G47" i="13"/>
  <c r="F47" i="13"/>
  <c r="F46" i="13"/>
  <c r="F50" i="13" s="1"/>
  <c r="E43" i="13"/>
  <c r="C43" i="13"/>
  <c r="M41" i="13"/>
  <c r="G40" i="13"/>
  <c r="F40" i="13"/>
  <c r="L39" i="13"/>
  <c r="F39" i="13"/>
  <c r="F43" i="13" s="1"/>
  <c r="D43" i="13"/>
  <c r="E36" i="13"/>
  <c r="C36" i="13"/>
  <c r="G33" i="13"/>
  <c r="F33" i="13"/>
  <c r="F32" i="13"/>
  <c r="F36" i="13" s="1"/>
  <c r="D36" i="13"/>
  <c r="E29" i="13"/>
  <c r="C29" i="13"/>
  <c r="G27" i="13"/>
  <c r="F27" i="13"/>
  <c r="G26" i="13"/>
  <c r="F26" i="13"/>
  <c r="M25" i="13"/>
  <c r="F25" i="13"/>
  <c r="F29" i="13" s="1"/>
  <c r="D29" i="13"/>
  <c r="E22" i="13"/>
  <c r="C22" i="13"/>
  <c r="J21" i="13"/>
  <c r="J22" i="13" s="1"/>
  <c r="J23" i="13" s="1"/>
  <c r="J25" i="13" s="1"/>
  <c r="G20" i="13"/>
  <c r="F20" i="13"/>
  <c r="G19" i="13"/>
  <c r="F19" i="13"/>
  <c r="L18" i="13"/>
  <c r="L19" i="13" s="1"/>
  <c r="F18" i="13"/>
  <c r="F22" i="13" s="1"/>
  <c r="G18" i="13"/>
  <c r="G22" i="13" s="1"/>
  <c r="S15" i="13"/>
  <c r="S16" i="13" s="1"/>
  <c r="R15" i="13"/>
  <c r="R16" i="13" s="1"/>
  <c r="S17" i="13" s="1"/>
  <c r="M15" i="13"/>
  <c r="E15" i="13"/>
  <c r="C15" i="13"/>
  <c r="I14" i="13"/>
  <c r="G13" i="13"/>
  <c r="F13" i="13"/>
  <c r="G12" i="13"/>
  <c r="F12" i="13"/>
  <c r="F11" i="13"/>
  <c r="D15" i="13"/>
  <c r="M7" i="13"/>
  <c r="C140" i="14"/>
  <c r="D30" i="15"/>
  <c r="D29" i="15"/>
  <c r="D28" i="15"/>
  <c r="D27" i="15"/>
  <c r="D26" i="15"/>
  <c r="D23" i="15"/>
  <c r="D22" i="15"/>
  <c r="D21" i="15"/>
  <c r="C24" i="15"/>
  <c r="D24" i="15" s="1"/>
  <c r="H9" i="18"/>
  <c r="B6" i="18"/>
  <c r="B4" i="18"/>
  <c r="B3" i="18"/>
  <c r="B2" i="18"/>
  <c r="I105" i="17"/>
  <c r="D191" i="13" l="1"/>
  <c r="E202" i="13"/>
  <c r="E200" i="13"/>
  <c r="E191" i="13"/>
  <c r="G203" i="13" s="1"/>
  <c r="G159" i="13"/>
  <c r="E118" i="13"/>
  <c r="F15" i="13"/>
  <c r="F191" i="13" s="1"/>
  <c r="G11" i="13"/>
  <c r="G15" i="13" s="1"/>
  <c r="D22" i="13"/>
  <c r="G25" i="13"/>
  <c r="G29" i="13" s="1"/>
  <c r="G32" i="13"/>
  <c r="G36" i="13" s="1"/>
  <c r="G39" i="13"/>
  <c r="G43" i="13" s="1"/>
  <c r="G46" i="13"/>
  <c r="G50" i="13" s="1"/>
  <c r="D50" i="13"/>
  <c r="G53" i="13"/>
  <c r="G57" i="13" s="1"/>
  <c r="G69" i="13"/>
  <c r="G73" i="13" s="1"/>
  <c r="G76" i="13"/>
  <c r="G80" i="13" s="1"/>
  <c r="G83" i="13"/>
  <c r="G87" i="13" s="1"/>
  <c r="G90" i="13"/>
  <c r="G94" i="13" s="1"/>
  <c r="G97" i="13"/>
  <c r="G101" i="13" s="1"/>
  <c r="G104" i="13"/>
  <c r="G108" i="13" s="1"/>
  <c r="G175" i="13"/>
  <c r="G190" i="13" s="1"/>
  <c r="B11" i="18"/>
  <c r="I124" i="17"/>
  <c r="I123" i="17"/>
  <c r="I125" i="17" s="1"/>
  <c r="I126" i="17" s="1"/>
  <c r="I122" i="17"/>
  <c r="E227" i="17"/>
  <c r="E215" i="17"/>
  <c r="E213" i="17"/>
  <c r="D211" i="17"/>
  <c r="D212" i="17" s="1"/>
  <c r="D213" i="17" s="1"/>
  <c r="E209" i="17"/>
  <c r="I205" i="17"/>
  <c r="L202" i="17"/>
  <c r="L201" i="17"/>
  <c r="L204" i="17" s="1"/>
  <c r="E193" i="17"/>
  <c r="E189" i="17"/>
  <c r="C189" i="17"/>
  <c r="D188" i="17"/>
  <c r="F187" i="17"/>
  <c r="D187" i="17"/>
  <c r="G187" i="17" s="1"/>
  <c r="G186" i="17"/>
  <c r="F186" i="17"/>
  <c r="F185" i="17"/>
  <c r="D185" i="17"/>
  <c r="G185" i="17" s="1"/>
  <c r="G184" i="17"/>
  <c r="F184" i="17"/>
  <c r="F183" i="17"/>
  <c r="D183" i="17"/>
  <c r="F182" i="17"/>
  <c r="D182" i="17"/>
  <c r="G182" i="17" s="1"/>
  <c r="F181" i="17"/>
  <c r="D181" i="17"/>
  <c r="G181" i="17" s="1"/>
  <c r="F180" i="17"/>
  <c r="D180" i="17"/>
  <c r="F179" i="17"/>
  <c r="D179" i="17"/>
  <c r="G179" i="17" s="1"/>
  <c r="F178" i="17"/>
  <c r="D178" i="17"/>
  <c r="G178" i="17" s="1"/>
  <c r="G177" i="17"/>
  <c r="F177" i="17"/>
  <c r="I176" i="17"/>
  <c r="G176" i="17"/>
  <c r="F176" i="17"/>
  <c r="G175" i="17"/>
  <c r="F175" i="17"/>
  <c r="I174" i="17"/>
  <c r="F174" i="17"/>
  <c r="D174" i="17"/>
  <c r="D189" i="17" s="1"/>
  <c r="G173" i="17"/>
  <c r="F173" i="17"/>
  <c r="F189" i="17" s="1"/>
  <c r="C158" i="17"/>
  <c r="G157" i="17"/>
  <c r="F156" i="17"/>
  <c r="D156" i="17"/>
  <c r="G156" i="17" s="1"/>
  <c r="F155" i="17"/>
  <c r="G154" i="17"/>
  <c r="F154" i="17"/>
  <c r="F153" i="17"/>
  <c r="D153" i="17"/>
  <c r="G153" i="17" s="1"/>
  <c r="F152" i="17"/>
  <c r="D152" i="17"/>
  <c r="G152" i="17" s="1"/>
  <c r="G151" i="17"/>
  <c r="F151" i="17"/>
  <c r="F150" i="17"/>
  <c r="D150" i="17"/>
  <c r="G150" i="17" s="1"/>
  <c r="F149" i="17"/>
  <c r="G148" i="17"/>
  <c r="F148" i="17"/>
  <c r="D147" i="17"/>
  <c r="F147" i="17" s="1"/>
  <c r="F146" i="17"/>
  <c r="D146" i="17"/>
  <c r="J145" i="17"/>
  <c r="G145" i="17"/>
  <c r="F145" i="17"/>
  <c r="F144" i="17"/>
  <c r="D144" i="17"/>
  <c r="G144" i="17" s="1"/>
  <c r="F143" i="17"/>
  <c r="D143" i="17"/>
  <c r="F142" i="17"/>
  <c r="D142" i="17"/>
  <c r="G142" i="17" s="1"/>
  <c r="I141" i="17"/>
  <c r="F141" i="17"/>
  <c r="G140" i="17"/>
  <c r="F140" i="17"/>
  <c r="I139" i="17"/>
  <c r="G139" i="17"/>
  <c r="F139" i="17"/>
  <c r="G138" i="17"/>
  <c r="F138" i="17"/>
  <c r="F137" i="17"/>
  <c r="F136" i="17"/>
  <c r="E135" i="17"/>
  <c r="E158" i="17" s="1"/>
  <c r="I134" i="17"/>
  <c r="I135" i="17" s="1"/>
  <c r="F133" i="17"/>
  <c r="F132" i="17"/>
  <c r="F131" i="17"/>
  <c r="D131" i="17"/>
  <c r="F130" i="17"/>
  <c r="D130" i="17"/>
  <c r="F129" i="17"/>
  <c r="D129" i="17"/>
  <c r="F128" i="17"/>
  <c r="D128" i="17"/>
  <c r="G128" i="17" s="1"/>
  <c r="G158" i="17" s="1"/>
  <c r="E118" i="17"/>
  <c r="E115" i="17"/>
  <c r="C115" i="17"/>
  <c r="F112" i="17"/>
  <c r="D112" i="17"/>
  <c r="D115" i="17" s="1"/>
  <c r="G111" i="17"/>
  <c r="F111" i="17"/>
  <c r="F115" i="17" s="1"/>
  <c r="E108" i="17"/>
  <c r="C108" i="17"/>
  <c r="F105" i="17"/>
  <c r="D105" i="17"/>
  <c r="G105" i="17" s="1"/>
  <c r="F104" i="17"/>
  <c r="F108" i="17" s="1"/>
  <c r="D104" i="17"/>
  <c r="G104" i="17" s="1"/>
  <c r="G108" i="17" s="1"/>
  <c r="E101" i="17"/>
  <c r="C101" i="17"/>
  <c r="F98" i="17"/>
  <c r="D98" i="17"/>
  <c r="F97" i="17"/>
  <c r="F101" i="17" s="1"/>
  <c r="D97" i="17"/>
  <c r="G97" i="17" s="1"/>
  <c r="E94" i="17"/>
  <c r="C94" i="17"/>
  <c r="F91" i="17"/>
  <c r="D91" i="17"/>
  <c r="G91" i="17" s="1"/>
  <c r="F90" i="17"/>
  <c r="F94" i="17" s="1"/>
  <c r="D90" i="17"/>
  <c r="G90" i="17" s="1"/>
  <c r="G94" i="17" s="1"/>
  <c r="E87" i="17"/>
  <c r="C87" i="17"/>
  <c r="F84" i="17"/>
  <c r="D84" i="17"/>
  <c r="F83" i="17"/>
  <c r="F87" i="17" s="1"/>
  <c r="D83" i="17"/>
  <c r="G83" i="17" s="1"/>
  <c r="E80" i="17"/>
  <c r="C80" i="17"/>
  <c r="F77" i="17"/>
  <c r="D77" i="17"/>
  <c r="G77" i="17" s="1"/>
  <c r="F76" i="17"/>
  <c r="F80" i="17" s="1"/>
  <c r="D76" i="17"/>
  <c r="G76" i="17" s="1"/>
  <c r="G80" i="17" s="1"/>
  <c r="E73" i="17"/>
  <c r="C73" i="17"/>
  <c r="F71" i="17"/>
  <c r="D71" i="17"/>
  <c r="F70" i="17"/>
  <c r="D70" i="17"/>
  <c r="G70" i="17" s="1"/>
  <c r="M69" i="17"/>
  <c r="F69" i="17"/>
  <c r="F73" i="17" s="1"/>
  <c r="D69" i="17"/>
  <c r="G69" i="17" s="1"/>
  <c r="E59" i="17"/>
  <c r="E57" i="17"/>
  <c r="C57" i="17"/>
  <c r="G55" i="17"/>
  <c r="F55" i="17"/>
  <c r="F54" i="17"/>
  <c r="D54" i="17"/>
  <c r="F53" i="17"/>
  <c r="D53" i="17"/>
  <c r="G53" i="17" s="1"/>
  <c r="E50" i="17"/>
  <c r="C50" i="17"/>
  <c r="G48" i="17"/>
  <c r="F48" i="17"/>
  <c r="F47" i="17"/>
  <c r="D47" i="17"/>
  <c r="G47" i="17" s="1"/>
  <c r="F46" i="17"/>
  <c r="D46" i="17"/>
  <c r="D202" i="17" s="1"/>
  <c r="E43" i="17"/>
  <c r="C43" i="17"/>
  <c r="M41" i="17"/>
  <c r="F40" i="17"/>
  <c r="D40" i="17"/>
  <c r="G40" i="17" s="1"/>
  <c r="L39" i="17"/>
  <c r="F39" i="17"/>
  <c r="F43" i="17" s="1"/>
  <c r="D39" i="17"/>
  <c r="G39" i="17" s="1"/>
  <c r="E36" i="17"/>
  <c r="C36" i="17"/>
  <c r="F33" i="17"/>
  <c r="D33" i="17"/>
  <c r="G33" i="17" s="1"/>
  <c r="F32" i="17"/>
  <c r="F36" i="17" s="1"/>
  <c r="D32" i="17"/>
  <c r="G32" i="17" s="1"/>
  <c r="G36" i="17" s="1"/>
  <c r="E29" i="17"/>
  <c r="C29" i="17"/>
  <c r="G27" i="17"/>
  <c r="F27" i="17"/>
  <c r="F26" i="17"/>
  <c r="D26" i="17"/>
  <c r="M25" i="17"/>
  <c r="F25" i="17"/>
  <c r="D25" i="17"/>
  <c r="G25" i="17" s="1"/>
  <c r="E22" i="17"/>
  <c r="C22" i="17"/>
  <c r="J21" i="17"/>
  <c r="J22" i="17" s="1"/>
  <c r="J23" i="17" s="1"/>
  <c r="J25" i="17" s="1"/>
  <c r="G20" i="17"/>
  <c r="F20" i="17"/>
  <c r="F19" i="17"/>
  <c r="D19" i="17"/>
  <c r="G19" i="17" s="1"/>
  <c r="L18" i="17"/>
  <c r="L19" i="17" s="1"/>
  <c r="F18" i="17"/>
  <c r="F22" i="17" s="1"/>
  <c r="D18" i="17"/>
  <c r="D22" i="17" s="1"/>
  <c r="S15" i="17"/>
  <c r="S16" i="17" s="1"/>
  <c r="R15" i="17"/>
  <c r="R16" i="17" s="1"/>
  <c r="M15" i="17"/>
  <c r="E15" i="17"/>
  <c r="C15" i="17"/>
  <c r="I14" i="17"/>
  <c r="G13" i="17"/>
  <c r="F13" i="17"/>
  <c r="F12" i="17"/>
  <c r="D12" i="17"/>
  <c r="G12" i="17" s="1"/>
  <c r="F11" i="17"/>
  <c r="F15" i="17" s="1"/>
  <c r="D11" i="17"/>
  <c r="D15" i="17" s="1"/>
  <c r="M7" i="17"/>
  <c r="D179" i="10"/>
  <c r="D180" i="10"/>
  <c r="D181" i="10"/>
  <c r="F180" i="10"/>
  <c r="D182" i="10"/>
  <c r="D178" i="10"/>
  <c r="D185" i="10"/>
  <c r="D187" i="10"/>
  <c r="F183" i="10"/>
  <c r="D183" i="10"/>
  <c r="F174" i="10"/>
  <c r="F146" i="10"/>
  <c r="F143" i="10"/>
  <c r="F141" i="10"/>
  <c r="F137" i="10"/>
  <c r="F136" i="10"/>
  <c r="F133" i="10"/>
  <c r="F132" i="10"/>
  <c r="F131" i="10"/>
  <c r="F130" i="10"/>
  <c r="D112" i="10"/>
  <c r="D105" i="10"/>
  <c r="D98" i="10"/>
  <c r="D91" i="10"/>
  <c r="D84" i="10"/>
  <c r="D77" i="10"/>
  <c r="D70" i="10"/>
  <c r="D71" i="10"/>
  <c r="D54" i="10"/>
  <c r="D47" i="10"/>
  <c r="D40" i="10"/>
  <c r="D33" i="10"/>
  <c r="D26" i="10"/>
  <c r="D19" i="10"/>
  <c r="G19" i="10" s="1"/>
  <c r="D12" i="10"/>
  <c r="E204" i="13" l="1"/>
  <c r="G191" i="13"/>
  <c r="D43" i="17"/>
  <c r="D57" i="17"/>
  <c r="D73" i="17"/>
  <c r="D87" i="17"/>
  <c r="D101" i="17"/>
  <c r="E190" i="17"/>
  <c r="F29" i="17"/>
  <c r="D29" i="17"/>
  <c r="G43" i="17"/>
  <c r="F50" i="17"/>
  <c r="F57" i="17"/>
  <c r="C190" i="17"/>
  <c r="E211" i="17"/>
  <c r="E210" i="17"/>
  <c r="S17" i="17"/>
  <c r="G206" i="17"/>
  <c r="G11" i="17"/>
  <c r="G15" i="17" s="1"/>
  <c r="G18" i="17"/>
  <c r="G22" i="17" s="1"/>
  <c r="D36" i="17"/>
  <c r="D50" i="17"/>
  <c r="D80" i="17"/>
  <c r="D94" i="17"/>
  <c r="D108" i="17"/>
  <c r="G112" i="17"/>
  <c r="G115" i="17" s="1"/>
  <c r="F135" i="17"/>
  <c r="F158" i="17" s="1"/>
  <c r="F190" i="17" s="1"/>
  <c r="D158" i="17"/>
  <c r="G174" i="17"/>
  <c r="G189" i="17" s="1"/>
  <c r="D193" i="17"/>
  <c r="G26" i="17"/>
  <c r="G29" i="17" s="1"/>
  <c r="G46" i="17"/>
  <c r="G50" i="17" s="1"/>
  <c r="G54" i="17"/>
  <c r="G57" i="17" s="1"/>
  <c r="G71" i="17"/>
  <c r="G73" i="17" s="1"/>
  <c r="G84" i="17"/>
  <c r="G87" i="17" s="1"/>
  <c r="G98" i="17"/>
  <c r="G101" i="17" s="1"/>
  <c r="E227" i="10"/>
  <c r="E215" i="10"/>
  <c r="D211" i="10"/>
  <c r="D212" i="10" s="1"/>
  <c r="D213" i="10" s="1"/>
  <c r="E209" i="10"/>
  <c r="I205" i="10"/>
  <c r="L202" i="10"/>
  <c r="L201" i="10"/>
  <c r="L204" i="10" s="1"/>
  <c r="C189" i="10"/>
  <c r="D188" i="10"/>
  <c r="F187" i="10"/>
  <c r="G187" i="10"/>
  <c r="G186" i="10"/>
  <c r="F186" i="10"/>
  <c r="G185" i="10"/>
  <c r="G184" i="10"/>
  <c r="F184" i="10"/>
  <c r="F182" i="10"/>
  <c r="G182" i="10"/>
  <c r="G181" i="10"/>
  <c r="F181" i="10"/>
  <c r="F179" i="10"/>
  <c r="G179" i="10"/>
  <c r="F178" i="10"/>
  <c r="G178" i="10"/>
  <c r="G177" i="10"/>
  <c r="F177" i="10"/>
  <c r="I176" i="10"/>
  <c r="G176" i="10"/>
  <c r="G175" i="10"/>
  <c r="F175" i="10"/>
  <c r="I174" i="10"/>
  <c r="D174" i="10"/>
  <c r="D189" i="10" s="1"/>
  <c r="E193" i="10"/>
  <c r="C158" i="10"/>
  <c r="G157" i="10"/>
  <c r="F156" i="10"/>
  <c r="D156" i="10"/>
  <c r="G156" i="10" s="1"/>
  <c r="F155" i="10"/>
  <c r="G154" i="10"/>
  <c r="F154" i="10"/>
  <c r="F153" i="10"/>
  <c r="D153" i="10"/>
  <c r="G153" i="10" s="1"/>
  <c r="F152" i="10"/>
  <c r="D152" i="10"/>
  <c r="G152" i="10" s="1"/>
  <c r="F151" i="10"/>
  <c r="F150" i="10"/>
  <c r="D150" i="10"/>
  <c r="G150" i="10" s="1"/>
  <c r="F149" i="10"/>
  <c r="F148" i="10"/>
  <c r="G148" i="10"/>
  <c r="D147" i="10"/>
  <c r="F147" i="10" s="1"/>
  <c r="D146" i="10"/>
  <c r="J145" i="10"/>
  <c r="G145" i="10"/>
  <c r="F145" i="10"/>
  <c r="F144" i="10"/>
  <c r="D144" i="10"/>
  <c r="G144" i="10" s="1"/>
  <c r="D143" i="10"/>
  <c r="F142" i="10"/>
  <c r="D142" i="10"/>
  <c r="G142" i="10" s="1"/>
  <c r="I141" i="10"/>
  <c r="G140" i="10"/>
  <c r="F140" i="10"/>
  <c r="I139" i="10"/>
  <c r="G139" i="10"/>
  <c r="F139" i="10"/>
  <c r="G138" i="10"/>
  <c r="F138" i="10"/>
  <c r="E135" i="10"/>
  <c r="F135" i="10" s="1"/>
  <c r="I134" i="10"/>
  <c r="I135" i="10" s="1"/>
  <c r="D131" i="10"/>
  <c r="D130" i="10"/>
  <c r="F129" i="10"/>
  <c r="D129" i="10"/>
  <c r="F128" i="10"/>
  <c r="D128" i="10"/>
  <c r="E115" i="10"/>
  <c r="C115" i="10"/>
  <c r="F112" i="10"/>
  <c r="D115" i="10"/>
  <c r="G111" i="10"/>
  <c r="F111" i="10"/>
  <c r="C108" i="10"/>
  <c r="E108" i="10"/>
  <c r="G105" i="10"/>
  <c r="F104" i="10"/>
  <c r="D104" i="10"/>
  <c r="D108" i="10" s="1"/>
  <c r="C101" i="10"/>
  <c r="F98" i="10"/>
  <c r="E101" i="10"/>
  <c r="G98" i="10"/>
  <c r="F97" i="10"/>
  <c r="D97" i="10"/>
  <c r="D101" i="10" s="1"/>
  <c r="E94" i="10"/>
  <c r="C94" i="10"/>
  <c r="F91" i="10"/>
  <c r="G91" i="10"/>
  <c r="F90" i="10"/>
  <c r="F94" i="10" s="1"/>
  <c r="D90" i="10"/>
  <c r="D94" i="10" s="1"/>
  <c r="E87" i="10"/>
  <c r="C87" i="10"/>
  <c r="F84" i="10"/>
  <c r="G84" i="10"/>
  <c r="F83" i="10"/>
  <c r="F87" i="10" s="1"/>
  <c r="D83" i="10"/>
  <c r="D87" i="10" s="1"/>
  <c r="E80" i="10"/>
  <c r="C80" i="10"/>
  <c r="F77" i="10"/>
  <c r="G77" i="10"/>
  <c r="F76" i="10"/>
  <c r="F80" i="10" s="1"/>
  <c r="D76" i="10"/>
  <c r="D80" i="10" s="1"/>
  <c r="E73" i="10"/>
  <c r="C73" i="10"/>
  <c r="G71" i="10"/>
  <c r="F71" i="10"/>
  <c r="F70" i="10"/>
  <c r="E118" i="10"/>
  <c r="G70" i="10"/>
  <c r="M69" i="10"/>
  <c r="F69" i="10"/>
  <c r="D69" i="10"/>
  <c r="D73" i="10" s="1"/>
  <c r="E57" i="10"/>
  <c r="C57" i="10"/>
  <c r="G55" i="10"/>
  <c r="F55" i="10"/>
  <c r="F54" i="10"/>
  <c r="G54" i="10"/>
  <c r="F53" i="10"/>
  <c r="D53" i="10"/>
  <c r="D57" i="10" s="1"/>
  <c r="C50" i="10"/>
  <c r="G48" i="10"/>
  <c r="F48" i="10"/>
  <c r="E50" i="10"/>
  <c r="G47" i="10"/>
  <c r="F46" i="10"/>
  <c r="D46" i="10"/>
  <c r="D202" i="10" s="1"/>
  <c r="C43" i="10"/>
  <c r="M41" i="10"/>
  <c r="F40" i="10"/>
  <c r="E43" i="10"/>
  <c r="G40" i="10"/>
  <c r="L39" i="10"/>
  <c r="F39" i="10"/>
  <c r="F43" i="10" s="1"/>
  <c r="D39" i="10"/>
  <c r="D43" i="10" s="1"/>
  <c r="C36" i="10"/>
  <c r="E36" i="10"/>
  <c r="G33" i="10"/>
  <c r="F32" i="10"/>
  <c r="D32" i="10"/>
  <c r="D36" i="10" s="1"/>
  <c r="C29" i="10"/>
  <c r="G27" i="10"/>
  <c r="F27" i="10"/>
  <c r="F26" i="10"/>
  <c r="E29" i="10"/>
  <c r="G26" i="10"/>
  <c r="M25" i="10"/>
  <c r="F25" i="10"/>
  <c r="F29" i="10" s="1"/>
  <c r="D25" i="10"/>
  <c r="D29" i="10" s="1"/>
  <c r="C22" i="10"/>
  <c r="J21" i="10"/>
  <c r="J22" i="10" s="1"/>
  <c r="J23" i="10" s="1"/>
  <c r="J25" i="10" s="1"/>
  <c r="G20" i="10"/>
  <c r="F20" i="10"/>
  <c r="E22" i="10"/>
  <c r="L18" i="10"/>
  <c r="L19" i="10" s="1"/>
  <c r="F18" i="10"/>
  <c r="D18" i="10"/>
  <c r="G18" i="10" s="1"/>
  <c r="S15" i="10"/>
  <c r="S16" i="10" s="1"/>
  <c r="R15" i="10"/>
  <c r="R16" i="10" s="1"/>
  <c r="M15" i="10"/>
  <c r="C15" i="10"/>
  <c r="I14" i="10"/>
  <c r="G13" i="10"/>
  <c r="F13" i="10"/>
  <c r="E59" i="10"/>
  <c r="G12" i="10"/>
  <c r="F11" i="10"/>
  <c r="D11" i="10"/>
  <c r="D15" i="10" s="1"/>
  <c r="M7" i="10"/>
  <c r="E227" i="7"/>
  <c r="E215" i="7"/>
  <c r="D211" i="7"/>
  <c r="D212" i="7" s="1"/>
  <c r="D213" i="7" s="1"/>
  <c r="E209" i="7"/>
  <c r="I205" i="7"/>
  <c r="L202" i="7"/>
  <c r="L201" i="7"/>
  <c r="L204" i="7" s="1"/>
  <c r="C189" i="7"/>
  <c r="D188" i="7"/>
  <c r="F187" i="7"/>
  <c r="D187" i="7"/>
  <c r="G187" i="7" s="1"/>
  <c r="G186" i="7"/>
  <c r="F186" i="7"/>
  <c r="E185" i="7"/>
  <c r="D185" i="7"/>
  <c r="G184" i="7"/>
  <c r="F184" i="7"/>
  <c r="E183" i="7"/>
  <c r="D183" i="7"/>
  <c r="F182" i="7"/>
  <c r="D182" i="7"/>
  <c r="G182" i="7" s="1"/>
  <c r="G181" i="7"/>
  <c r="F181" i="7"/>
  <c r="E179" i="7"/>
  <c r="G179" i="7" s="1"/>
  <c r="F178" i="7"/>
  <c r="D178" i="7"/>
  <c r="G178" i="7" s="1"/>
  <c r="G177" i="7"/>
  <c r="F177" i="7"/>
  <c r="I176" i="7"/>
  <c r="E176" i="7"/>
  <c r="G176" i="7" s="1"/>
  <c r="G175" i="7"/>
  <c r="F175" i="7"/>
  <c r="E174" i="7"/>
  <c r="D174" i="7"/>
  <c r="D189" i="7" s="1"/>
  <c r="E173" i="7"/>
  <c r="E193" i="7" s="1"/>
  <c r="C158" i="7"/>
  <c r="G157" i="7"/>
  <c r="F156" i="7"/>
  <c r="D156" i="7"/>
  <c r="G156" i="7" s="1"/>
  <c r="F155" i="7"/>
  <c r="G154" i="7"/>
  <c r="F154" i="7"/>
  <c r="F153" i="7"/>
  <c r="D153" i="7"/>
  <c r="G153" i="7" s="1"/>
  <c r="F152" i="7"/>
  <c r="D152" i="7"/>
  <c r="G152" i="7" s="1"/>
  <c r="E151" i="7"/>
  <c r="G151" i="7" s="1"/>
  <c r="F150" i="7"/>
  <c r="D150" i="7"/>
  <c r="G150" i="7" s="1"/>
  <c r="F149" i="7"/>
  <c r="E148" i="7"/>
  <c r="G148" i="7" s="1"/>
  <c r="D147" i="7"/>
  <c r="F147" i="7" s="1"/>
  <c r="E146" i="7"/>
  <c r="D146" i="7"/>
  <c r="J145" i="7"/>
  <c r="G145" i="7"/>
  <c r="F145" i="7"/>
  <c r="E144" i="7"/>
  <c r="D144" i="7"/>
  <c r="D143" i="7"/>
  <c r="F142" i="7"/>
  <c r="D142" i="7"/>
  <c r="G142" i="7" s="1"/>
  <c r="I141" i="7"/>
  <c r="G140" i="7"/>
  <c r="F140" i="7"/>
  <c r="I139" i="7"/>
  <c r="G139" i="7"/>
  <c r="F139" i="7"/>
  <c r="G138" i="7"/>
  <c r="F138" i="7"/>
  <c r="E135" i="7"/>
  <c r="I134" i="7"/>
  <c r="I135" i="7" s="1"/>
  <c r="D131" i="7"/>
  <c r="E130" i="7"/>
  <c r="D130" i="7"/>
  <c r="E129" i="7"/>
  <c r="E158" i="7" s="1"/>
  <c r="D129" i="7"/>
  <c r="F128" i="7"/>
  <c r="D128" i="7"/>
  <c r="E115" i="7"/>
  <c r="C115" i="7"/>
  <c r="F112" i="7"/>
  <c r="D112" i="7"/>
  <c r="D115" i="7" s="1"/>
  <c r="G111" i="7"/>
  <c r="F111" i="7"/>
  <c r="C108" i="7"/>
  <c r="E105" i="7"/>
  <c r="D105" i="7"/>
  <c r="F104" i="7"/>
  <c r="D104" i="7"/>
  <c r="D108" i="7" s="1"/>
  <c r="C101" i="7"/>
  <c r="E98" i="7"/>
  <c r="E101" i="7" s="1"/>
  <c r="D98" i="7"/>
  <c r="F97" i="7"/>
  <c r="D97" i="7"/>
  <c r="D101" i="7" s="1"/>
  <c r="C94" i="7"/>
  <c r="E91" i="7"/>
  <c r="E94" i="7" s="1"/>
  <c r="D91" i="7"/>
  <c r="F90" i="7"/>
  <c r="D90" i="7"/>
  <c r="D94" i="7" s="1"/>
  <c r="E87" i="7"/>
  <c r="C87" i="7"/>
  <c r="F84" i="7"/>
  <c r="E84" i="7"/>
  <c r="D84" i="7"/>
  <c r="G84" i="7" s="1"/>
  <c r="F83" i="7"/>
  <c r="D83" i="7"/>
  <c r="D87" i="7" s="1"/>
  <c r="C80" i="7"/>
  <c r="E77" i="7"/>
  <c r="E80" i="7" s="1"/>
  <c r="D77" i="7"/>
  <c r="F76" i="7"/>
  <c r="D76" i="7"/>
  <c r="D80" i="7" s="1"/>
  <c r="E73" i="7"/>
  <c r="C73" i="7"/>
  <c r="G71" i="7"/>
  <c r="F71" i="7"/>
  <c r="F70" i="7"/>
  <c r="E70" i="7"/>
  <c r="D70" i="7"/>
  <c r="G70" i="7" s="1"/>
  <c r="M69" i="7"/>
  <c r="F69" i="7"/>
  <c r="F73" i="7" s="1"/>
  <c r="D69" i="7"/>
  <c r="E57" i="7"/>
  <c r="C57" i="7"/>
  <c r="G55" i="7"/>
  <c r="F55" i="7"/>
  <c r="F54" i="7"/>
  <c r="D54" i="7"/>
  <c r="G54" i="7" s="1"/>
  <c r="F53" i="7"/>
  <c r="F57" i="7" s="1"/>
  <c r="D53" i="7"/>
  <c r="D57" i="7" s="1"/>
  <c r="C50" i="7"/>
  <c r="G48" i="7"/>
  <c r="F48" i="7"/>
  <c r="E47" i="7"/>
  <c r="E50" i="7" s="1"/>
  <c r="D47" i="7"/>
  <c r="G47" i="7" s="1"/>
  <c r="F46" i="7"/>
  <c r="D46" i="7"/>
  <c r="D202" i="7" s="1"/>
  <c r="C43" i="7"/>
  <c r="M41" i="7"/>
  <c r="E40" i="7"/>
  <c r="E43" i="7" s="1"/>
  <c r="D40" i="7"/>
  <c r="L39" i="7"/>
  <c r="F39" i="7"/>
  <c r="D39" i="7"/>
  <c r="D43" i="7" s="1"/>
  <c r="C36" i="7"/>
  <c r="E33" i="7"/>
  <c r="E36" i="7" s="1"/>
  <c r="D33" i="7"/>
  <c r="F32" i="7"/>
  <c r="D32" i="7"/>
  <c r="D36" i="7" s="1"/>
  <c r="C29" i="7"/>
  <c r="G27" i="7"/>
  <c r="F27" i="7"/>
  <c r="E26" i="7"/>
  <c r="E29" i="7" s="1"/>
  <c r="D26" i="7"/>
  <c r="M25" i="7"/>
  <c r="F25" i="7"/>
  <c r="D25" i="7"/>
  <c r="D29" i="7" s="1"/>
  <c r="C22" i="7"/>
  <c r="J21" i="7"/>
  <c r="J22" i="7" s="1"/>
  <c r="J23" i="7" s="1"/>
  <c r="J25" i="7" s="1"/>
  <c r="G20" i="7"/>
  <c r="F20" i="7"/>
  <c r="E19" i="7"/>
  <c r="E22" i="7" s="1"/>
  <c r="D19" i="7"/>
  <c r="G19" i="7" s="1"/>
  <c r="L18" i="7"/>
  <c r="L19" i="7" s="1"/>
  <c r="F18" i="7"/>
  <c r="D18" i="7"/>
  <c r="G18" i="7" s="1"/>
  <c r="S15" i="7"/>
  <c r="S16" i="7" s="1"/>
  <c r="R15" i="7"/>
  <c r="R16" i="7" s="1"/>
  <c r="M15" i="7"/>
  <c r="C15" i="7"/>
  <c r="I14" i="7"/>
  <c r="G13" i="7"/>
  <c r="F13" i="7"/>
  <c r="E12" i="7"/>
  <c r="D12" i="7"/>
  <c r="F11" i="7"/>
  <c r="D11" i="7"/>
  <c r="D15" i="7" s="1"/>
  <c r="M7" i="7"/>
  <c r="E12" i="6"/>
  <c r="M69" i="6"/>
  <c r="E19" i="6"/>
  <c r="E26" i="6"/>
  <c r="E176" i="6"/>
  <c r="G176" i="6" s="1"/>
  <c r="E179" i="6"/>
  <c r="E183" i="6"/>
  <c r="E174" i="6"/>
  <c r="E173" i="6"/>
  <c r="E213" i="6" s="1"/>
  <c r="E151" i="6"/>
  <c r="E148" i="6"/>
  <c r="G148" i="6" s="1"/>
  <c r="E146" i="6"/>
  <c r="E144" i="6"/>
  <c r="E135" i="6"/>
  <c r="E130" i="6"/>
  <c r="E129" i="6"/>
  <c r="F129" i="6" s="1"/>
  <c r="E77" i="6"/>
  <c r="E105" i="6"/>
  <c r="E98" i="6"/>
  <c r="E91" i="6"/>
  <c r="E84" i="6"/>
  <c r="E70" i="6"/>
  <c r="E47" i="6"/>
  <c r="F47" i="6" s="1"/>
  <c r="E40" i="6"/>
  <c r="E33" i="6"/>
  <c r="E227" i="6"/>
  <c r="E215" i="6"/>
  <c r="D211" i="6"/>
  <c r="D212" i="6" s="1"/>
  <c r="D213" i="6" s="1"/>
  <c r="E209" i="6"/>
  <c r="I205" i="6"/>
  <c r="L202" i="6"/>
  <c r="L201" i="6"/>
  <c r="L204" i="6" s="1"/>
  <c r="C189" i="6"/>
  <c r="D188" i="6"/>
  <c r="F187" i="6"/>
  <c r="D187" i="6"/>
  <c r="G187" i="6" s="1"/>
  <c r="G186" i="6"/>
  <c r="F186" i="6"/>
  <c r="E185" i="6"/>
  <c r="D185" i="6"/>
  <c r="G184" i="6"/>
  <c r="F184" i="6"/>
  <c r="D183" i="6"/>
  <c r="F182" i="6"/>
  <c r="D182" i="6"/>
  <c r="G182" i="6" s="1"/>
  <c r="G181" i="6"/>
  <c r="F181" i="6"/>
  <c r="G179" i="6"/>
  <c r="F179" i="6"/>
  <c r="F178" i="6"/>
  <c r="D178" i="6"/>
  <c r="G178" i="6" s="1"/>
  <c r="G177" i="6"/>
  <c r="F177" i="6"/>
  <c r="I176" i="6"/>
  <c r="F176" i="6"/>
  <c r="G175" i="6"/>
  <c r="F175" i="6"/>
  <c r="I174" i="6"/>
  <c r="F174" i="6"/>
  <c r="D174" i="6"/>
  <c r="G173" i="6"/>
  <c r="E158" i="6"/>
  <c r="C158" i="6"/>
  <c r="G157" i="6"/>
  <c r="F156" i="6"/>
  <c r="D156" i="6"/>
  <c r="G156" i="6" s="1"/>
  <c r="F155" i="6"/>
  <c r="G154" i="6"/>
  <c r="F154" i="6"/>
  <c r="F153" i="6"/>
  <c r="D153" i="6"/>
  <c r="G153" i="6" s="1"/>
  <c r="F152" i="6"/>
  <c r="D152" i="6"/>
  <c r="G152" i="6" s="1"/>
  <c r="G151" i="6"/>
  <c r="F151" i="6"/>
  <c r="F150" i="6"/>
  <c r="D150" i="6"/>
  <c r="G150" i="6" s="1"/>
  <c r="F149" i="6"/>
  <c r="F148" i="6"/>
  <c r="D147" i="6"/>
  <c r="F147" i="6" s="1"/>
  <c r="D146" i="6"/>
  <c r="J145" i="6"/>
  <c r="G145" i="6"/>
  <c r="F145" i="6"/>
  <c r="F144" i="6"/>
  <c r="D144" i="6"/>
  <c r="D143" i="6"/>
  <c r="F142" i="6"/>
  <c r="D142" i="6"/>
  <c r="G142" i="6" s="1"/>
  <c r="I141" i="6"/>
  <c r="G140" i="6"/>
  <c r="F140" i="6"/>
  <c r="I139" i="6"/>
  <c r="G139" i="6"/>
  <c r="F139" i="6"/>
  <c r="G138" i="6"/>
  <c r="F138" i="6"/>
  <c r="I135" i="6"/>
  <c r="I134" i="6"/>
  <c r="D131" i="6"/>
  <c r="D130" i="6"/>
  <c r="D129" i="6"/>
  <c r="F128" i="6"/>
  <c r="D128" i="6"/>
  <c r="D158" i="6" s="1"/>
  <c r="E115" i="6"/>
  <c r="C115" i="6"/>
  <c r="F112" i="6"/>
  <c r="D112" i="6"/>
  <c r="D115" i="6" s="1"/>
  <c r="G111" i="6"/>
  <c r="F111" i="6"/>
  <c r="C108" i="6"/>
  <c r="F105" i="6"/>
  <c r="D105" i="6"/>
  <c r="G105" i="6" s="1"/>
  <c r="F104" i="6"/>
  <c r="F108" i="6" s="1"/>
  <c r="E108" i="6"/>
  <c r="D104" i="6"/>
  <c r="G104" i="6" s="1"/>
  <c r="C101" i="6"/>
  <c r="F98" i="6"/>
  <c r="D98" i="6"/>
  <c r="G98" i="6" s="1"/>
  <c r="F97" i="6"/>
  <c r="F101" i="6" s="1"/>
  <c r="E101" i="6"/>
  <c r="D97" i="6"/>
  <c r="G97" i="6" s="1"/>
  <c r="C94" i="6"/>
  <c r="F91" i="6"/>
  <c r="D91" i="6"/>
  <c r="G91" i="6" s="1"/>
  <c r="F90" i="6"/>
  <c r="F94" i="6" s="1"/>
  <c r="E94" i="6"/>
  <c r="D90" i="6"/>
  <c r="G90" i="6" s="1"/>
  <c r="C87" i="6"/>
  <c r="F84" i="6"/>
  <c r="D84" i="6"/>
  <c r="G84" i="6" s="1"/>
  <c r="F83" i="6"/>
  <c r="F87" i="6" s="1"/>
  <c r="E87" i="6"/>
  <c r="D83" i="6"/>
  <c r="G83" i="6" s="1"/>
  <c r="C80" i="6"/>
  <c r="F77" i="6"/>
  <c r="D77" i="6"/>
  <c r="G77" i="6" s="1"/>
  <c r="F76" i="6"/>
  <c r="F80" i="6" s="1"/>
  <c r="E80" i="6"/>
  <c r="D76" i="6"/>
  <c r="G76" i="6" s="1"/>
  <c r="C73" i="6"/>
  <c r="G71" i="6"/>
  <c r="F71" i="6"/>
  <c r="F70" i="6"/>
  <c r="D70" i="6"/>
  <c r="G70" i="6" s="1"/>
  <c r="F69" i="6"/>
  <c r="F73" i="6" s="1"/>
  <c r="E73" i="6"/>
  <c r="D69" i="6"/>
  <c r="G69" i="6" s="1"/>
  <c r="G73" i="6" s="1"/>
  <c r="E57" i="6"/>
  <c r="C57" i="6"/>
  <c r="G55" i="6"/>
  <c r="F55" i="6"/>
  <c r="F54" i="6"/>
  <c r="D54" i="6"/>
  <c r="G54" i="6" s="1"/>
  <c r="F53" i="6"/>
  <c r="D53" i="6"/>
  <c r="D57" i="6" s="1"/>
  <c r="C50" i="6"/>
  <c r="G48" i="6"/>
  <c r="F48" i="6"/>
  <c r="D47" i="6"/>
  <c r="G47" i="6" s="1"/>
  <c r="F46" i="6"/>
  <c r="E50" i="6"/>
  <c r="D46" i="6"/>
  <c r="D202" i="6" s="1"/>
  <c r="C43" i="6"/>
  <c r="M41" i="6"/>
  <c r="F40" i="6"/>
  <c r="D40" i="6"/>
  <c r="G40" i="6" s="1"/>
  <c r="L39" i="6"/>
  <c r="F39" i="6"/>
  <c r="E43" i="6"/>
  <c r="D39" i="6"/>
  <c r="G39" i="6" s="1"/>
  <c r="G43" i="6" s="1"/>
  <c r="D36" i="6"/>
  <c r="C36" i="6"/>
  <c r="E59" i="6"/>
  <c r="D33" i="6"/>
  <c r="E36" i="6"/>
  <c r="D32" i="6"/>
  <c r="C29" i="6"/>
  <c r="G27" i="6"/>
  <c r="F27" i="6"/>
  <c r="F26" i="6"/>
  <c r="D26" i="6"/>
  <c r="G26" i="6" s="1"/>
  <c r="M25" i="6"/>
  <c r="F25" i="6"/>
  <c r="F29" i="6" s="1"/>
  <c r="D25" i="6"/>
  <c r="E22" i="6"/>
  <c r="C22" i="6"/>
  <c r="J21" i="6"/>
  <c r="J22" i="6" s="1"/>
  <c r="J23" i="6" s="1"/>
  <c r="J25" i="6" s="1"/>
  <c r="G20" i="6"/>
  <c r="F20" i="6"/>
  <c r="F19" i="6"/>
  <c r="D19" i="6"/>
  <c r="G19" i="6" s="1"/>
  <c r="L18" i="6"/>
  <c r="L19" i="6" s="1"/>
  <c r="F18" i="6"/>
  <c r="F22" i="6" s="1"/>
  <c r="D18" i="6"/>
  <c r="S15" i="6"/>
  <c r="S16" i="6" s="1"/>
  <c r="R15" i="6"/>
  <c r="R16" i="6" s="1"/>
  <c r="M15" i="6"/>
  <c r="C15" i="6"/>
  <c r="I14" i="6"/>
  <c r="G13" i="6"/>
  <c r="F13" i="6"/>
  <c r="F12" i="6"/>
  <c r="D12" i="6"/>
  <c r="G12" i="6" s="1"/>
  <c r="E15" i="6"/>
  <c r="D11" i="6"/>
  <c r="D15" i="6" s="1"/>
  <c r="M7" i="6"/>
  <c r="D190" i="17" l="1"/>
  <c r="D203" i="17" s="1"/>
  <c r="D209" i="17" s="1"/>
  <c r="S17" i="6"/>
  <c r="D22" i="6"/>
  <c r="D29" i="6"/>
  <c r="F43" i="6"/>
  <c r="F57" i="6"/>
  <c r="F158" i="6"/>
  <c r="F173" i="6"/>
  <c r="D189" i="6"/>
  <c r="E193" i="6"/>
  <c r="C190" i="6"/>
  <c r="E59" i="7"/>
  <c r="G26" i="7"/>
  <c r="F26" i="7"/>
  <c r="F29" i="7" s="1"/>
  <c r="G33" i="7"/>
  <c r="G40" i="7"/>
  <c r="F40" i="7"/>
  <c r="F43" i="7" s="1"/>
  <c r="D73" i="7"/>
  <c r="E118" i="7"/>
  <c r="G77" i="7"/>
  <c r="F77" i="7"/>
  <c r="F80" i="7" s="1"/>
  <c r="F87" i="7"/>
  <c r="G91" i="7"/>
  <c r="F91" i="7"/>
  <c r="F94" i="7" s="1"/>
  <c r="G98" i="7"/>
  <c r="G105" i="7"/>
  <c r="F115" i="7"/>
  <c r="D158" i="7"/>
  <c r="F129" i="7"/>
  <c r="G144" i="7"/>
  <c r="F151" i="7"/>
  <c r="G174" i="7"/>
  <c r="F179" i="7"/>
  <c r="G185" i="7"/>
  <c r="C190" i="7"/>
  <c r="F57" i="10"/>
  <c r="F73" i="10"/>
  <c r="F101" i="10"/>
  <c r="F115" i="10"/>
  <c r="D158" i="10"/>
  <c r="G190" i="17"/>
  <c r="F158" i="10"/>
  <c r="C190" i="10"/>
  <c r="S17" i="10"/>
  <c r="G22" i="10"/>
  <c r="G11" i="10"/>
  <c r="G15" i="10" s="1"/>
  <c r="E15" i="10"/>
  <c r="D22" i="10"/>
  <c r="G25" i="10"/>
  <c r="G29" i="10" s="1"/>
  <c r="G32" i="10"/>
  <c r="G36" i="10" s="1"/>
  <c r="G39" i="10"/>
  <c r="G43" i="10" s="1"/>
  <c r="G46" i="10"/>
  <c r="G50" i="10" s="1"/>
  <c r="D50" i="10"/>
  <c r="G53" i="10"/>
  <c r="G57" i="10" s="1"/>
  <c r="G69" i="10"/>
  <c r="G73" i="10" s="1"/>
  <c r="F105" i="10"/>
  <c r="F108" i="10" s="1"/>
  <c r="G128" i="10"/>
  <c r="G151" i="10"/>
  <c r="E158" i="10"/>
  <c r="F173" i="10"/>
  <c r="F176" i="10"/>
  <c r="F185" i="10"/>
  <c r="E189" i="10"/>
  <c r="D193" i="10"/>
  <c r="E213" i="10"/>
  <c r="F12" i="10"/>
  <c r="F15" i="10" s="1"/>
  <c r="F19" i="10"/>
  <c r="F22" i="10" s="1"/>
  <c r="F33" i="10"/>
  <c r="F36" i="10" s="1"/>
  <c r="F47" i="10"/>
  <c r="F50" i="10" s="1"/>
  <c r="G76" i="10"/>
  <c r="G80" i="10" s="1"/>
  <c r="G83" i="10"/>
  <c r="G87" i="10" s="1"/>
  <c r="G90" i="10"/>
  <c r="G94" i="10" s="1"/>
  <c r="G97" i="10"/>
  <c r="G101" i="10" s="1"/>
  <c r="G104" i="10"/>
  <c r="G108" i="10" s="1"/>
  <c r="G112" i="10"/>
  <c r="G115" i="10" s="1"/>
  <c r="G173" i="10"/>
  <c r="G174" i="10"/>
  <c r="S17" i="7"/>
  <c r="G22" i="7"/>
  <c r="G11" i="7"/>
  <c r="G12" i="7"/>
  <c r="E15" i="7"/>
  <c r="D22" i="7"/>
  <c r="G25" i="7"/>
  <c r="G29" i="7" s="1"/>
  <c r="G32" i="7"/>
  <c r="G39" i="7"/>
  <c r="G43" i="7" s="1"/>
  <c r="G46" i="7"/>
  <c r="G50" i="7" s="1"/>
  <c r="D50" i="7"/>
  <c r="D190" i="7" s="1"/>
  <c r="D203" i="7" s="1"/>
  <c r="D209" i="7" s="1"/>
  <c r="G53" i="7"/>
  <c r="G57" i="7" s="1"/>
  <c r="G69" i="7"/>
  <c r="G73" i="7" s="1"/>
  <c r="F98" i="7"/>
  <c r="F101" i="7" s="1"/>
  <c r="F105" i="7"/>
  <c r="F108" i="7" s="1"/>
  <c r="E108" i="7"/>
  <c r="G128" i="7"/>
  <c r="G158" i="7" s="1"/>
  <c r="F144" i="7"/>
  <c r="F148" i="7"/>
  <c r="F173" i="7"/>
  <c r="F174" i="7"/>
  <c r="I174" i="7"/>
  <c r="F176" i="7"/>
  <c r="F185" i="7"/>
  <c r="E189" i="7"/>
  <c r="D193" i="7"/>
  <c r="E213" i="7"/>
  <c r="F12" i="7"/>
  <c r="F15" i="7" s="1"/>
  <c r="F19" i="7"/>
  <c r="F22" i="7" s="1"/>
  <c r="F33" i="7"/>
  <c r="F36" i="7" s="1"/>
  <c r="F47" i="7"/>
  <c r="F50" i="7" s="1"/>
  <c r="G76" i="7"/>
  <c r="G83" i="7"/>
  <c r="G87" i="7" s="1"/>
  <c r="G90" i="7"/>
  <c r="G94" i="7" s="1"/>
  <c r="G97" i="7"/>
  <c r="G101" i="7" s="1"/>
  <c r="G104" i="7"/>
  <c r="G112" i="7"/>
  <c r="G115" i="7" s="1"/>
  <c r="G173" i="7"/>
  <c r="G144" i="6"/>
  <c r="E118" i="6"/>
  <c r="F115" i="6"/>
  <c r="F50" i="6"/>
  <c r="G80" i="6"/>
  <c r="G87" i="6"/>
  <c r="G94" i="6"/>
  <c r="G101" i="6"/>
  <c r="G108" i="6"/>
  <c r="G11" i="6"/>
  <c r="G15" i="6" s="1"/>
  <c r="G25" i="6"/>
  <c r="G29" i="6" s="1"/>
  <c r="E29" i="6"/>
  <c r="G32" i="6"/>
  <c r="G33" i="6"/>
  <c r="D43" i="6"/>
  <c r="D50" i="6"/>
  <c r="D73" i="6"/>
  <c r="D80" i="6"/>
  <c r="D87" i="6"/>
  <c r="D94" i="6"/>
  <c r="D101" i="6"/>
  <c r="D108" i="6"/>
  <c r="G112" i="6"/>
  <c r="G115" i="6" s="1"/>
  <c r="G185" i="6"/>
  <c r="F11" i="6"/>
  <c r="F15" i="6" s="1"/>
  <c r="G18" i="6"/>
  <c r="G22" i="6" s="1"/>
  <c r="F32" i="6"/>
  <c r="F33" i="6"/>
  <c r="G46" i="6"/>
  <c r="G50" i="6" s="1"/>
  <c r="G53" i="6"/>
  <c r="G57" i="6" s="1"/>
  <c r="G128" i="6"/>
  <c r="G158" i="6" s="1"/>
  <c r="G174" i="6"/>
  <c r="G189" i="6" s="1"/>
  <c r="F185" i="6"/>
  <c r="F189" i="6" s="1"/>
  <c r="E189" i="6"/>
  <c r="E190" i="6" s="1"/>
  <c r="D193" i="6"/>
  <c r="D112" i="5"/>
  <c r="D105" i="5"/>
  <c r="D98" i="5"/>
  <c r="D91" i="5"/>
  <c r="D84" i="5"/>
  <c r="D77" i="5"/>
  <c r="D70" i="5"/>
  <c r="D54" i="5"/>
  <c r="D47" i="5"/>
  <c r="D40" i="5"/>
  <c r="G40" i="5" s="1"/>
  <c r="D33" i="5"/>
  <c r="D26" i="5"/>
  <c r="D19" i="5"/>
  <c r="E118" i="5"/>
  <c r="D188" i="5"/>
  <c r="D187" i="5"/>
  <c r="D185" i="5"/>
  <c r="D183" i="5"/>
  <c r="D182" i="5"/>
  <c r="G182" i="5" s="1"/>
  <c r="D178" i="5"/>
  <c r="D174" i="5"/>
  <c r="D193" i="5" s="1"/>
  <c r="D156" i="5"/>
  <c r="D153" i="5"/>
  <c r="G153" i="5" s="1"/>
  <c r="F153" i="5"/>
  <c r="D152" i="5"/>
  <c r="D150" i="5"/>
  <c r="G150" i="5" s="1"/>
  <c r="D147" i="5"/>
  <c r="D146" i="5"/>
  <c r="D144" i="5"/>
  <c r="D143" i="5"/>
  <c r="D142" i="5"/>
  <c r="D131" i="5"/>
  <c r="D130" i="5"/>
  <c r="D129" i="5"/>
  <c r="D128" i="5"/>
  <c r="D12" i="5"/>
  <c r="D104" i="5"/>
  <c r="D97" i="5"/>
  <c r="D90" i="5"/>
  <c r="D83" i="5"/>
  <c r="D76" i="5"/>
  <c r="D69" i="5"/>
  <c r="D53" i="5"/>
  <c r="D46" i="5"/>
  <c r="D39" i="5"/>
  <c r="D32" i="5"/>
  <c r="D25" i="5"/>
  <c r="D18" i="5"/>
  <c r="D11" i="5"/>
  <c r="E227" i="5"/>
  <c r="E215" i="5"/>
  <c r="D211" i="5"/>
  <c r="D212" i="5" s="1"/>
  <c r="D213" i="5" s="1"/>
  <c r="E209" i="5"/>
  <c r="I205" i="5"/>
  <c r="L202" i="5"/>
  <c r="L201" i="5"/>
  <c r="C189" i="5"/>
  <c r="G187" i="5"/>
  <c r="F187" i="5"/>
  <c r="G186" i="5"/>
  <c r="F186" i="5"/>
  <c r="E185" i="5"/>
  <c r="E193" i="5" s="1"/>
  <c r="G184" i="5"/>
  <c r="F184" i="5"/>
  <c r="F182" i="5"/>
  <c r="G181" i="5"/>
  <c r="F181" i="5"/>
  <c r="G179" i="5"/>
  <c r="G178" i="5"/>
  <c r="F178" i="5"/>
  <c r="G177" i="5"/>
  <c r="F177" i="5"/>
  <c r="I176" i="5"/>
  <c r="G176" i="5"/>
  <c r="G175" i="5"/>
  <c r="F175" i="5"/>
  <c r="G174" i="5"/>
  <c r="E189" i="5"/>
  <c r="C158" i="5"/>
  <c r="G157" i="5"/>
  <c r="G156" i="5"/>
  <c r="F156" i="5"/>
  <c r="F155" i="5"/>
  <c r="G154" i="5"/>
  <c r="F154" i="5"/>
  <c r="G152" i="5"/>
  <c r="F152" i="5"/>
  <c r="G151" i="5"/>
  <c r="F150" i="5"/>
  <c r="F149" i="5"/>
  <c r="G148" i="5"/>
  <c r="F148" i="5"/>
  <c r="J145" i="5"/>
  <c r="G145" i="5"/>
  <c r="F145" i="5"/>
  <c r="G144" i="5"/>
  <c r="G142" i="5"/>
  <c r="F142" i="5"/>
  <c r="I141" i="5"/>
  <c r="G140" i="5"/>
  <c r="F140" i="5"/>
  <c r="I139" i="5"/>
  <c r="G139" i="5"/>
  <c r="F139" i="5"/>
  <c r="G138" i="5"/>
  <c r="F138" i="5"/>
  <c r="I134" i="5"/>
  <c r="I135" i="5" s="1"/>
  <c r="E158" i="5"/>
  <c r="G128" i="5"/>
  <c r="F128" i="5"/>
  <c r="E115" i="5"/>
  <c r="D115" i="5"/>
  <c r="C115" i="5"/>
  <c r="G112" i="5"/>
  <c r="F112" i="5"/>
  <c r="G111" i="5"/>
  <c r="G115" i="5" s="1"/>
  <c r="F111" i="5"/>
  <c r="F115" i="5" s="1"/>
  <c r="C108" i="5"/>
  <c r="G105" i="5"/>
  <c r="E104" i="5"/>
  <c r="D108" i="5"/>
  <c r="C101" i="5"/>
  <c r="G98" i="5"/>
  <c r="E97" i="5"/>
  <c r="E101" i="5" s="1"/>
  <c r="D101" i="5"/>
  <c r="C94" i="5"/>
  <c r="G91" i="5"/>
  <c r="E90" i="5"/>
  <c r="E94" i="5" s="1"/>
  <c r="D94" i="5"/>
  <c r="C87" i="5"/>
  <c r="G84" i="5"/>
  <c r="E83" i="5"/>
  <c r="D87" i="5"/>
  <c r="C80" i="5"/>
  <c r="G77" i="5"/>
  <c r="E76" i="5"/>
  <c r="E80" i="5" s="1"/>
  <c r="D80" i="5"/>
  <c r="C73" i="5"/>
  <c r="G71" i="5"/>
  <c r="F71" i="5"/>
  <c r="F70" i="5"/>
  <c r="E69" i="5"/>
  <c r="E73" i="5" s="1"/>
  <c r="G69" i="5"/>
  <c r="C57" i="5"/>
  <c r="G55" i="5"/>
  <c r="F55" i="5"/>
  <c r="E54" i="5"/>
  <c r="G54" i="5" s="1"/>
  <c r="E53" i="5"/>
  <c r="G53" i="5"/>
  <c r="G57" i="5" s="1"/>
  <c r="C50" i="5"/>
  <c r="G48" i="5"/>
  <c r="F48" i="5"/>
  <c r="G47" i="5"/>
  <c r="E46" i="5"/>
  <c r="E50" i="5" s="1"/>
  <c r="D202" i="5"/>
  <c r="C43" i="5"/>
  <c r="M41" i="5"/>
  <c r="L39" i="5"/>
  <c r="E39" i="5"/>
  <c r="E43" i="5" s="1"/>
  <c r="C36" i="5"/>
  <c r="E33" i="5"/>
  <c r="F33" i="5" s="1"/>
  <c r="E32" i="5"/>
  <c r="E36" i="5" s="1"/>
  <c r="C29" i="5"/>
  <c r="G27" i="5"/>
  <c r="F27" i="5"/>
  <c r="F26" i="5"/>
  <c r="M25" i="5"/>
  <c r="E25" i="5"/>
  <c r="E29" i="5" s="1"/>
  <c r="C22" i="5"/>
  <c r="J21" i="5"/>
  <c r="J22" i="5" s="1"/>
  <c r="J23" i="5" s="1"/>
  <c r="J25" i="5" s="1"/>
  <c r="G20" i="5"/>
  <c r="F20" i="5"/>
  <c r="F19" i="5"/>
  <c r="L18" i="5"/>
  <c r="L19" i="5" s="1"/>
  <c r="E18" i="5"/>
  <c r="E22" i="5" s="1"/>
  <c r="D22" i="5"/>
  <c r="S15" i="5"/>
  <c r="S16" i="5" s="1"/>
  <c r="R15" i="5"/>
  <c r="R16" i="5" s="1"/>
  <c r="S17" i="5" s="1"/>
  <c r="M15" i="5"/>
  <c r="C15" i="5"/>
  <c r="I14" i="5"/>
  <c r="G13" i="5"/>
  <c r="F13" i="5"/>
  <c r="F12" i="5"/>
  <c r="E11" i="5"/>
  <c r="D15" i="5"/>
  <c r="M7" i="5"/>
  <c r="E224" i="4"/>
  <c r="E212" i="4"/>
  <c r="D208" i="4"/>
  <c r="D209" i="4" s="1"/>
  <c r="D210" i="4" s="1"/>
  <c r="E206" i="4"/>
  <c r="I202" i="4"/>
  <c r="L199" i="4"/>
  <c r="L198" i="4"/>
  <c r="L201" i="4" s="1"/>
  <c r="C190" i="4"/>
  <c r="G188" i="4"/>
  <c r="F188" i="4"/>
  <c r="G187" i="4"/>
  <c r="F187" i="4"/>
  <c r="F186" i="4"/>
  <c r="E186" i="4"/>
  <c r="G186" i="4" s="1"/>
  <c r="G185" i="4"/>
  <c r="F185" i="4"/>
  <c r="E184" i="4"/>
  <c r="G183" i="4"/>
  <c r="F183" i="4"/>
  <c r="G182" i="4"/>
  <c r="F182" i="4"/>
  <c r="E181" i="4"/>
  <c r="E180" i="4"/>
  <c r="G180" i="4" s="1"/>
  <c r="G179" i="4"/>
  <c r="F179" i="4"/>
  <c r="G178" i="4"/>
  <c r="F178" i="4"/>
  <c r="I177" i="4"/>
  <c r="E177" i="4"/>
  <c r="G177" i="4" s="1"/>
  <c r="G176" i="4"/>
  <c r="F176" i="4"/>
  <c r="E175" i="4"/>
  <c r="D175" i="4"/>
  <c r="D190" i="4" s="1"/>
  <c r="E174" i="4"/>
  <c r="E164" i="4"/>
  <c r="D159" i="4"/>
  <c r="C159" i="4"/>
  <c r="G158" i="4"/>
  <c r="G157" i="4"/>
  <c r="F157" i="4"/>
  <c r="F156" i="4"/>
  <c r="G155" i="4"/>
  <c r="F155" i="4"/>
  <c r="G154" i="4"/>
  <c r="F154" i="4"/>
  <c r="E153" i="4"/>
  <c r="G153" i="4" s="1"/>
  <c r="G152" i="4"/>
  <c r="F152" i="4"/>
  <c r="F151" i="4"/>
  <c r="G150" i="4"/>
  <c r="F150" i="4"/>
  <c r="J145" i="4"/>
  <c r="G145" i="4"/>
  <c r="F145" i="4"/>
  <c r="E144" i="4"/>
  <c r="G144" i="4" s="1"/>
  <c r="G142" i="4"/>
  <c r="F142" i="4"/>
  <c r="I141" i="4"/>
  <c r="G140" i="4"/>
  <c r="F140" i="4"/>
  <c r="I139" i="4"/>
  <c r="G139" i="4"/>
  <c r="F139" i="4"/>
  <c r="G138" i="4"/>
  <c r="F138" i="4"/>
  <c r="I135" i="4"/>
  <c r="I134" i="4"/>
  <c r="E130" i="4"/>
  <c r="E129" i="4"/>
  <c r="G128" i="4"/>
  <c r="G159" i="4" s="1"/>
  <c r="F128" i="4"/>
  <c r="E115" i="4"/>
  <c r="D115" i="4"/>
  <c r="C115" i="4"/>
  <c r="G112" i="4"/>
  <c r="F112" i="4"/>
  <c r="G111" i="4"/>
  <c r="G115" i="4" s="1"/>
  <c r="F111" i="4"/>
  <c r="F115" i="4" s="1"/>
  <c r="C108" i="4"/>
  <c r="F105" i="4"/>
  <c r="E105" i="4"/>
  <c r="G105" i="4" s="1"/>
  <c r="E104" i="4"/>
  <c r="E108" i="4" s="1"/>
  <c r="D104" i="4"/>
  <c r="D108" i="4" s="1"/>
  <c r="C101" i="4"/>
  <c r="E98" i="4"/>
  <c r="G98" i="4" s="1"/>
  <c r="E97" i="4"/>
  <c r="F97" i="4" s="1"/>
  <c r="D97" i="4"/>
  <c r="D101" i="4" s="1"/>
  <c r="C94" i="4"/>
  <c r="F91" i="4"/>
  <c r="E91" i="4"/>
  <c r="G91" i="4" s="1"/>
  <c r="E90" i="4"/>
  <c r="F90" i="4" s="1"/>
  <c r="F94" i="4" s="1"/>
  <c r="D90" i="4"/>
  <c r="D94" i="4" s="1"/>
  <c r="C87" i="4"/>
  <c r="E84" i="4"/>
  <c r="G84" i="4" s="1"/>
  <c r="E83" i="4"/>
  <c r="F83" i="4" s="1"/>
  <c r="D83" i="4"/>
  <c r="D87" i="4" s="1"/>
  <c r="C80" i="4"/>
  <c r="F77" i="4"/>
  <c r="E77" i="4"/>
  <c r="G77" i="4" s="1"/>
  <c r="E76" i="4"/>
  <c r="F76" i="4" s="1"/>
  <c r="F80" i="4" s="1"/>
  <c r="D76" i="4"/>
  <c r="D80" i="4" s="1"/>
  <c r="C73" i="4"/>
  <c r="G71" i="4"/>
  <c r="F71" i="4"/>
  <c r="E70" i="4"/>
  <c r="G70" i="4" s="1"/>
  <c r="E69" i="4"/>
  <c r="F69" i="4" s="1"/>
  <c r="D69" i="4"/>
  <c r="D73" i="4" s="1"/>
  <c r="C57" i="4"/>
  <c r="G55" i="4"/>
  <c r="F55" i="4"/>
  <c r="F54" i="4"/>
  <c r="E54" i="4"/>
  <c r="G54" i="4" s="1"/>
  <c r="E53" i="4"/>
  <c r="F53" i="4" s="1"/>
  <c r="F57" i="4" s="1"/>
  <c r="D53" i="4"/>
  <c r="D57" i="4" s="1"/>
  <c r="C50" i="4"/>
  <c r="G48" i="4"/>
  <c r="F48" i="4"/>
  <c r="E47" i="4"/>
  <c r="G47" i="4" s="1"/>
  <c r="E46" i="4"/>
  <c r="F46" i="4" s="1"/>
  <c r="D46" i="4"/>
  <c r="D199" i="4" s="1"/>
  <c r="C43" i="4"/>
  <c r="M41" i="4"/>
  <c r="E40" i="4"/>
  <c r="F40" i="4" s="1"/>
  <c r="L39" i="4"/>
  <c r="E39" i="4"/>
  <c r="F39" i="4" s="1"/>
  <c r="F43" i="4" s="1"/>
  <c r="D39" i="4"/>
  <c r="D43" i="4" s="1"/>
  <c r="C36" i="4"/>
  <c r="F33" i="4"/>
  <c r="E33" i="4"/>
  <c r="G33" i="4" s="1"/>
  <c r="E32" i="4"/>
  <c r="F32" i="4" s="1"/>
  <c r="F36" i="4" s="1"/>
  <c r="D32" i="4"/>
  <c r="D36" i="4" s="1"/>
  <c r="C29" i="4"/>
  <c r="G27" i="4"/>
  <c r="F27" i="4"/>
  <c r="E26" i="4"/>
  <c r="G26" i="4" s="1"/>
  <c r="M25" i="4"/>
  <c r="E25" i="4"/>
  <c r="F25" i="4" s="1"/>
  <c r="D25" i="4"/>
  <c r="D29" i="4" s="1"/>
  <c r="C22" i="4"/>
  <c r="J21" i="4"/>
  <c r="J22" i="4" s="1"/>
  <c r="J23" i="4" s="1"/>
  <c r="J25" i="4" s="1"/>
  <c r="G20" i="4"/>
  <c r="F20" i="4"/>
  <c r="E19" i="4"/>
  <c r="G19" i="4" s="1"/>
  <c r="L18" i="4"/>
  <c r="L19" i="4" s="1"/>
  <c r="F18" i="4"/>
  <c r="E18" i="4"/>
  <c r="D18" i="4"/>
  <c r="D22" i="4" s="1"/>
  <c r="S15" i="4"/>
  <c r="S16" i="4" s="1"/>
  <c r="R15" i="4"/>
  <c r="R16" i="4" s="1"/>
  <c r="S17" i="4" s="1"/>
  <c r="M15" i="4"/>
  <c r="C15" i="4"/>
  <c r="I14" i="4"/>
  <c r="G13" i="4"/>
  <c r="F13" i="4"/>
  <c r="E12" i="4"/>
  <c r="E119" i="4" s="1"/>
  <c r="E11" i="4"/>
  <c r="D11" i="4"/>
  <c r="D15" i="4" s="1"/>
  <c r="M7" i="4"/>
  <c r="E22" i="4" l="1"/>
  <c r="E15" i="4"/>
  <c r="F12" i="4"/>
  <c r="F19" i="4"/>
  <c r="F22" i="4" s="1"/>
  <c r="F26" i="4"/>
  <c r="F29" i="4" s="1"/>
  <c r="F50" i="4"/>
  <c r="F47" i="4"/>
  <c r="F73" i="4"/>
  <c r="F70" i="4"/>
  <c r="F87" i="4"/>
  <c r="F84" i="4"/>
  <c r="F101" i="4"/>
  <c r="F98" i="4"/>
  <c r="E159" i="4"/>
  <c r="F153" i="4"/>
  <c r="E190" i="4"/>
  <c r="G175" i="4"/>
  <c r="C191" i="4"/>
  <c r="G39" i="5"/>
  <c r="G43" i="5" s="1"/>
  <c r="F39" i="5"/>
  <c r="E57" i="5"/>
  <c r="D189" i="5"/>
  <c r="E59" i="5"/>
  <c r="D190" i="6"/>
  <c r="D203" i="6" s="1"/>
  <c r="D209" i="6" s="1"/>
  <c r="G189" i="7"/>
  <c r="G108" i="7"/>
  <c r="G80" i="7"/>
  <c r="F158" i="7"/>
  <c r="G36" i="7"/>
  <c r="E190" i="10"/>
  <c r="E210" i="10" s="1"/>
  <c r="D190" i="10"/>
  <c r="D203" i="10" s="1"/>
  <c r="D209" i="10" s="1"/>
  <c r="F189" i="10"/>
  <c r="F190" i="10" s="1"/>
  <c r="G189" i="10"/>
  <c r="G158" i="10"/>
  <c r="E190" i="7"/>
  <c r="G15" i="7"/>
  <c r="G190" i="7" s="1"/>
  <c r="F189" i="7"/>
  <c r="F36" i="6"/>
  <c r="F190" i="6" s="1"/>
  <c r="G36" i="6"/>
  <c r="G190" i="6" s="1"/>
  <c r="E210" i="6"/>
  <c r="G206" i="6"/>
  <c r="E211" i="6"/>
  <c r="G185" i="5"/>
  <c r="D158" i="5"/>
  <c r="G158" i="5"/>
  <c r="G25" i="5"/>
  <c r="F25" i="5"/>
  <c r="F29" i="5" s="1"/>
  <c r="G32" i="5"/>
  <c r="F32" i="5"/>
  <c r="F40" i="5"/>
  <c r="F43" i="5" s="1"/>
  <c r="F47" i="5"/>
  <c r="F77" i="5"/>
  <c r="F91" i="5"/>
  <c r="E108" i="5"/>
  <c r="F105" i="5"/>
  <c r="F185" i="5"/>
  <c r="L204" i="5"/>
  <c r="E15" i="5"/>
  <c r="F54" i="5"/>
  <c r="E87" i="5"/>
  <c r="F84" i="5"/>
  <c r="F98" i="5"/>
  <c r="F151" i="5"/>
  <c r="C190" i="5"/>
  <c r="F36" i="5"/>
  <c r="E190" i="5"/>
  <c r="G206" i="5" s="1"/>
  <c r="F11" i="5"/>
  <c r="F15" i="5" s="1"/>
  <c r="G12" i="5"/>
  <c r="G18" i="5"/>
  <c r="G19" i="5"/>
  <c r="G26" i="5"/>
  <c r="D29" i="5"/>
  <c r="G33" i="5"/>
  <c r="D36" i="5"/>
  <c r="D43" i="5"/>
  <c r="F46" i="5"/>
  <c r="F50" i="5" s="1"/>
  <c r="D50" i="5"/>
  <c r="F53" i="5"/>
  <c r="F57" i="5" s="1"/>
  <c r="D57" i="5"/>
  <c r="F69" i="5"/>
  <c r="F73" i="5" s="1"/>
  <c r="G70" i="5"/>
  <c r="G73" i="5" s="1"/>
  <c r="D73" i="5"/>
  <c r="F76" i="5"/>
  <c r="F83" i="5"/>
  <c r="F87" i="5" s="1"/>
  <c r="F90" i="5"/>
  <c r="F94" i="5" s="1"/>
  <c r="F97" i="5"/>
  <c r="F101" i="5" s="1"/>
  <c r="F104" i="5"/>
  <c r="F108" i="5" s="1"/>
  <c r="F144" i="5"/>
  <c r="F158" i="5" s="1"/>
  <c r="F173" i="5"/>
  <c r="F174" i="5"/>
  <c r="I174" i="5"/>
  <c r="F176" i="5"/>
  <c r="F179" i="5"/>
  <c r="E213" i="5"/>
  <c r="G11" i="5"/>
  <c r="F18" i="5"/>
  <c r="F22" i="5" s="1"/>
  <c r="G46" i="5"/>
  <c r="G50" i="5" s="1"/>
  <c r="G76" i="5"/>
  <c r="G80" i="5" s="1"/>
  <c r="G83" i="5"/>
  <c r="G87" i="5" s="1"/>
  <c r="G90" i="5"/>
  <c r="G94" i="5" s="1"/>
  <c r="G97" i="5"/>
  <c r="G101" i="5" s="1"/>
  <c r="G104" i="5"/>
  <c r="G108" i="5" s="1"/>
  <c r="G173" i="5"/>
  <c r="G189" i="5" s="1"/>
  <c r="G11" i="4"/>
  <c r="G25" i="4"/>
  <c r="G29" i="4" s="1"/>
  <c r="E29" i="4"/>
  <c r="G32" i="4"/>
  <c r="G36" i="4" s="1"/>
  <c r="E36" i="4"/>
  <c r="E191" i="4" s="1"/>
  <c r="G39" i="4"/>
  <c r="G40" i="4"/>
  <c r="E43" i="4"/>
  <c r="G46" i="4"/>
  <c r="G50" i="4" s="1"/>
  <c r="E50" i="4"/>
  <c r="G53" i="4"/>
  <c r="G57" i="4" s="1"/>
  <c r="E57" i="4"/>
  <c r="G69" i="4"/>
  <c r="G73" i="4" s="1"/>
  <c r="E73" i="4"/>
  <c r="G76" i="4"/>
  <c r="G80" i="4" s="1"/>
  <c r="E80" i="4"/>
  <c r="G83" i="4"/>
  <c r="G87" i="4" s="1"/>
  <c r="E87" i="4"/>
  <c r="G90" i="4"/>
  <c r="G94" i="4" s="1"/>
  <c r="E94" i="4"/>
  <c r="G97" i="4"/>
  <c r="G101" i="4" s="1"/>
  <c r="E101" i="4"/>
  <c r="G104" i="4"/>
  <c r="G108" i="4" s="1"/>
  <c r="F11" i="4"/>
  <c r="F15" i="4" s="1"/>
  <c r="G12" i="4"/>
  <c r="G18" i="4"/>
  <c r="G22" i="4" s="1"/>
  <c r="D50" i="4"/>
  <c r="D191" i="4" s="1"/>
  <c r="D200" i="4" s="1"/>
  <c r="D206" i="4" s="1"/>
  <c r="F104" i="4"/>
  <c r="F108" i="4" s="1"/>
  <c r="F144" i="4"/>
  <c r="F159" i="4" s="1"/>
  <c r="F174" i="4"/>
  <c r="F175" i="4"/>
  <c r="I175" i="4"/>
  <c r="F177" i="4"/>
  <c r="F180" i="4"/>
  <c r="E210" i="4"/>
  <c r="G174" i="4"/>
  <c r="G190" i="4" s="1"/>
  <c r="E118" i="4" l="1"/>
  <c r="G15" i="5"/>
  <c r="G36" i="5"/>
  <c r="G29" i="5"/>
  <c r="F190" i="7"/>
  <c r="G190" i="10"/>
  <c r="E211" i="10"/>
  <c r="G206" i="10"/>
  <c r="E210" i="7"/>
  <c r="G206" i="7"/>
  <c r="E211" i="7"/>
  <c r="F80" i="5"/>
  <c r="G22" i="5"/>
  <c r="D190" i="5"/>
  <c r="D203" i="5" s="1"/>
  <c r="D209" i="5" s="1"/>
  <c r="E211" i="5"/>
  <c r="E210" i="5"/>
  <c r="F189" i="5"/>
  <c r="E207" i="4"/>
  <c r="E194" i="4"/>
  <c r="G203" i="4"/>
  <c r="E208" i="4"/>
  <c r="G15" i="4"/>
  <c r="F190" i="4"/>
  <c r="F191" i="4" s="1"/>
  <c r="G43" i="4"/>
  <c r="G191" i="4" s="1"/>
  <c r="F190" i="5" l="1"/>
  <c r="G190" i="5"/>
  <c r="E224" i="3"/>
  <c r="E83" i="3"/>
  <c r="E76" i="3"/>
  <c r="E104" i="3"/>
  <c r="E97" i="3"/>
  <c r="E90" i="3"/>
  <c r="E84" i="3"/>
  <c r="E69" i="3"/>
  <c r="E53" i="3"/>
  <c r="E46" i="3"/>
  <c r="E39" i="3"/>
  <c r="E32" i="3"/>
  <c r="E25" i="3"/>
  <c r="E18" i="3"/>
  <c r="E11" i="3"/>
  <c r="E181" i="3"/>
  <c r="E186" i="3" l="1"/>
  <c r="E186" i="2"/>
  <c r="E177" i="3"/>
  <c r="G177" i="3" s="1"/>
  <c r="E180" i="3"/>
  <c r="G180" i="3" s="1"/>
  <c r="E184" i="3"/>
  <c r="E175" i="3"/>
  <c r="F175" i="3" s="1"/>
  <c r="E153" i="3"/>
  <c r="E144" i="3"/>
  <c r="E129" i="3"/>
  <c r="E105" i="3"/>
  <c r="E77" i="3"/>
  <c r="E98" i="3"/>
  <c r="E91" i="3"/>
  <c r="E70" i="3"/>
  <c r="E54" i="3"/>
  <c r="E47" i="3"/>
  <c r="E40" i="3"/>
  <c r="E33" i="3"/>
  <c r="E26" i="3"/>
  <c r="E12" i="3"/>
  <c r="E12" i="2"/>
  <c r="E19" i="3"/>
  <c r="E212" i="3"/>
  <c r="D208" i="3"/>
  <c r="D209" i="3" s="1"/>
  <c r="D210" i="3" s="1"/>
  <c r="E206" i="3"/>
  <c r="I202" i="3"/>
  <c r="L199" i="3"/>
  <c r="L198" i="3"/>
  <c r="L201" i="3" s="1"/>
  <c r="C190" i="3"/>
  <c r="G188" i="3"/>
  <c r="F188" i="3"/>
  <c r="G187" i="3"/>
  <c r="F187" i="3"/>
  <c r="G186" i="3"/>
  <c r="F186" i="3"/>
  <c r="G185" i="3"/>
  <c r="F185" i="3"/>
  <c r="G183" i="3"/>
  <c r="F183" i="3"/>
  <c r="G182" i="3"/>
  <c r="F182" i="3"/>
  <c r="F180" i="3"/>
  <c r="G179" i="3"/>
  <c r="F179" i="3"/>
  <c r="G178" i="3"/>
  <c r="F178" i="3"/>
  <c r="I177" i="3"/>
  <c r="F177" i="3"/>
  <c r="G176" i="3"/>
  <c r="F176" i="3"/>
  <c r="I175" i="3"/>
  <c r="D175" i="3"/>
  <c r="D190" i="3" s="1"/>
  <c r="E174" i="3"/>
  <c r="E210" i="3" s="1"/>
  <c r="E164" i="3"/>
  <c r="D159" i="3"/>
  <c r="C159" i="3"/>
  <c r="G158" i="3"/>
  <c r="G157" i="3"/>
  <c r="F157" i="3"/>
  <c r="F156" i="3"/>
  <c r="G155" i="3"/>
  <c r="F155" i="3"/>
  <c r="G154" i="3"/>
  <c r="F154" i="3"/>
  <c r="G153" i="3"/>
  <c r="F153" i="3"/>
  <c r="G152" i="3"/>
  <c r="F152" i="3"/>
  <c r="F151" i="3"/>
  <c r="G150" i="3"/>
  <c r="F150" i="3"/>
  <c r="J145" i="3"/>
  <c r="G145" i="3"/>
  <c r="F145" i="3"/>
  <c r="F144" i="3"/>
  <c r="G142" i="3"/>
  <c r="F142" i="3"/>
  <c r="I141" i="3"/>
  <c r="G140" i="3"/>
  <c r="F140" i="3"/>
  <c r="I139" i="3"/>
  <c r="G139" i="3"/>
  <c r="F139" i="3"/>
  <c r="G138" i="3"/>
  <c r="F138" i="3"/>
  <c r="I134" i="3"/>
  <c r="I135" i="3" s="1"/>
  <c r="E159" i="3"/>
  <c r="G128" i="3"/>
  <c r="F128" i="3"/>
  <c r="F159" i="3" s="1"/>
  <c r="E115" i="3"/>
  <c r="D115" i="3"/>
  <c r="C115" i="3"/>
  <c r="G112" i="3"/>
  <c r="F112" i="3"/>
  <c r="G111" i="3"/>
  <c r="G115" i="3" s="1"/>
  <c r="F111" i="3"/>
  <c r="F115" i="3" s="1"/>
  <c r="C108" i="3"/>
  <c r="G105" i="3"/>
  <c r="F105" i="3"/>
  <c r="F104" i="3"/>
  <c r="E108" i="3"/>
  <c r="D104" i="3"/>
  <c r="D108" i="3" s="1"/>
  <c r="C101" i="3"/>
  <c r="G98" i="3"/>
  <c r="F98" i="3"/>
  <c r="E101" i="3"/>
  <c r="D97" i="3"/>
  <c r="D101" i="3" s="1"/>
  <c r="C94" i="3"/>
  <c r="F91" i="3"/>
  <c r="G91" i="3"/>
  <c r="F90" i="3"/>
  <c r="F94" i="3" s="1"/>
  <c r="D90" i="3"/>
  <c r="D94" i="3" s="1"/>
  <c r="C87" i="3"/>
  <c r="F84" i="3"/>
  <c r="G84" i="3"/>
  <c r="F83" i="3"/>
  <c r="F87" i="3" s="1"/>
  <c r="D83" i="3"/>
  <c r="D87" i="3" s="1"/>
  <c r="C80" i="3"/>
  <c r="F77" i="3"/>
  <c r="G77" i="3"/>
  <c r="F76" i="3"/>
  <c r="F80" i="3" s="1"/>
  <c r="D76" i="3"/>
  <c r="D80" i="3" s="1"/>
  <c r="C73" i="3"/>
  <c r="G71" i="3"/>
  <c r="F71" i="3"/>
  <c r="F70" i="3"/>
  <c r="G70" i="3"/>
  <c r="F69" i="3"/>
  <c r="D69" i="3"/>
  <c r="D73" i="3" s="1"/>
  <c r="C57" i="3"/>
  <c r="G55" i="3"/>
  <c r="F55" i="3"/>
  <c r="F54" i="3"/>
  <c r="G54" i="3"/>
  <c r="F53" i="3"/>
  <c r="F57" i="3" s="1"/>
  <c r="D53" i="3"/>
  <c r="D57" i="3" s="1"/>
  <c r="C50" i="3"/>
  <c r="G48" i="3"/>
  <c r="F48" i="3"/>
  <c r="F47" i="3"/>
  <c r="G47" i="3"/>
  <c r="F46" i="3"/>
  <c r="D46" i="3"/>
  <c r="D50" i="3" s="1"/>
  <c r="C43" i="3"/>
  <c r="M41" i="3"/>
  <c r="F40" i="3"/>
  <c r="L39" i="3"/>
  <c r="F39" i="3"/>
  <c r="F43" i="3" s="1"/>
  <c r="D39" i="3"/>
  <c r="D43" i="3" s="1"/>
  <c r="C36" i="3"/>
  <c r="G33" i="3"/>
  <c r="F33" i="3"/>
  <c r="E36" i="3"/>
  <c r="D32" i="3"/>
  <c r="D36" i="3" s="1"/>
  <c r="C29" i="3"/>
  <c r="G27" i="3"/>
  <c r="F27" i="3"/>
  <c r="F26" i="3"/>
  <c r="M25" i="3"/>
  <c r="F25" i="3"/>
  <c r="E29" i="3"/>
  <c r="D25" i="3"/>
  <c r="G25" i="3" s="1"/>
  <c r="C22" i="3"/>
  <c r="J21" i="3"/>
  <c r="J22" i="3" s="1"/>
  <c r="J23" i="3" s="1"/>
  <c r="J25" i="3" s="1"/>
  <c r="G20" i="3"/>
  <c r="F20" i="3"/>
  <c r="F19" i="3"/>
  <c r="L18" i="3"/>
  <c r="L19" i="3" s="1"/>
  <c r="E22" i="3"/>
  <c r="D18" i="3"/>
  <c r="D22" i="3" s="1"/>
  <c r="S15" i="3"/>
  <c r="S16" i="3" s="1"/>
  <c r="R15" i="3"/>
  <c r="R16" i="3" s="1"/>
  <c r="M15" i="3"/>
  <c r="C15" i="3"/>
  <c r="I14" i="3"/>
  <c r="G13" i="3"/>
  <c r="F13" i="3"/>
  <c r="E119" i="3"/>
  <c r="F11" i="3"/>
  <c r="D11" i="3"/>
  <c r="D15" i="3" s="1"/>
  <c r="M7" i="3"/>
  <c r="I141" i="2"/>
  <c r="I139" i="2"/>
  <c r="I135" i="2"/>
  <c r="I134" i="2"/>
  <c r="E177" i="2"/>
  <c r="F29" i="3" l="1"/>
  <c r="F50" i="3"/>
  <c r="F73" i="3"/>
  <c r="F108" i="3"/>
  <c r="F174" i="3"/>
  <c r="F190" i="3" s="1"/>
  <c r="C191" i="3"/>
  <c r="F32" i="3"/>
  <c r="F36" i="3" s="1"/>
  <c r="S17" i="3"/>
  <c r="E190" i="3"/>
  <c r="D199" i="3"/>
  <c r="G12" i="3"/>
  <c r="E15" i="3"/>
  <c r="G18" i="3"/>
  <c r="G19" i="3"/>
  <c r="G26" i="3"/>
  <c r="G29" i="3" s="1"/>
  <c r="D29" i="3"/>
  <c r="D191" i="3" s="1"/>
  <c r="D200" i="3" s="1"/>
  <c r="G39" i="3"/>
  <c r="G40" i="3"/>
  <c r="E43" i="3"/>
  <c r="G46" i="3"/>
  <c r="G50" i="3" s="1"/>
  <c r="E50" i="3"/>
  <c r="G53" i="3"/>
  <c r="G57" i="3" s="1"/>
  <c r="E57" i="3"/>
  <c r="G69" i="3"/>
  <c r="G73" i="3" s="1"/>
  <c r="E73" i="3"/>
  <c r="G76" i="3"/>
  <c r="G80" i="3" s="1"/>
  <c r="E80" i="3"/>
  <c r="G83" i="3"/>
  <c r="G87" i="3" s="1"/>
  <c r="E87" i="3"/>
  <c r="G90" i="3"/>
  <c r="G94" i="3" s="1"/>
  <c r="E94" i="3"/>
  <c r="G97" i="3"/>
  <c r="G101" i="3" s="1"/>
  <c r="G144" i="3"/>
  <c r="G159" i="3" s="1"/>
  <c r="G11" i="3"/>
  <c r="F12" i="3"/>
  <c r="F15" i="3" s="1"/>
  <c r="F18" i="3"/>
  <c r="F22" i="3" s="1"/>
  <c r="G32" i="3"/>
  <c r="G36" i="3" s="1"/>
  <c r="F97" i="3"/>
  <c r="F101" i="3" s="1"/>
  <c r="G104" i="3"/>
  <c r="G108" i="3" s="1"/>
  <c r="G174" i="3"/>
  <c r="G175" i="3"/>
  <c r="E76" i="2"/>
  <c r="E104" i="2"/>
  <c r="E97" i="2"/>
  <c r="E90" i="2"/>
  <c r="E83" i="2"/>
  <c r="E69" i="2"/>
  <c r="E53" i="2"/>
  <c r="E46" i="2"/>
  <c r="E39" i="2"/>
  <c r="E32" i="2"/>
  <c r="E25" i="2"/>
  <c r="E18" i="2"/>
  <c r="E11" i="2"/>
  <c r="E181" i="2"/>
  <c r="E180" i="2"/>
  <c r="E174" i="2"/>
  <c r="G190" i="3" l="1"/>
  <c r="E118" i="3"/>
  <c r="G15" i="3"/>
  <c r="F191" i="3"/>
  <c r="D206" i="3"/>
  <c r="G43" i="3"/>
  <c r="G22" i="3"/>
  <c r="E191" i="3"/>
  <c r="E184" i="2"/>
  <c r="E175" i="2"/>
  <c r="E210" i="2"/>
  <c r="E91" i="2"/>
  <c r="E94" i="2" s="1"/>
  <c r="E144" i="2"/>
  <c r="E130" i="2"/>
  <c r="E129" i="2"/>
  <c r="E77" i="2"/>
  <c r="F77" i="2" s="1"/>
  <c r="E84" i="2"/>
  <c r="E70" i="2"/>
  <c r="E73" i="2" s="1"/>
  <c r="E54" i="2"/>
  <c r="E47" i="2"/>
  <c r="E40" i="2"/>
  <c r="E26" i="2"/>
  <c r="F26" i="2" s="1"/>
  <c r="E19" i="2"/>
  <c r="E119" i="2" s="1"/>
  <c r="E212" i="2"/>
  <c r="D208" i="2"/>
  <c r="D209" i="2" s="1"/>
  <c r="D210" i="2" s="1"/>
  <c r="E206" i="2"/>
  <c r="I202" i="2"/>
  <c r="L199" i="2"/>
  <c r="L198" i="2"/>
  <c r="L201" i="2" s="1"/>
  <c r="C190" i="2"/>
  <c r="G188" i="2"/>
  <c r="F188" i="2"/>
  <c r="G187" i="2"/>
  <c r="F187" i="2"/>
  <c r="G186" i="2"/>
  <c r="F186" i="2"/>
  <c r="G185" i="2"/>
  <c r="F185" i="2"/>
  <c r="G183" i="2"/>
  <c r="F183" i="2"/>
  <c r="G182" i="2"/>
  <c r="F182" i="2"/>
  <c r="G180" i="2"/>
  <c r="F180" i="2"/>
  <c r="G179" i="2"/>
  <c r="F179" i="2"/>
  <c r="G178" i="2"/>
  <c r="F178" i="2"/>
  <c r="I177" i="2"/>
  <c r="G177" i="2"/>
  <c r="F177" i="2"/>
  <c r="G176" i="2"/>
  <c r="F176" i="2"/>
  <c r="I175" i="2"/>
  <c r="F175" i="2"/>
  <c r="D175" i="2"/>
  <c r="D190" i="2" s="1"/>
  <c r="G174" i="2"/>
  <c r="F174" i="2"/>
  <c r="E164" i="2"/>
  <c r="E159" i="2"/>
  <c r="D159" i="2"/>
  <c r="C159" i="2"/>
  <c r="G158" i="2"/>
  <c r="G157" i="2"/>
  <c r="F157" i="2"/>
  <c r="F156" i="2"/>
  <c r="G155" i="2"/>
  <c r="F155" i="2"/>
  <c r="G154" i="2"/>
  <c r="F154" i="2"/>
  <c r="G153" i="2"/>
  <c r="F153" i="2"/>
  <c r="G152" i="2"/>
  <c r="F152" i="2"/>
  <c r="F151" i="2"/>
  <c r="G150" i="2"/>
  <c r="F150" i="2"/>
  <c r="J145" i="2"/>
  <c r="G145" i="2"/>
  <c r="F145" i="2"/>
  <c r="G144" i="2"/>
  <c r="F144" i="2"/>
  <c r="G142" i="2"/>
  <c r="F142" i="2"/>
  <c r="G140" i="2"/>
  <c r="F140" i="2"/>
  <c r="G139" i="2"/>
  <c r="F139" i="2"/>
  <c r="G138" i="2"/>
  <c r="F138" i="2"/>
  <c r="G128" i="2"/>
  <c r="F128" i="2"/>
  <c r="F159" i="2" s="1"/>
  <c r="E115" i="2"/>
  <c r="D115" i="2"/>
  <c r="C115" i="2"/>
  <c r="G112" i="2"/>
  <c r="F112" i="2"/>
  <c r="G111" i="2"/>
  <c r="G115" i="2" s="1"/>
  <c r="F111" i="2"/>
  <c r="F115" i="2" s="1"/>
  <c r="E108" i="2"/>
  <c r="C108" i="2"/>
  <c r="G105" i="2"/>
  <c r="F105" i="2"/>
  <c r="F104" i="2"/>
  <c r="F108" i="2" s="1"/>
  <c r="D104" i="2"/>
  <c r="D108" i="2" s="1"/>
  <c r="E101" i="2"/>
  <c r="C101" i="2"/>
  <c r="G98" i="2"/>
  <c r="F98" i="2"/>
  <c r="F97" i="2"/>
  <c r="F101" i="2" s="1"/>
  <c r="D97" i="2"/>
  <c r="D101" i="2" s="1"/>
  <c r="C94" i="2"/>
  <c r="F91" i="2"/>
  <c r="F90" i="2"/>
  <c r="D90" i="2"/>
  <c r="D94" i="2" s="1"/>
  <c r="E87" i="2"/>
  <c r="C87" i="2"/>
  <c r="G84" i="2"/>
  <c r="F84" i="2"/>
  <c r="F83" i="2"/>
  <c r="F87" i="2" s="1"/>
  <c r="D83" i="2"/>
  <c r="D87" i="2" s="1"/>
  <c r="E80" i="2"/>
  <c r="C80" i="2"/>
  <c r="G77" i="2"/>
  <c r="F76" i="2"/>
  <c r="D76" i="2"/>
  <c r="D80" i="2" s="1"/>
  <c r="C73" i="2"/>
  <c r="G71" i="2"/>
  <c r="F71" i="2"/>
  <c r="F70" i="2"/>
  <c r="F69" i="2"/>
  <c r="D69" i="2"/>
  <c r="D73" i="2" s="1"/>
  <c r="E57" i="2"/>
  <c r="C57" i="2"/>
  <c r="G55" i="2"/>
  <c r="F55" i="2"/>
  <c r="G54" i="2"/>
  <c r="F54" i="2"/>
  <c r="F53" i="2"/>
  <c r="D53" i="2"/>
  <c r="D57" i="2" s="1"/>
  <c r="E50" i="2"/>
  <c r="C50" i="2"/>
  <c r="G48" i="2"/>
  <c r="F48" i="2"/>
  <c r="G47" i="2"/>
  <c r="F47" i="2"/>
  <c r="F46" i="2"/>
  <c r="D46" i="2"/>
  <c r="D50" i="2" s="1"/>
  <c r="E43" i="2"/>
  <c r="C43" i="2"/>
  <c r="M41" i="2"/>
  <c r="G40" i="2"/>
  <c r="F40" i="2"/>
  <c r="L39" i="2"/>
  <c r="F39" i="2"/>
  <c r="F43" i="2" s="1"/>
  <c r="D39" i="2"/>
  <c r="D43" i="2" s="1"/>
  <c r="E36" i="2"/>
  <c r="C36" i="2"/>
  <c r="G33" i="2"/>
  <c r="F33" i="2"/>
  <c r="F32" i="2"/>
  <c r="D32" i="2"/>
  <c r="D36" i="2" s="1"/>
  <c r="E29" i="2"/>
  <c r="C29" i="2"/>
  <c r="G27" i="2"/>
  <c r="F27" i="2"/>
  <c r="G26" i="2"/>
  <c r="M25" i="2"/>
  <c r="F25" i="2"/>
  <c r="D25" i="2"/>
  <c r="D29" i="2" s="1"/>
  <c r="E22" i="2"/>
  <c r="C22" i="2"/>
  <c r="J21" i="2"/>
  <c r="J22" i="2" s="1"/>
  <c r="J23" i="2" s="1"/>
  <c r="J25" i="2" s="1"/>
  <c r="G20" i="2"/>
  <c r="F20" i="2"/>
  <c r="G19" i="2"/>
  <c r="F19" i="2"/>
  <c r="L18" i="2"/>
  <c r="L19" i="2" s="1"/>
  <c r="F18" i="2"/>
  <c r="F22" i="2" s="1"/>
  <c r="D18" i="2"/>
  <c r="D22" i="2" s="1"/>
  <c r="S15" i="2"/>
  <c r="S16" i="2" s="1"/>
  <c r="R15" i="2"/>
  <c r="R16" i="2" s="1"/>
  <c r="S17" i="2" s="1"/>
  <c r="M15" i="2"/>
  <c r="E15" i="2"/>
  <c r="C15" i="2"/>
  <c r="I14" i="2"/>
  <c r="G13" i="2"/>
  <c r="F13" i="2"/>
  <c r="G12" i="2"/>
  <c r="F12" i="2"/>
  <c r="F11" i="2"/>
  <c r="D11" i="2"/>
  <c r="G11" i="2" s="1"/>
  <c r="M7" i="2"/>
  <c r="C191" i="2" l="1"/>
  <c r="F190" i="2"/>
  <c r="F36" i="2"/>
  <c r="F50" i="2"/>
  <c r="F57" i="2"/>
  <c r="G191" i="3"/>
  <c r="G15" i="2"/>
  <c r="E208" i="3"/>
  <c r="E207" i="3"/>
  <c r="E194" i="3"/>
  <c r="G203" i="3"/>
  <c r="E190" i="2"/>
  <c r="E191" i="2" s="1"/>
  <c r="G203" i="2" s="1"/>
  <c r="G159" i="2"/>
  <c r="G91" i="2"/>
  <c r="F80" i="2"/>
  <c r="F94" i="2"/>
  <c r="E118" i="2"/>
  <c r="F73" i="2"/>
  <c r="G70" i="2"/>
  <c r="F29" i="2"/>
  <c r="F15" i="2"/>
  <c r="D15" i="2"/>
  <c r="D191" i="2" s="1"/>
  <c r="D200" i="2" s="1"/>
  <c r="G18" i="2"/>
  <c r="G22" i="2" s="1"/>
  <c r="D199" i="2"/>
  <c r="G25" i="2"/>
  <c r="G29" i="2" s="1"/>
  <c r="G32" i="2"/>
  <c r="G36" i="2" s="1"/>
  <c r="G39" i="2"/>
  <c r="G43" i="2" s="1"/>
  <c r="G46" i="2"/>
  <c r="G50" i="2" s="1"/>
  <c r="G53" i="2"/>
  <c r="G57" i="2" s="1"/>
  <c r="G69" i="2"/>
  <c r="G73" i="2" s="1"/>
  <c r="G76" i="2"/>
  <c r="G80" i="2" s="1"/>
  <c r="G83" i="2"/>
  <c r="G87" i="2" s="1"/>
  <c r="G90" i="2"/>
  <c r="G97" i="2"/>
  <c r="G101" i="2" s="1"/>
  <c r="G104" i="2"/>
  <c r="G108" i="2" s="1"/>
  <c r="G175" i="2"/>
  <c r="G190" i="2" s="1"/>
  <c r="D18" i="1"/>
  <c r="D11" i="1"/>
  <c r="F156" i="1"/>
  <c r="F191" i="2" l="1"/>
  <c r="G94" i="2"/>
  <c r="E208" i="2"/>
  <c r="G191" i="2"/>
  <c r="E207" i="2"/>
  <c r="E194" i="2"/>
  <c r="D206" i="2"/>
  <c r="G3" i="15"/>
  <c r="G5" i="15" s="1"/>
  <c r="E105" i="12"/>
  <c r="E155" i="12"/>
  <c r="J175" i="12"/>
  <c r="E98" i="12"/>
  <c r="E91" i="12"/>
  <c r="E70" i="12" l="1"/>
  <c r="E74" i="12" l="1"/>
  <c r="E53" i="12"/>
  <c r="E46" i="12"/>
  <c r="E39" i="12"/>
  <c r="E32" i="12"/>
  <c r="E25" i="12"/>
  <c r="E18" i="12"/>
  <c r="E22" i="12" s="1"/>
  <c r="E11" i="12"/>
  <c r="E215" i="12"/>
  <c r="E213" i="12"/>
  <c r="D211" i="12"/>
  <c r="D212" i="12" s="1"/>
  <c r="D213" i="12" s="1"/>
  <c r="E209" i="12"/>
  <c r="I205" i="12"/>
  <c r="L202" i="12"/>
  <c r="D202" i="12"/>
  <c r="L201" i="12"/>
  <c r="L204" i="12" s="1"/>
  <c r="E188" i="12"/>
  <c r="D188" i="12"/>
  <c r="C188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6" i="12"/>
  <c r="F176" i="12"/>
  <c r="I175" i="12"/>
  <c r="G175" i="12"/>
  <c r="F175" i="12"/>
  <c r="G174" i="12"/>
  <c r="F174" i="12"/>
  <c r="I173" i="12"/>
  <c r="G173" i="12"/>
  <c r="F173" i="12"/>
  <c r="G172" i="12"/>
  <c r="F172" i="12"/>
  <c r="E162" i="12"/>
  <c r="D157" i="12"/>
  <c r="C157" i="12"/>
  <c r="G156" i="12"/>
  <c r="G155" i="12"/>
  <c r="F155" i="12"/>
  <c r="G154" i="12"/>
  <c r="F154" i="12"/>
  <c r="G153" i="12"/>
  <c r="F153" i="12"/>
  <c r="G152" i="12"/>
  <c r="F152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J144" i="12"/>
  <c r="G144" i="12"/>
  <c r="F144" i="12"/>
  <c r="G143" i="12"/>
  <c r="F143" i="12"/>
  <c r="G142" i="12"/>
  <c r="F142" i="12"/>
  <c r="G141" i="12"/>
  <c r="F141" i="12"/>
  <c r="G140" i="12"/>
  <c r="F140" i="12"/>
  <c r="E139" i="12"/>
  <c r="G139" i="12" s="1"/>
  <c r="G138" i="12"/>
  <c r="F138" i="12"/>
  <c r="G137" i="12"/>
  <c r="F137" i="12"/>
  <c r="G136" i="12"/>
  <c r="F136" i="12"/>
  <c r="G135" i="12"/>
  <c r="F135" i="12"/>
  <c r="F134" i="12"/>
  <c r="G133" i="12"/>
  <c r="F133" i="12"/>
  <c r="G132" i="12"/>
  <c r="F132" i="12"/>
  <c r="G131" i="12"/>
  <c r="F131" i="12"/>
  <c r="G130" i="12"/>
  <c r="F130" i="12"/>
  <c r="G129" i="12"/>
  <c r="G157" i="12" s="1"/>
  <c r="F129" i="12"/>
  <c r="E116" i="12"/>
  <c r="H113" i="12"/>
  <c r="D113" i="12"/>
  <c r="D116" i="12" s="1"/>
  <c r="G112" i="12"/>
  <c r="F112" i="12"/>
  <c r="F116" i="12" s="1"/>
  <c r="E109" i="12"/>
  <c r="D109" i="12"/>
  <c r="C109" i="12"/>
  <c r="H106" i="12"/>
  <c r="D106" i="12"/>
  <c r="G105" i="12"/>
  <c r="F105" i="12"/>
  <c r="F109" i="12" s="1"/>
  <c r="E102" i="12"/>
  <c r="C102" i="12"/>
  <c r="H99" i="12"/>
  <c r="D99" i="12"/>
  <c r="D102" i="12" s="1"/>
  <c r="G98" i="12"/>
  <c r="F98" i="12"/>
  <c r="E95" i="12"/>
  <c r="C95" i="12"/>
  <c r="H92" i="12"/>
  <c r="F95" i="12"/>
  <c r="D92" i="12"/>
  <c r="D95" i="12" s="1"/>
  <c r="G91" i="12"/>
  <c r="G95" i="12" s="1"/>
  <c r="F91" i="12"/>
  <c r="E88" i="12"/>
  <c r="C88" i="12"/>
  <c r="H85" i="12"/>
  <c r="D85" i="12"/>
  <c r="D88" i="12" s="1"/>
  <c r="G84" i="12"/>
  <c r="F84" i="12"/>
  <c r="E81" i="12"/>
  <c r="D81" i="12"/>
  <c r="C81" i="12"/>
  <c r="H78" i="12"/>
  <c r="G77" i="12"/>
  <c r="G81" i="12" s="1"/>
  <c r="F77" i="12"/>
  <c r="F81" i="12" s="1"/>
  <c r="C74" i="12"/>
  <c r="G72" i="12"/>
  <c r="H71" i="12"/>
  <c r="D71" i="12"/>
  <c r="D74" i="12" s="1"/>
  <c r="G70" i="12"/>
  <c r="F70" i="12"/>
  <c r="E57" i="12"/>
  <c r="C57" i="12"/>
  <c r="G55" i="12"/>
  <c r="F55" i="12"/>
  <c r="H54" i="12"/>
  <c r="D54" i="12"/>
  <c r="D57" i="12" s="1"/>
  <c r="G53" i="12"/>
  <c r="F53" i="12"/>
  <c r="E50" i="12"/>
  <c r="C50" i="12"/>
  <c r="G48" i="12"/>
  <c r="F48" i="12"/>
  <c r="H47" i="12"/>
  <c r="D47" i="12"/>
  <c r="D50" i="12" s="1"/>
  <c r="G46" i="12"/>
  <c r="F46" i="12"/>
  <c r="E43" i="12"/>
  <c r="C43" i="12"/>
  <c r="M41" i="12"/>
  <c r="H40" i="12"/>
  <c r="D40" i="12"/>
  <c r="D43" i="12" s="1"/>
  <c r="L39" i="12"/>
  <c r="I39" i="12"/>
  <c r="G39" i="12"/>
  <c r="F39" i="12"/>
  <c r="I38" i="12"/>
  <c r="E36" i="12"/>
  <c r="C36" i="12"/>
  <c r="H33" i="12"/>
  <c r="D33" i="12"/>
  <c r="D36" i="12" s="1"/>
  <c r="G32" i="12"/>
  <c r="F32" i="12"/>
  <c r="E29" i="12"/>
  <c r="C29" i="12"/>
  <c r="H26" i="12"/>
  <c r="D26" i="12"/>
  <c r="M25" i="12"/>
  <c r="G25" i="12"/>
  <c r="G29" i="12" s="1"/>
  <c r="F25" i="12"/>
  <c r="F29" i="12" s="1"/>
  <c r="C22" i="12"/>
  <c r="J21" i="12"/>
  <c r="J22" i="12" s="1"/>
  <c r="J23" i="12" s="1"/>
  <c r="J25" i="12" s="1"/>
  <c r="G20" i="12"/>
  <c r="F20" i="12"/>
  <c r="H19" i="12"/>
  <c r="D19" i="12"/>
  <c r="L18" i="12"/>
  <c r="L19" i="12" s="1"/>
  <c r="G18" i="12"/>
  <c r="I18" i="12" s="1"/>
  <c r="S15" i="12"/>
  <c r="S16" i="12" s="1"/>
  <c r="R15" i="12"/>
  <c r="R16" i="12" s="1"/>
  <c r="S17" i="12" s="1"/>
  <c r="M15" i="12"/>
  <c r="E15" i="12"/>
  <c r="D15" i="12"/>
  <c r="C15" i="12"/>
  <c r="I14" i="12"/>
  <c r="G13" i="12"/>
  <c r="F13" i="12"/>
  <c r="H12" i="12"/>
  <c r="G11" i="12"/>
  <c r="F11" i="12"/>
  <c r="F15" i="12" s="1"/>
  <c r="M7" i="12"/>
  <c r="G140" i="11"/>
  <c r="F140" i="11"/>
  <c r="G180" i="11"/>
  <c r="F179" i="11"/>
  <c r="F180" i="11"/>
  <c r="G179" i="11"/>
  <c r="F139" i="11"/>
  <c r="G139" i="11"/>
  <c r="G149" i="11"/>
  <c r="G147" i="11"/>
  <c r="G146" i="11"/>
  <c r="G145" i="11"/>
  <c r="G144" i="11"/>
  <c r="G136" i="11"/>
  <c r="G135" i="11"/>
  <c r="G134" i="11"/>
  <c r="G132" i="11"/>
  <c r="G131" i="11"/>
  <c r="G130" i="11"/>
  <c r="G129" i="11"/>
  <c r="F147" i="11"/>
  <c r="F146" i="11"/>
  <c r="F145" i="11"/>
  <c r="F144" i="11"/>
  <c r="F136" i="11"/>
  <c r="F135" i="11"/>
  <c r="F134" i="11"/>
  <c r="F133" i="11"/>
  <c r="F132" i="11"/>
  <c r="F131" i="11"/>
  <c r="F130" i="11"/>
  <c r="F129" i="11"/>
  <c r="D156" i="11"/>
  <c r="G15" i="12" l="1"/>
  <c r="I40" i="12"/>
  <c r="F139" i="12"/>
  <c r="F188" i="12"/>
  <c r="H188" i="12"/>
  <c r="G50" i="12"/>
  <c r="I46" i="12"/>
  <c r="G188" i="12"/>
  <c r="F157" i="12"/>
  <c r="C189" i="12"/>
  <c r="F72" i="12"/>
  <c r="F74" i="12" s="1"/>
  <c r="F18" i="12"/>
  <c r="F22" i="12" s="1"/>
  <c r="F102" i="12"/>
  <c r="F88" i="12"/>
  <c r="F57" i="12"/>
  <c r="F50" i="12"/>
  <c r="F43" i="12"/>
  <c r="F36" i="12"/>
  <c r="G74" i="12"/>
  <c r="G109" i="12"/>
  <c r="G22" i="12"/>
  <c r="D29" i="12"/>
  <c r="G36" i="12"/>
  <c r="G43" i="12"/>
  <c r="G57" i="12"/>
  <c r="G88" i="12"/>
  <c r="G102" i="12"/>
  <c r="G116" i="12"/>
  <c r="E157" i="12"/>
  <c r="H157" i="12" s="1"/>
  <c r="D22" i="12"/>
  <c r="E138" i="11"/>
  <c r="F119" i="11"/>
  <c r="D189" i="12" l="1"/>
  <c r="D203" i="12" s="1"/>
  <c r="D209" i="12" s="1"/>
  <c r="G60" i="12"/>
  <c r="F189" i="12"/>
  <c r="G189" i="12"/>
  <c r="E189" i="12"/>
  <c r="D19" i="11"/>
  <c r="C119" i="11"/>
  <c r="H112" i="11"/>
  <c r="H105" i="11"/>
  <c r="H98" i="11"/>
  <c r="H91" i="11"/>
  <c r="H84" i="11"/>
  <c r="H77" i="11"/>
  <c r="H70" i="11"/>
  <c r="H54" i="11"/>
  <c r="H47" i="11"/>
  <c r="H40" i="11"/>
  <c r="H33" i="11"/>
  <c r="H26" i="11"/>
  <c r="H19" i="11"/>
  <c r="H12" i="11"/>
  <c r="D47" i="11"/>
  <c r="E119" i="11"/>
  <c r="D112" i="11"/>
  <c r="D105" i="11"/>
  <c r="D98" i="11"/>
  <c r="D91" i="11"/>
  <c r="D84" i="11"/>
  <c r="D70" i="11"/>
  <c r="D54" i="11"/>
  <c r="D40" i="11"/>
  <c r="G40" i="11" s="1"/>
  <c r="D33" i="11"/>
  <c r="D26" i="11"/>
  <c r="D119" i="11" s="1"/>
  <c r="I39" i="11"/>
  <c r="I38" i="11"/>
  <c r="I40" i="11" s="1"/>
  <c r="E214" i="11"/>
  <c r="E212" i="11"/>
  <c r="D210" i="11"/>
  <c r="D211" i="11" s="1"/>
  <c r="D212" i="11" s="1"/>
  <c r="E208" i="11"/>
  <c r="I204" i="11"/>
  <c r="L201" i="11"/>
  <c r="L200" i="11"/>
  <c r="E187" i="11"/>
  <c r="H187" i="11" s="1"/>
  <c r="C187" i="11"/>
  <c r="G185" i="11"/>
  <c r="F185" i="11"/>
  <c r="G184" i="11"/>
  <c r="F184" i="11"/>
  <c r="G183" i="11"/>
  <c r="F183" i="11"/>
  <c r="G182" i="11"/>
  <c r="F182" i="11"/>
  <c r="G181" i="11"/>
  <c r="F181" i="11"/>
  <c r="G178" i="11"/>
  <c r="F178" i="11"/>
  <c r="G177" i="11"/>
  <c r="F177" i="11"/>
  <c r="G176" i="11"/>
  <c r="F176" i="11"/>
  <c r="G175" i="11"/>
  <c r="F175" i="11"/>
  <c r="I174" i="11"/>
  <c r="G174" i="11"/>
  <c r="F174" i="11"/>
  <c r="G173" i="11"/>
  <c r="F173" i="11"/>
  <c r="I172" i="11"/>
  <c r="F172" i="11"/>
  <c r="D187" i="11"/>
  <c r="G171" i="11"/>
  <c r="F171" i="11"/>
  <c r="E161" i="11"/>
  <c r="E156" i="11"/>
  <c r="C156" i="11"/>
  <c r="G155" i="11"/>
  <c r="G154" i="11"/>
  <c r="F154" i="11"/>
  <c r="G153" i="11"/>
  <c r="F153" i="11"/>
  <c r="G152" i="11"/>
  <c r="F152" i="11"/>
  <c r="G151" i="11"/>
  <c r="F151" i="11"/>
  <c r="G150" i="11"/>
  <c r="F150" i="11"/>
  <c r="F149" i="11"/>
  <c r="G148" i="11"/>
  <c r="F148" i="11"/>
  <c r="J143" i="11"/>
  <c r="G143" i="11"/>
  <c r="F143" i="11"/>
  <c r="G142" i="11"/>
  <c r="F142" i="11"/>
  <c r="G141" i="11"/>
  <c r="F141" i="11"/>
  <c r="G138" i="11"/>
  <c r="F138" i="11"/>
  <c r="G137" i="11"/>
  <c r="F137" i="11"/>
  <c r="G128" i="11"/>
  <c r="G156" i="11" s="1"/>
  <c r="F128" i="11"/>
  <c r="E115" i="11"/>
  <c r="D115" i="11"/>
  <c r="C115" i="11"/>
  <c r="G112" i="11"/>
  <c r="F112" i="11"/>
  <c r="G111" i="11"/>
  <c r="G115" i="11" s="1"/>
  <c r="F111" i="11"/>
  <c r="E108" i="11"/>
  <c r="C108" i="11"/>
  <c r="G105" i="11"/>
  <c r="F105" i="11"/>
  <c r="F104" i="11"/>
  <c r="D108" i="11"/>
  <c r="E101" i="11"/>
  <c r="C101" i="11"/>
  <c r="G98" i="11"/>
  <c r="F98" i="11"/>
  <c r="F97" i="11"/>
  <c r="D101" i="11"/>
  <c r="E94" i="11"/>
  <c r="C94" i="11"/>
  <c r="G91" i="11"/>
  <c r="F91" i="11"/>
  <c r="F90" i="11"/>
  <c r="D94" i="11"/>
  <c r="E87" i="11"/>
  <c r="C87" i="11"/>
  <c r="G84" i="11"/>
  <c r="F84" i="11"/>
  <c r="F83" i="11"/>
  <c r="D87" i="11"/>
  <c r="E80" i="11"/>
  <c r="C80" i="11"/>
  <c r="G77" i="11"/>
  <c r="F77" i="11"/>
  <c r="F76" i="11"/>
  <c r="D80" i="11"/>
  <c r="E73" i="11"/>
  <c r="C73" i="11"/>
  <c r="G71" i="11"/>
  <c r="F71" i="11"/>
  <c r="G70" i="11"/>
  <c r="F70" i="11"/>
  <c r="F69" i="11"/>
  <c r="D73" i="11"/>
  <c r="E57" i="11"/>
  <c r="C57" i="11"/>
  <c r="G55" i="11"/>
  <c r="F55" i="11"/>
  <c r="G54" i="11"/>
  <c r="F54" i="11"/>
  <c r="F53" i="11"/>
  <c r="D57" i="11"/>
  <c r="E50" i="11"/>
  <c r="C50" i="11"/>
  <c r="G48" i="11"/>
  <c r="F48" i="11"/>
  <c r="G47" i="11"/>
  <c r="F47" i="11"/>
  <c r="F46" i="11"/>
  <c r="D50" i="11"/>
  <c r="E43" i="11"/>
  <c r="C43" i="11"/>
  <c r="M41" i="11"/>
  <c r="F40" i="11"/>
  <c r="L39" i="11"/>
  <c r="F39" i="11"/>
  <c r="F43" i="11" s="1"/>
  <c r="D43" i="11"/>
  <c r="E36" i="11"/>
  <c r="C36" i="11"/>
  <c r="G33" i="11"/>
  <c r="F33" i="11"/>
  <c r="F32" i="11"/>
  <c r="F36" i="11" s="1"/>
  <c r="D36" i="11"/>
  <c r="E29" i="11"/>
  <c r="C29" i="11"/>
  <c r="G27" i="11"/>
  <c r="F27" i="11"/>
  <c r="G26" i="11"/>
  <c r="F26" i="11"/>
  <c r="M25" i="11"/>
  <c r="F25" i="11"/>
  <c r="F29" i="11" s="1"/>
  <c r="D29" i="11"/>
  <c r="E22" i="11"/>
  <c r="C22" i="11"/>
  <c r="J21" i="11"/>
  <c r="J22" i="11" s="1"/>
  <c r="J23" i="11" s="1"/>
  <c r="J25" i="11" s="1"/>
  <c r="G20" i="11"/>
  <c r="F20" i="11"/>
  <c r="F19" i="11"/>
  <c r="G19" i="11"/>
  <c r="L18" i="11"/>
  <c r="L19" i="11" s="1"/>
  <c r="F18" i="11"/>
  <c r="D22" i="11"/>
  <c r="S15" i="11"/>
  <c r="S16" i="11" s="1"/>
  <c r="R15" i="11"/>
  <c r="R16" i="11" s="1"/>
  <c r="M15" i="11"/>
  <c r="E15" i="11"/>
  <c r="I14" i="11"/>
  <c r="G13" i="11"/>
  <c r="F13" i="11"/>
  <c r="G12" i="11"/>
  <c r="F12" i="11"/>
  <c r="F11" i="11"/>
  <c r="D15" i="11"/>
  <c r="M7" i="11"/>
  <c r="F22" i="11" l="1"/>
  <c r="F57" i="11"/>
  <c r="F73" i="11"/>
  <c r="F80" i="11"/>
  <c r="F87" i="11"/>
  <c r="F94" i="11"/>
  <c r="F101" i="11"/>
  <c r="F108" i="11"/>
  <c r="F156" i="11"/>
  <c r="H156" i="11"/>
  <c r="F187" i="11"/>
  <c r="F188" i="11" s="1"/>
  <c r="L203" i="11"/>
  <c r="F115" i="11"/>
  <c r="E193" i="12"/>
  <c r="E195" i="12" s="1"/>
  <c r="E211" i="12"/>
  <c r="E210" i="12"/>
  <c r="H189" i="12"/>
  <c r="G206" i="12"/>
  <c r="C188" i="11"/>
  <c r="E118" i="11"/>
  <c r="F50" i="11"/>
  <c r="E188" i="11"/>
  <c r="F15" i="11"/>
  <c r="E210" i="11"/>
  <c r="S17" i="11"/>
  <c r="D188" i="11"/>
  <c r="G205" i="11"/>
  <c r="G11" i="11"/>
  <c r="G15" i="11" s="1"/>
  <c r="G172" i="11"/>
  <c r="G187" i="11" s="1"/>
  <c r="D201" i="11"/>
  <c r="G18" i="11"/>
  <c r="G22" i="11" s="1"/>
  <c r="G25" i="11"/>
  <c r="G29" i="11" s="1"/>
  <c r="G32" i="11"/>
  <c r="G36" i="11" s="1"/>
  <c r="G39" i="11"/>
  <c r="G43" i="11" s="1"/>
  <c r="G46" i="11"/>
  <c r="G50" i="11" s="1"/>
  <c r="G53" i="11"/>
  <c r="G57" i="11" s="1"/>
  <c r="G69" i="11"/>
  <c r="G73" i="11" s="1"/>
  <c r="G76" i="11"/>
  <c r="G80" i="11" s="1"/>
  <c r="G83" i="11"/>
  <c r="G87" i="11" s="1"/>
  <c r="G90" i="11"/>
  <c r="G94" i="11" s="1"/>
  <c r="G97" i="11"/>
  <c r="G101" i="11" s="1"/>
  <c r="G104" i="11"/>
  <c r="G108" i="11" s="1"/>
  <c r="E209" i="11" l="1"/>
  <c r="E192" i="11"/>
  <c r="E194" i="11" s="1"/>
  <c r="H188" i="11"/>
  <c r="G188" i="11"/>
  <c r="D202" i="11"/>
  <c r="D208" i="11" s="1"/>
  <c r="E206" i="1" l="1"/>
  <c r="L199" i="1"/>
  <c r="L198" i="1"/>
  <c r="L201" i="1" s="1"/>
  <c r="I202" i="1"/>
  <c r="I14" i="1" l="1"/>
  <c r="E212" i="1" l="1"/>
  <c r="E210" i="1"/>
  <c r="D208" i="1" l="1"/>
  <c r="D209" i="1" s="1"/>
  <c r="D210" i="1" s="1"/>
  <c r="D175" i="1"/>
  <c r="C190" i="1"/>
  <c r="F223" i="16" l="1"/>
  <c r="F219" i="16"/>
  <c r="E218" i="16"/>
  <c r="C207" i="16"/>
  <c r="F205" i="16"/>
  <c r="F204" i="16"/>
  <c r="F203" i="16"/>
  <c r="G202" i="16"/>
  <c r="F202" i="16"/>
  <c r="G201" i="16"/>
  <c r="F201" i="16"/>
  <c r="E200" i="16"/>
  <c r="F200" i="16" s="1"/>
  <c r="D200" i="16"/>
  <c r="G199" i="16"/>
  <c r="F199" i="16"/>
  <c r="G198" i="16"/>
  <c r="F198" i="16"/>
  <c r="G197" i="16"/>
  <c r="F197" i="16"/>
  <c r="F196" i="16"/>
  <c r="E196" i="16"/>
  <c r="I195" i="16"/>
  <c r="F195" i="16"/>
  <c r="D195" i="16"/>
  <c r="G195" i="16" s="1"/>
  <c r="E194" i="16"/>
  <c r="F194" i="16" s="1"/>
  <c r="D194" i="16"/>
  <c r="G193" i="16"/>
  <c r="F193" i="16"/>
  <c r="G192" i="16"/>
  <c r="F192" i="16"/>
  <c r="K191" i="16"/>
  <c r="G191" i="16"/>
  <c r="F191" i="16"/>
  <c r="I190" i="16"/>
  <c r="G190" i="16"/>
  <c r="F190" i="16"/>
  <c r="G189" i="16"/>
  <c r="F189" i="16"/>
  <c r="F188" i="16"/>
  <c r="E188" i="16"/>
  <c r="G188" i="16" s="1"/>
  <c r="E187" i="16"/>
  <c r="E207" i="16" s="1"/>
  <c r="D187" i="16"/>
  <c r="E175" i="16"/>
  <c r="F174" i="16"/>
  <c r="D172" i="16"/>
  <c r="C172" i="16"/>
  <c r="G171" i="16"/>
  <c r="E169" i="16"/>
  <c r="F169" i="16" s="1"/>
  <c r="G168" i="16"/>
  <c r="F168" i="16"/>
  <c r="F167" i="16"/>
  <c r="E167" i="16"/>
  <c r="G167" i="16" s="1"/>
  <c r="G166" i="16"/>
  <c r="F166" i="16"/>
  <c r="G165" i="16"/>
  <c r="F165" i="16"/>
  <c r="G164" i="16"/>
  <c r="F164" i="16"/>
  <c r="G163" i="16"/>
  <c r="F163" i="16"/>
  <c r="G162" i="16"/>
  <c r="F162" i="16"/>
  <c r="F161" i="16"/>
  <c r="E160" i="16"/>
  <c r="G160" i="16" s="1"/>
  <c r="G159" i="16"/>
  <c r="F159" i="16"/>
  <c r="I158" i="16"/>
  <c r="G158" i="16"/>
  <c r="F158" i="16"/>
  <c r="F157" i="16"/>
  <c r="E157" i="16"/>
  <c r="G157" i="16" s="1"/>
  <c r="G156" i="16"/>
  <c r="F156" i="16"/>
  <c r="G155" i="16"/>
  <c r="F155" i="16"/>
  <c r="G154" i="16"/>
  <c r="F154" i="16"/>
  <c r="E153" i="16"/>
  <c r="F153" i="16" s="1"/>
  <c r="G152" i="16"/>
  <c r="F152" i="16"/>
  <c r="E151" i="16"/>
  <c r="G151" i="16" s="1"/>
  <c r="G150" i="16"/>
  <c r="F150" i="16"/>
  <c r="E149" i="16"/>
  <c r="F149" i="16" s="1"/>
  <c r="F148" i="16"/>
  <c r="E148" i="16"/>
  <c r="G148" i="16" s="1"/>
  <c r="E147" i="16"/>
  <c r="F147" i="16" s="1"/>
  <c r="G146" i="16"/>
  <c r="F146" i="16"/>
  <c r="E145" i="16"/>
  <c r="G145" i="16" s="1"/>
  <c r="E144" i="16"/>
  <c r="F144" i="16" s="1"/>
  <c r="F143" i="16"/>
  <c r="E143" i="16"/>
  <c r="G143" i="16" s="1"/>
  <c r="F142" i="16"/>
  <c r="E142" i="16"/>
  <c r="G142" i="16" s="1"/>
  <c r="J141" i="16"/>
  <c r="J142" i="16" s="1"/>
  <c r="E141" i="16"/>
  <c r="G141" i="16" s="1"/>
  <c r="G140" i="16"/>
  <c r="F140" i="16"/>
  <c r="L139" i="16"/>
  <c r="J139" i="16"/>
  <c r="E139" i="16"/>
  <c r="F139" i="16" s="1"/>
  <c r="F138" i="16"/>
  <c r="E138" i="16"/>
  <c r="G138" i="16" s="1"/>
  <c r="G137" i="16"/>
  <c r="F137" i="16"/>
  <c r="L136" i="16"/>
  <c r="J136" i="16"/>
  <c r="E136" i="16"/>
  <c r="F136" i="16" s="1"/>
  <c r="L135" i="16"/>
  <c r="G135" i="16"/>
  <c r="F135" i="16"/>
  <c r="E134" i="16"/>
  <c r="F134" i="16" s="1"/>
  <c r="E133" i="16"/>
  <c r="G133" i="16" s="1"/>
  <c r="E132" i="16"/>
  <c r="F132" i="16" s="1"/>
  <c r="F131" i="16"/>
  <c r="E131" i="16"/>
  <c r="G131" i="16" s="1"/>
  <c r="G130" i="16"/>
  <c r="F130" i="16"/>
  <c r="D117" i="16"/>
  <c r="C117" i="16"/>
  <c r="E114" i="16"/>
  <c r="G114" i="16" s="1"/>
  <c r="G113" i="16"/>
  <c r="F113" i="16"/>
  <c r="C110" i="16"/>
  <c r="F107" i="16"/>
  <c r="E107" i="16"/>
  <c r="G107" i="16" s="1"/>
  <c r="E106" i="16"/>
  <c r="F106" i="16" s="1"/>
  <c r="F110" i="16" s="1"/>
  <c r="D106" i="16"/>
  <c r="D110" i="16" s="1"/>
  <c r="C103" i="16"/>
  <c r="E100" i="16"/>
  <c r="G100" i="16" s="1"/>
  <c r="E99" i="16"/>
  <c r="F99" i="16" s="1"/>
  <c r="D99" i="16"/>
  <c r="D103" i="16" s="1"/>
  <c r="C96" i="16"/>
  <c r="F93" i="16"/>
  <c r="E93" i="16"/>
  <c r="G93" i="16" s="1"/>
  <c r="E92" i="16"/>
  <c r="F92" i="16" s="1"/>
  <c r="F96" i="16" s="1"/>
  <c r="D92" i="16"/>
  <c r="D96" i="16" s="1"/>
  <c r="C89" i="16"/>
  <c r="E86" i="16"/>
  <c r="G86" i="16" s="1"/>
  <c r="E85" i="16"/>
  <c r="F85" i="16" s="1"/>
  <c r="D85" i="16"/>
  <c r="D89" i="16" s="1"/>
  <c r="J82" i="16"/>
  <c r="C82" i="16"/>
  <c r="N81" i="16"/>
  <c r="N83" i="16" s="1"/>
  <c r="L81" i="16"/>
  <c r="L83" i="16" s="1"/>
  <c r="J81" i="16"/>
  <c r="J83" i="16" s="1"/>
  <c r="F79" i="16"/>
  <c r="E79" i="16"/>
  <c r="G79" i="16" s="1"/>
  <c r="E78" i="16"/>
  <c r="F78" i="16" s="1"/>
  <c r="F82" i="16" s="1"/>
  <c r="D78" i="16"/>
  <c r="D82" i="16" s="1"/>
  <c r="O77" i="16"/>
  <c r="M76" i="16"/>
  <c r="M81" i="16" s="1"/>
  <c r="C75" i="16"/>
  <c r="G73" i="16"/>
  <c r="F73" i="16"/>
  <c r="E72" i="16"/>
  <c r="G72" i="16" s="1"/>
  <c r="E71" i="16"/>
  <c r="F71" i="16" s="1"/>
  <c r="D71" i="16"/>
  <c r="D75" i="16" s="1"/>
  <c r="C57" i="16"/>
  <c r="G55" i="16"/>
  <c r="F55" i="16"/>
  <c r="E54" i="16"/>
  <c r="G54" i="16" s="1"/>
  <c r="F53" i="16"/>
  <c r="E53" i="16"/>
  <c r="E57" i="16" s="1"/>
  <c r="D53" i="16"/>
  <c r="D57" i="16" s="1"/>
  <c r="I51" i="16"/>
  <c r="I53" i="16" s="1"/>
  <c r="C50" i="16"/>
  <c r="G48" i="16"/>
  <c r="F48" i="16"/>
  <c r="E47" i="16"/>
  <c r="F47" i="16" s="1"/>
  <c r="M46" i="16"/>
  <c r="E46" i="16"/>
  <c r="F46" i="16" s="1"/>
  <c r="F50" i="16" s="1"/>
  <c r="D46" i="16"/>
  <c r="C43" i="16"/>
  <c r="M41" i="16"/>
  <c r="I41" i="16"/>
  <c r="E40" i="16"/>
  <c r="F40" i="16" s="1"/>
  <c r="L39" i="16"/>
  <c r="I39" i="16"/>
  <c r="E39" i="16"/>
  <c r="E43" i="16" s="1"/>
  <c r="D39" i="16"/>
  <c r="G39" i="16" s="1"/>
  <c r="I38" i="16"/>
  <c r="I40" i="16" s="1"/>
  <c r="I42" i="16" s="1"/>
  <c r="I43" i="16" s="1"/>
  <c r="C36" i="16"/>
  <c r="F33" i="16"/>
  <c r="E33" i="16"/>
  <c r="G33" i="16" s="1"/>
  <c r="E32" i="16"/>
  <c r="F32" i="16" s="1"/>
  <c r="F36" i="16" s="1"/>
  <c r="D32" i="16"/>
  <c r="D36" i="16" s="1"/>
  <c r="C29" i="16"/>
  <c r="G27" i="16"/>
  <c r="F27" i="16"/>
  <c r="E26" i="16"/>
  <c r="G26" i="16" s="1"/>
  <c r="M25" i="16"/>
  <c r="E25" i="16"/>
  <c r="F25" i="16" s="1"/>
  <c r="D25" i="16"/>
  <c r="D29" i="16" s="1"/>
  <c r="C22" i="16"/>
  <c r="J21" i="16"/>
  <c r="J22" i="16" s="1"/>
  <c r="J23" i="16" s="1"/>
  <c r="J25" i="16" s="1"/>
  <c r="G20" i="16"/>
  <c r="F20" i="16"/>
  <c r="E19" i="16"/>
  <c r="G19" i="16" s="1"/>
  <c r="L18" i="16"/>
  <c r="L19" i="16" s="1"/>
  <c r="F18" i="16"/>
  <c r="E18" i="16"/>
  <c r="E22" i="16" s="1"/>
  <c r="D18" i="16"/>
  <c r="D22" i="16" s="1"/>
  <c r="S15" i="16"/>
  <c r="S16" i="16" s="1"/>
  <c r="R15" i="16"/>
  <c r="R16" i="16" s="1"/>
  <c r="S17" i="16" s="1"/>
  <c r="M15" i="16"/>
  <c r="C15" i="16"/>
  <c r="F13" i="16"/>
  <c r="D13" i="16"/>
  <c r="E12" i="16"/>
  <c r="G12" i="16" s="1"/>
  <c r="E11" i="16"/>
  <c r="D11" i="16"/>
  <c r="M7" i="16"/>
  <c r="D63" i="15"/>
  <c r="D62" i="15"/>
  <c r="D61" i="15"/>
  <c r="D60" i="15"/>
  <c r="B59" i="15"/>
  <c r="D59" i="15" s="1"/>
  <c r="D58" i="15"/>
  <c r="D57" i="15"/>
  <c r="C57" i="15"/>
  <c r="D50" i="15"/>
  <c r="D56" i="15"/>
  <c r="C55" i="15"/>
  <c r="D55" i="15" s="1"/>
  <c r="D54" i="15"/>
  <c r="D53" i="15"/>
  <c r="D52" i="15"/>
  <c r="D51" i="15"/>
  <c r="D49" i="15"/>
  <c r="D48" i="15"/>
  <c r="C47" i="15"/>
  <c r="D47" i="15" s="1"/>
  <c r="G33" i="15"/>
  <c r="I32" i="15"/>
  <c r="D31" i="15"/>
  <c r="D20" i="15"/>
  <c r="G19" i="15"/>
  <c r="G20" i="15" s="1"/>
  <c r="D19" i="15"/>
  <c r="D18" i="15"/>
  <c r="I17" i="15"/>
  <c r="G17" i="15"/>
  <c r="D17" i="15"/>
  <c r="D16" i="15"/>
  <c r="D15" i="15"/>
  <c r="G14" i="15"/>
  <c r="D14" i="15"/>
  <c r="I13" i="15"/>
  <c r="I14" i="15" s="1"/>
  <c r="D12" i="15"/>
  <c r="D11" i="15"/>
  <c r="D10" i="15"/>
  <c r="D9" i="15"/>
  <c r="D8" i="15"/>
  <c r="D214" i="14"/>
  <c r="D210" i="14"/>
  <c r="C209" i="14"/>
  <c r="D197" i="14"/>
  <c r="G196" i="14"/>
  <c r="G197" i="14" s="1"/>
  <c r="D196" i="14"/>
  <c r="D195" i="14"/>
  <c r="F194" i="14"/>
  <c r="D194" i="14"/>
  <c r="D193" i="14"/>
  <c r="C192" i="14"/>
  <c r="G191" i="14"/>
  <c r="G192" i="14" s="1"/>
  <c r="D191" i="14"/>
  <c r="B190" i="14"/>
  <c r="D190" i="14" s="1"/>
  <c r="F189" i="14"/>
  <c r="B189" i="14"/>
  <c r="D189" i="14" s="1"/>
  <c r="C188" i="14"/>
  <c r="C211" i="14" s="1"/>
  <c r="C213" i="14" s="1"/>
  <c r="B188" i="14"/>
  <c r="H187" i="14"/>
  <c r="D187" i="14"/>
  <c r="F186" i="14"/>
  <c r="C186" i="14"/>
  <c r="B186" i="14"/>
  <c r="H185" i="14"/>
  <c r="C185" i="14"/>
  <c r="D184" i="14"/>
  <c r="D183" i="14"/>
  <c r="H182" i="14"/>
  <c r="D182" i="14"/>
  <c r="F181" i="14"/>
  <c r="D181" i="14"/>
  <c r="D180" i="14"/>
  <c r="F179" i="14"/>
  <c r="B179" i="14"/>
  <c r="D179" i="14" s="1"/>
  <c r="B178" i="14"/>
  <c r="G159" i="14"/>
  <c r="I158" i="14"/>
  <c r="D157" i="14"/>
  <c r="D156" i="14"/>
  <c r="D154" i="14"/>
  <c r="D153" i="14"/>
  <c r="D152" i="14"/>
  <c r="D151" i="14"/>
  <c r="D150" i="14"/>
  <c r="D149" i="14"/>
  <c r="D147" i="14"/>
  <c r="D146" i="14"/>
  <c r="D145" i="14"/>
  <c r="D144" i="14"/>
  <c r="D143" i="14"/>
  <c r="D142" i="14"/>
  <c r="D141" i="14"/>
  <c r="G140" i="14"/>
  <c r="G141" i="14" s="1"/>
  <c r="D140" i="14"/>
  <c r="D139" i="14"/>
  <c r="I138" i="14"/>
  <c r="G138" i="14"/>
  <c r="D138" i="14"/>
  <c r="D137" i="14"/>
  <c r="D136" i="14"/>
  <c r="G135" i="14"/>
  <c r="D135" i="14"/>
  <c r="I134" i="14"/>
  <c r="I135" i="14" s="1"/>
  <c r="D133" i="14"/>
  <c r="D132" i="14"/>
  <c r="D131" i="14"/>
  <c r="D130" i="14"/>
  <c r="D129" i="14"/>
  <c r="B117" i="14"/>
  <c r="C114" i="14"/>
  <c r="D113" i="14"/>
  <c r="B108" i="14"/>
  <c r="B110" i="14" s="1"/>
  <c r="D107" i="14"/>
  <c r="C106" i="14"/>
  <c r="B103" i="14"/>
  <c r="D100" i="14"/>
  <c r="C99" i="14"/>
  <c r="B96" i="14"/>
  <c r="D93" i="14"/>
  <c r="C92" i="14"/>
  <c r="C86" i="14"/>
  <c r="C85" i="14"/>
  <c r="C89" i="14" s="1"/>
  <c r="B85" i="14"/>
  <c r="G82" i="14"/>
  <c r="K81" i="14"/>
  <c r="K83" i="14" s="1"/>
  <c r="I81" i="14"/>
  <c r="I83" i="14" s="1"/>
  <c r="G81" i="14"/>
  <c r="B79" i="14"/>
  <c r="B82" i="14" s="1"/>
  <c r="C78" i="14"/>
  <c r="C82" i="14" s="1"/>
  <c r="L77" i="14"/>
  <c r="J76" i="14"/>
  <c r="J81" i="14" s="1"/>
  <c r="D73" i="14"/>
  <c r="D72" i="14"/>
  <c r="C71" i="14"/>
  <c r="C75" i="14" s="1"/>
  <c r="B71" i="14"/>
  <c r="B75" i="14" s="1"/>
  <c r="B57" i="14"/>
  <c r="D55" i="14"/>
  <c r="D54" i="14"/>
  <c r="C53" i="14"/>
  <c r="D53" i="14" s="1"/>
  <c r="F51" i="14"/>
  <c r="F53" i="14" s="1"/>
  <c r="D50" i="14"/>
  <c r="B50" i="14"/>
  <c r="J46" i="14"/>
  <c r="C46" i="14"/>
  <c r="C50" i="14" s="1"/>
  <c r="B43" i="14"/>
  <c r="J41" i="14"/>
  <c r="F41" i="14"/>
  <c r="D40" i="14"/>
  <c r="I39" i="14"/>
  <c r="F39" i="14"/>
  <c r="C39" i="14"/>
  <c r="C43" i="14" s="1"/>
  <c r="F38" i="14"/>
  <c r="F40" i="14" s="1"/>
  <c r="F42" i="14" s="1"/>
  <c r="F43" i="14" s="1"/>
  <c r="D34" i="14"/>
  <c r="D33" i="14"/>
  <c r="C32" i="14"/>
  <c r="C36" i="14" s="1"/>
  <c r="B32" i="14"/>
  <c r="B36" i="14" s="1"/>
  <c r="B29" i="14"/>
  <c r="D27" i="14"/>
  <c r="D26" i="14"/>
  <c r="J25" i="14"/>
  <c r="C25" i="14"/>
  <c r="B22" i="14"/>
  <c r="G21" i="14"/>
  <c r="G22" i="14" s="1"/>
  <c r="G23" i="14" s="1"/>
  <c r="G25" i="14" s="1"/>
  <c r="D20" i="14"/>
  <c r="D19" i="14"/>
  <c r="I18" i="14"/>
  <c r="I19" i="14" s="1"/>
  <c r="C18" i="14"/>
  <c r="C22" i="14" s="1"/>
  <c r="P15" i="14"/>
  <c r="P16" i="14" s="1"/>
  <c r="O15" i="14"/>
  <c r="O16" i="14" s="1"/>
  <c r="J15" i="14"/>
  <c r="B13" i="14"/>
  <c r="C12" i="14"/>
  <c r="B12" i="14"/>
  <c r="C11" i="14"/>
  <c r="C15" i="14" s="1"/>
  <c r="J7" i="14"/>
  <c r="E15" i="16" l="1"/>
  <c r="F12" i="16"/>
  <c r="F19" i="16"/>
  <c r="F22" i="16" s="1"/>
  <c r="F26" i="16"/>
  <c r="F39" i="16"/>
  <c r="F43" i="16" s="1"/>
  <c r="F54" i="16"/>
  <c r="F75" i="16"/>
  <c r="F72" i="16"/>
  <c r="F89" i="16"/>
  <c r="F86" i="16"/>
  <c r="F103" i="16"/>
  <c r="F100" i="16"/>
  <c r="G117" i="16"/>
  <c r="F114" i="16"/>
  <c r="F133" i="16"/>
  <c r="F141" i="16"/>
  <c r="F172" i="16" s="1"/>
  <c r="F145" i="16"/>
  <c r="F151" i="16"/>
  <c r="F160" i="16"/>
  <c r="C208" i="16"/>
  <c r="I188" i="16"/>
  <c r="E220" i="16"/>
  <c r="E222" i="16" s="1"/>
  <c r="E223" i="16" s="1"/>
  <c r="G200" i="16"/>
  <c r="B199" i="14"/>
  <c r="D15" i="16"/>
  <c r="F29" i="16"/>
  <c r="F57" i="16"/>
  <c r="F117" i="16"/>
  <c r="E117" i="16"/>
  <c r="D12" i="14"/>
  <c r="D57" i="14"/>
  <c r="D85" i="14"/>
  <c r="G11" i="16"/>
  <c r="G15" i="16" s="1"/>
  <c r="G13" i="16"/>
  <c r="G25" i="16"/>
  <c r="G29" i="16" s="1"/>
  <c r="E29" i="16"/>
  <c r="G32" i="16"/>
  <c r="G36" i="16" s="1"/>
  <c r="E36" i="16"/>
  <c r="G40" i="16"/>
  <c r="G43" i="16" s="1"/>
  <c r="D43" i="16"/>
  <c r="G46" i="16"/>
  <c r="G50" i="16" s="1"/>
  <c r="G47" i="16"/>
  <c r="E50" i="16"/>
  <c r="G71" i="16"/>
  <c r="G75" i="16" s="1"/>
  <c r="E75" i="16"/>
  <c r="G78" i="16"/>
  <c r="G82" i="16" s="1"/>
  <c r="E82" i="16"/>
  <c r="G85" i="16"/>
  <c r="G89" i="16" s="1"/>
  <c r="E89" i="16"/>
  <c r="G92" i="16"/>
  <c r="G96" i="16" s="1"/>
  <c r="E96" i="16"/>
  <c r="G99" i="16"/>
  <c r="G103" i="16" s="1"/>
  <c r="E103" i="16"/>
  <c r="G106" i="16"/>
  <c r="G110" i="16" s="1"/>
  <c r="E110" i="16"/>
  <c r="G132" i="16"/>
  <c r="G134" i="16"/>
  <c r="G136" i="16"/>
  <c r="G139" i="16"/>
  <c r="G144" i="16"/>
  <c r="G147" i="16"/>
  <c r="G149" i="16"/>
  <c r="G153" i="16"/>
  <c r="G169" i="16"/>
  <c r="E172" i="16"/>
  <c r="E208" i="16" s="1"/>
  <c r="G187" i="16"/>
  <c r="G194" i="16"/>
  <c r="D207" i="16"/>
  <c r="D208" i="16" s="1"/>
  <c r="F11" i="16"/>
  <c r="F15" i="16" s="1"/>
  <c r="G18" i="16"/>
  <c r="G22" i="16" s="1"/>
  <c r="G53" i="16"/>
  <c r="G57" i="16" s="1"/>
  <c r="F187" i="16"/>
  <c r="F207" i="16" s="1"/>
  <c r="G196" i="16"/>
  <c r="C64" i="15"/>
  <c r="C33" i="15"/>
  <c r="B64" i="15"/>
  <c r="B69" i="15" s="1"/>
  <c r="D64" i="15"/>
  <c r="D13" i="15"/>
  <c r="D33" i="15" s="1"/>
  <c r="B33" i="15"/>
  <c r="D39" i="14"/>
  <c r="D43" i="14" s="1"/>
  <c r="D18" i="14"/>
  <c r="D22" i="14" s="1"/>
  <c r="C199" i="14"/>
  <c r="D186" i="14"/>
  <c r="D188" i="14"/>
  <c r="D155" i="14"/>
  <c r="D185" i="14"/>
  <c r="G83" i="14"/>
  <c r="B15" i="14"/>
  <c r="D86" i="14"/>
  <c r="D89" i="14" s="1"/>
  <c r="D134" i="14"/>
  <c r="D148" i="14"/>
  <c r="D192" i="14"/>
  <c r="P17" i="14"/>
  <c r="C214" i="14"/>
  <c r="G198" i="14"/>
  <c r="D11" i="14"/>
  <c r="D25" i="14"/>
  <c r="D29" i="14" s="1"/>
  <c r="C29" i="14"/>
  <c r="D32" i="14"/>
  <c r="D36" i="14" s="1"/>
  <c r="C57" i="14"/>
  <c r="B89" i="14"/>
  <c r="D92" i="14"/>
  <c r="D96" i="14" s="1"/>
  <c r="C96" i="14"/>
  <c r="D99" i="14"/>
  <c r="D103" i="14" s="1"/>
  <c r="C103" i="14"/>
  <c r="D106" i="14"/>
  <c r="D110" i="14" s="1"/>
  <c r="C110" i="14"/>
  <c r="D114" i="14"/>
  <c r="D117" i="14" s="1"/>
  <c r="C117" i="14"/>
  <c r="B159" i="14"/>
  <c r="C159" i="14"/>
  <c r="D178" i="14"/>
  <c r="D199" i="14" s="1"/>
  <c r="D13" i="14"/>
  <c r="D71" i="14"/>
  <c r="D75" i="14" s="1"/>
  <c r="D78" i="14"/>
  <c r="D79" i="14"/>
  <c r="B200" i="14" l="1"/>
  <c r="F208" i="16"/>
  <c r="G172" i="16"/>
  <c r="G207" i="16"/>
  <c r="G208" i="16" s="1"/>
  <c r="D159" i="14"/>
  <c r="D82" i="14"/>
  <c r="C200" i="14"/>
  <c r="D15" i="14"/>
  <c r="D200" i="14" l="1"/>
  <c r="E78" i="9"/>
  <c r="E106" i="9"/>
  <c r="E99" i="9"/>
  <c r="E92" i="9"/>
  <c r="E85" i="9"/>
  <c r="E71" i="9"/>
  <c r="E53" i="9"/>
  <c r="E46" i="9"/>
  <c r="E39" i="9"/>
  <c r="E32" i="9"/>
  <c r="E25" i="9"/>
  <c r="E18" i="9"/>
  <c r="E11" i="9"/>
  <c r="K191" i="9" l="1"/>
  <c r="I195" i="9"/>
  <c r="E93" i="9"/>
  <c r="E79" i="9"/>
  <c r="E107" i="9"/>
  <c r="E100" i="9"/>
  <c r="E86" i="9"/>
  <c r="E72" i="9"/>
  <c r="E54" i="9"/>
  <c r="E47" i="9"/>
  <c r="I51" i="9"/>
  <c r="I53" i="9" s="1"/>
  <c r="E26" i="9"/>
  <c r="E19" i="9"/>
  <c r="E12" i="9"/>
  <c r="F32" i="9"/>
  <c r="F223" i="9"/>
  <c r="F219" i="9"/>
  <c r="E218" i="9"/>
  <c r="C207" i="9"/>
  <c r="F205" i="9"/>
  <c r="F204" i="9"/>
  <c r="F203" i="9"/>
  <c r="G202" i="9"/>
  <c r="F202" i="9"/>
  <c r="G201" i="9"/>
  <c r="F201" i="9"/>
  <c r="E200" i="9"/>
  <c r="F200" i="9" s="1"/>
  <c r="D200" i="9"/>
  <c r="G199" i="9"/>
  <c r="F199" i="9"/>
  <c r="G198" i="9"/>
  <c r="F198" i="9"/>
  <c r="G197" i="9"/>
  <c r="F197" i="9"/>
  <c r="E196" i="9"/>
  <c r="F196" i="9" s="1"/>
  <c r="F195" i="9"/>
  <c r="D195" i="9"/>
  <c r="G195" i="9" s="1"/>
  <c r="E194" i="9"/>
  <c r="F194" i="9" s="1"/>
  <c r="D194" i="9"/>
  <c r="G193" i="9"/>
  <c r="F193" i="9"/>
  <c r="G192" i="9"/>
  <c r="F192" i="9"/>
  <c r="G191" i="9"/>
  <c r="F191" i="9"/>
  <c r="I190" i="9"/>
  <c r="G190" i="9"/>
  <c r="F190" i="9"/>
  <c r="G189" i="9"/>
  <c r="F189" i="9"/>
  <c r="F188" i="9"/>
  <c r="E188" i="9"/>
  <c r="G188" i="9" s="1"/>
  <c r="E187" i="9"/>
  <c r="E207" i="9" s="1"/>
  <c r="D187" i="9"/>
  <c r="E175" i="9"/>
  <c r="F174" i="9"/>
  <c r="D172" i="9"/>
  <c r="C172" i="9"/>
  <c r="G171" i="9"/>
  <c r="E169" i="9"/>
  <c r="F169" i="9" s="1"/>
  <c r="G168" i="9"/>
  <c r="F168" i="9"/>
  <c r="E167" i="9"/>
  <c r="G167" i="9" s="1"/>
  <c r="G166" i="9"/>
  <c r="F166" i="9"/>
  <c r="G165" i="9"/>
  <c r="F165" i="9"/>
  <c r="G164" i="9"/>
  <c r="F164" i="9"/>
  <c r="G163" i="9"/>
  <c r="F163" i="9"/>
  <c r="G162" i="9"/>
  <c r="F162" i="9"/>
  <c r="F161" i="9"/>
  <c r="E160" i="9"/>
  <c r="G160" i="9" s="1"/>
  <c r="G159" i="9"/>
  <c r="F159" i="9"/>
  <c r="I158" i="9"/>
  <c r="G158" i="9"/>
  <c r="F158" i="9"/>
  <c r="F157" i="9"/>
  <c r="E157" i="9"/>
  <c r="G157" i="9" s="1"/>
  <c r="G156" i="9"/>
  <c r="F156" i="9"/>
  <c r="G155" i="9"/>
  <c r="F155" i="9"/>
  <c r="G154" i="9"/>
  <c r="F154" i="9"/>
  <c r="E153" i="9"/>
  <c r="F153" i="9" s="1"/>
  <c r="G152" i="9"/>
  <c r="F152" i="9"/>
  <c r="E151" i="9"/>
  <c r="G151" i="9" s="1"/>
  <c r="G150" i="9"/>
  <c r="F150" i="9"/>
  <c r="E149" i="9"/>
  <c r="F149" i="9" s="1"/>
  <c r="E148" i="9"/>
  <c r="G148" i="9" s="1"/>
  <c r="E147" i="9"/>
  <c r="F147" i="9" s="1"/>
  <c r="G146" i="9"/>
  <c r="F146" i="9"/>
  <c r="E145" i="9"/>
  <c r="G145" i="9" s="1"/>
  <c r="E144" i="9"/>
  <c r="F144" i="9" s="1"/>
  <c r="F143" i="9"/>
  <c r="E143" i="9"/>
  <c r="G143" i="9" s="1"/>
  <c r="F142" i="9"/>
  <c r="E142" i="9"/>
  <c r="G142" i="9" s="1"/>
  <c r="J141" i="9"/>
  <c r="J142" i="9" s="1"/>
  <c r="E141" i="9"/>
  <c r="G141" i="9" s="1"/>
  <c r="G140" i="9"/>
  <c r="F140" i="9"/>
  <c r="L139" i="9"/>
  <c r="J139" i="9"/>
  <c r="E139" i="9"/>
  <c r="F139" i="9" s="1"/>
  <c r="E138" i="9"/>
  <c r="G138" i="9" s="1"/>
  <c r="G137" i="9"/>
  <c r="F137" i="9"/>
  <c r="J136" i="9"/>
  <c r="E136" i="9"/>
  <c r="F136" i="9" s="1"/>
  <c r="L135" i="9"/>
  <c r="L136" i="9" s="1"/>
  <c r="G135" i="9"/>
  <c r="F135" i="9"/>
  <c r="E134" i="9"/>
  <c r="F134" i="9" s="1"/>
  <c r="E133" i="9"/>
  <c r="G133" i="9" s="1"/>
  <c r="E132" i="9"/>
  <c r="F132" i="9" s="1"/>
  <c r="E131" i="9"/>
  <c r="G131" i="9" s="1"/>
  <c r="G130" i="9"/>
  <c r="F130" i="9"/>
  <c r="D117" i="9"/>
  <c r="C117" i="9"/>
  <c r="E114" i="9"/>
  <c r="G114" i="9" s="1"/>
  <c r="G113" i="9"/>
  <c r="G117" i="9" s="1"/>
  <c r="F113" i="9"/>
  <c r="C110" i="9"/>
  <c r="F107" i="9"/>
  <c r="G107" i="9"/>
  <c r="F106" i="9"/>
  <c r="F110" i="9" s="1"/>
  <c r="D106" i="9"/>
  <c r="D110" i="9" s="1"/>
  <c r="C103" i="9"/>
  <c r="F100" i="9"/>
  <c r="G100" i="9"/>
  <c r="F99" i="9"/>
  <c r="D99" i="9"/>
  <c r="D103" i="9" s="1"/>
  <c r="C96" i="9"/>
  <c r="F93" i="9"/>
  <c r="G93" i="9"/>
  <c r="F92" i="9"/>
  <c r="F96" i="9" s="1"/>
  <c r="D92" i="9"/>
  <c r="D96" i="9" s="1"/>
  <c r="C89" i="9"/>
  <c r="F86" i="9"/>
  <c r="G86" i="9"/>
  <c r="F85" i="9"/>
  <c r="F89" i="9" s="1"/>
  <c r="D85" i="9"/>
  <c r="D89" i="9" s="1"/>
  <c r="J82" i="9"/>
  <c r="C82" i="9"/>
  <c r="N81" i="9"/>
  <c r="N83" i="9" s="1"/>
  <c r="L81" i="9"/>
  <c r="L83" i="9" s="1"/>
  <c r="J81" i="9"/>
  <c r="J83" i="9" s="1"/>
  <c r="F79" i="9"/>
  <c r="G79" i="9"/>
  <c r="F78" i="9"/>
  <c r="F82" i="9" s="1"/>
  <c r="D78" i="9"/>
  <c r="D82" i="9" s="1"/>
  <c r="O77" i="9"/>
  <c r="M76" i="9"/>
  <c r="M81" i="9" s="1"/>
  <c r="C75" i="9"/>
  <c r="G73" i="9"/>
  <c r="F73" i="9"/>
  <c r="F72" i="9"/>
  <c r="G72" i="9"/>
  <c r="F71" i="9"/>
  <c r="F75" i="9" s="1"/>
  <c r="D71" i="9"/>
  <c r="D75" i="9" s="1"/>
  <c r="C57" i="9"/>
  <c r="G55" i="9"/>
  <c r="F55" i="9"/>
  <c r="F54" i="9"/>
  <c r="G54" i="9"/>
  <c r="F53" i="9"/>
  <c r="D53" i="9"/>
  <c r="D57" i="9" s="1"/>
  <c r="C50" i="9"/>
  <c r="G48" i="9"/>
  <c r="F48" i="9"/>
  <c r="F47" i="9"/>
  <c r="M46" i="9"/>
  <c r="F46" i="9"/>
  <c r="F50" i="9" s="1"/>
  <c r="D46" i="9"/>
  <c r="C43" i="9"/>
  <c r="M41" i="9"/>
  <c r="I41" i="9"/>
  <c r="E40" i="9"/>
  <c r="F40" i="9" s="1"/>
  <c r="L39" i="9"/>
  <c r="I39" i="9"/>
  <c r="F39" i="9"/>
  <c r="F43" i="9" s="1"/>
  <c r="E43" i="9"/>
  <c r="D39" i="9"/>
  <c r="G39" i="9" s="1"/>
  <c r="I38" i="9"/>
  <c r="I40" i="9" s="1"/>
  <c r="I42" i="9" s="1"/>
  <c r="I43" i="9" s="1"/>
  <c r="C36" i="9"/>
  <c r="E33" i="9"/>
  <c r="G33" i="9" s="1"/>
  <c r="D32" i="9"/>
  <c r="D36" i="9" s="1"/>
  <c r="C29" i="9"/>
  <c r="G27" i="9"/>
  <c r="F27" i="9"/>
  <c r="F26" i="9"/>
  <c r="G26" i="9"/>
  <c r="M25" i="9"/>
  <c r="F25" i="9"/>
  <c r="F29" i="9" s="1"/>
  <c r="D25" i="9"/>
  <c r="D29" i="9" s="1"/>
  <c r="E22" i="9"/>
  <c r="C22" i="9"/>
  <c r="J21" i="9"/>
  <c r="J22" i="9" s="1"/>
  <c r="J23" i="9" s="1"/>
  <c r="J25" i="9" s="1"/>
  <c r="G20" i="9"/>
  <c r="F20" i="9"/>
  <c r="F19" i="9"/>
  <c r="G19" i="9"/>
  <c r="L18" i="9"/>
  <c r="L19" i="9" s="1"/>
  <c r="F18" i="9"/>
  <c r="F22" i="9" s="1"/>
  <c r="D18" i="9"/>
  <c r="D22" i="9" s="1"/>
  <c r="S15" i="9"/>
  <c r="S16" i="9" s="1"/>
  <c r="R15" i="9"/>
  <c r="R16" i="9" s="1"/>
  <c r="M15" i="9"/>
  <c r="C15" i="9"/>
  <c r="F13" i="9"/>
  <c r="D13" i="9"/>
  <c r="F12" i="9"/>
  <c r="G12" i="9"/>
  <c r="E15" i="9"/>
  <c r="D11" i="9"/>
  <c r="M7" i="9"/>
  <c r="F57" i="9" l="1"/>
  <c r="F131" i="9"/>
  <c r="F138" i="9"/>
  <c r="F148" i="9"/>
  <c r="G200" i="9"/>
  <c r="F114" i="9"/>
  <c r="F133" i="9"/>
  <c r="F141" i="9"/>
  <c r="F145" i="9"/>
  <c r="F151" i="9"/>
  <c r="F160" i="9"/>
  <c r="C208" i="9"/>
  <c r="I188" i="9"/>
  <c r="G194" i="9"/>
  <c r="D15" i="9"/>
  <c r="S17" i="9"/>
  <c r="F33" i="9"/>
  <c r="F36" i="9" s="1"/>
  <c r="F117" i="9"/>
  <c r="E117" i="9"/>
  <c r="F167" i="9"/>
  <c r="E220" i="9"/>
  <c r="E222" i="9" s="1"/>
  <c r="F103" i="9"/>
  <c r="E223" i="9"/>
  <c r="G11" i="9"/>
  <c r="G13" i="9"/>
  <c r="G25" i="9"/>
  <c r="G29" i="9" s="1"/>
  <c r="E29" i="9"/>
  <c r="G32" i="9"/>
  <c r="G36" i="9" s="1"/>
  <c r="E36" i="9"/>
  <c r="G40" i="9"/>
  <c r="G43" i="9" s="1"/>
  <c r="D43" i="9"/>
  <c r="G46" i="9"/>
  <c r="G47" i="9"/>
  <c r="E50" i="9"/>
  <c r="G53" i="9"/>
  <c r="G57" i="9" s="1"/>
  <c r="E57" i="9"/>
  <c r="G71" i="9"/>
  <c r="G75" i="9" s="1"/>
  <c r="E75" i="9"/>
  <c r="G78" i="9"/>
  <c r="G82" i="9" s="1"/>
  <c r="E82" i="9"/>
  <c r="G85" i="9"/>
  <c r="G89" i="9" s="1"/>
  <c r="E89" i="9"/>
  <c r="G92" i="9"/>
  <c r="G96" i="9" s="1"/>
  <c r="E96" i="9"/>
  <c r="G99" i="9"/>
  <c r="G103" i="9" s="1"/>
  <c r="E103" i="9"/>
  <c r="G106" i="9"/>
  <c r="G110" i="9" s="1"/>
  <c r="E110" i="9"/>
  <c r="G132" i="9"/>
  <c r="G134" i="9"/>
  <c r="G136" i="9"/>
  <c r="G139" i="9"/>
  <c r="G144" i="9"/>
  <c r="G147" i="9"/>
  <c r="G149" i="9"/>
  <c r="G153" i="9"/>
  <c r="G169" i="9"/>
  <c r="E172" i="9"/>
  <c r="G187" i="9"/>
  <c r="D207" i="9"/>
  <c r="D208" i="9" s="1"/>
  <c r="F11" i="9"/>
  <c r="F15" i="9" s="1"/>
  <c r="G18" i="9"/>
  <c r="G22" i="9" s="1"/>
  <c r="F187" i="9"/>
  <c r="F207" i="9" s="1"/>
  <c r="G196" i="9"/>
  <c r="K6" i="8"/>
  <c r="I5" i="8"/>
  <c r="K9" i="8" s="1"/>
  <c r="E18" i="8"/>
  <c r="F16" i="8"/>
  <c r="F9" i="8"/>
  <c r="D5" i="8"/>
  <c r="E5" i="8" s="1"/>
  <c r="C5" i="8"/>
  <c r="C4" i="8"/>
  <c r="D4" i="8" s="1"/>
  <c r="E4" i="8" s="1"/>
  <c r="C3" i="8"/>
  <c r="D3" i="8" s="1"/>
  <c r="E3" i="8" s="1"/>
  <c r="B2" i="8"/>
  <c r="C2" i="8" s="1"/>
  <c r="D2" i="8" s="1"/>
  <c r="E2" i="8" s="1"/>
  <c r="C1" i="8"/>
  <c r="D1" i="8" s="1"/>
  <c r="E1" i="8" s="1"/>
  <c r="E208" i="9" l="1"/>
  <c r="F172" i="9"/>
  <c r="G50" i="9"/>
  <c r="G15" i="9"/>
  <c r="F208" i="9"/>
  <c r="G172" i="9"/>
  <c r="G207" i="9"/>
  <c r="E6" i="8"/>
  <c r="E19" i="8" s="1"/>
  <c r="D190" i="1"/>
  <c r="D159" i="1"/>
  <c r="D115" i="1"/>
  <c r="D104" i="1"/>
  <c r="D108" i="1" s="1"/>
  <c r="D97" i="1"/>
  <c r="D101" i="1" s="1"/>
  <c r="D90" i="1"/>
  <c r="D94" i="1" s="1"/>
  <c r="D83" i="1"/>
  <c r="D87" i="1" s="1"/>
  <c r="D76" i="1"/>
  <c r="D80" i="1" s="1"/>
  <c r="D69" i="1"/>
  <c r="D73" i="1" s="1"/>
  <c r="D53" i="1"/>
  <c r="D57" i="1" s="1"/>
  <c r="D46" i="1"/>
  <c r="D39" i="1"/>
  <c r="D43" i="1" s="1"/>
  <c r="D32" i="1"/>
  <c r="D36" i="1" s="1"/>
  <c r="D25" i="1"/>
  <c r="D29" i="1" s="1"/>
  <c r="D22" i="1"/>
  <c r="D15" i="1"/>
  <c r="D50" i="1" l="1"/>
  <c r="D199" i="1"/>
  <c r="D191" i="1"/>
  <c r="G208" i="9"/>
  <c r="I177" i="1"/>
  <c r="I175" i="1"/>
  <c r="F11" i="1"/>
  <c r="C159" i="1"/>
  <c r="F151" i="1"/>
  <c r="D200" i="1" l="1"/>
  <c r="D206" i="1" s="1"/>
  <c r="S15" i="1"/>
  <c r="S16" i="1" s="1"/>
  <c r="R15" i="1"/>
  <c r="R16" i="1" s="1"/>
  <c r="M25" i="1"/>
  <c r="L39" i="1"/>
  <c r="M41" i="1"/>
  <c r="M15" i="1"/>
  <c r="M7" i="1"/>
  <c r="L19" i="1"/>
  <c r="L18" i="1"/>
  <c r="J21" i="1"/>
  <c r="J22" i="1" s="1"/>
  <c r="J23" i="1" s="1"/>
  <c r="J25" i="1" s="1"/>
  <c r="S17" i="1" l="1"/>
  <c r="G188" i="1" l="1"/>
  <c r="G187" i="1"/>
  <c r="G186" i="1"/>
  <c r="G185" i="1"/>
  <c r="G183" i="1"/>
  <c r="G182" i="1"/>
  <c r="G180" i="1"/>
  <c r="G179" i="1"/>
  <c r="G178" i="1"/>
  <c r="G177" i="1"/>
  <c r="G176" i="1"/>
  <c r="G175" i="1"/>
  <c r="G174" i="1"/>
  <c r="F188" i="1"/>
  <c r="F187" i="1"/>
  <c r="F186" i="1"/>
  <c r="F185" i="1"/>
  <c r="F183" i="1"/>
  <c r="F182" i="1"/>
  <c r="F180" i="1"/>
  <c r="F179" i="1"/>
  <c r="F178" i="1"/>
  <c r="F177" i="1"/>
  <c r="F176" i="1"/>
  <c r="F175" i="1"/>
  <c r="F174" i="1"/>
  <c r="E190" i="1"/>
  <c r="G158" i="1"/>
  <c r="G157" i="1"/>
  <c r="G155" i="1"/>
  <c r="G154" i="1"/>
  <c r="G153" i="1"/>
  <c r="G152" i="1"/>
  <c r="G150" i="1"/>
  <c r="G145" i="1"/>
  <c r="G144" i="1"/>
  <c r="G142" i="1"/>
  <c r="G140" i="1"/>
  <c r="G139" i="1"/>
  <c r="G138" i="1"/>
  <c r="G128" i="1"/>
  <c r="F157" i="1"/>
  <c r="F155" i="1"/>
  <c r="F154" i="1"/>
  <c r="F153" i="1"/>
  <c r="F152" i="1"/>
  <c r="F150" i="1"/>
  <c r="F145" i="1"/>
  <c r="F144" i="1"/>
  <c r="F142" i="1"/>
  <c r="F140" i="1"/>
  <c r="F139" i="1"/>
  <c r="F138" i="1"/>
  <c r="F128" i="1"/>
  <c r="E159" i="1"/>
  <c r="E80" i="1"/>
  <c r="E115" i="1"/>
  <c r="F190" i="1" l="1"/>
  <c r="G190" i="1"/>
  <c r="E164" i="1"/>
  <c r="G159" i="1"/>
  <c r="F159" i="1"/>
  <c r="J145" i="1"/>
  <c r="E108" i="1"/>
  <c r="E101" i="1"/>
  <c r="C115" i="1"/>
  <c r="C108" i="1"/>
  <c r="C101" i="1"/>
  <c r="C94" i="1"/>
  <c r="E94" i="1"/>
  <c r="C87" i="1"/>
  <c r="E87" i="1"/>
  <c r="C80" i="1"/>
  <c r="C73" i="1"/>
  <c r="E73" i="1"/>
  <c r="C57" i="1"/>
  <c r="E57" i="1"/>
  <c r="C50" i="1"/>
  <c r="E50" i="1"/>
  <c r="C43" i="1"/>
  <c r="E43" i="1"/>
  <c r="C36" i="1"/>
  <c r="E36" i="1"/>
  <c r="E29" i="1"/>
  <c r="E22" i="1"/>
  <c r="G112" i="1"/>
  <c r="F112" i="1"/>
  <c r="G111" i="1"/>
  <c r="G115" i="1" s="1"/>
  <c r="F111" i="1"/>
  <c r="G105" i="1"/>
  <c r="F105" i="1"/>
  <c r="G104" i="1"/>
  <c r="F104" i="1"/>
  <c r="G98" i="1"/>
  <c r="F98" i="1"/>
  <c r="G97" i="1"/>
  <c r="G101" i="1" s="1"/>
  <c r="F97" i="1"/>
  <c r="G91" i="1"/>
  <c r="F91" i="1"/>
  <c r="G90" i="1"/>
  <c r="F90" i="1"/>
  <c r="G84" i="1"/>
  <c r="F84" i="1"/>
  <c r="G83" i="1"/>
  <c r="G87" i="1" s="1"/>
  <c r="F83" i="1"/>
  <c r="G77" i="1"/>
  <c r="F77" i="1"/>
  <c r="G76" i="1"/>
  <c r="F76" i="1"/>
  <c r="G71" i="1"/>
  <c r="F71" i="1"/>
  <c r="G70" i="1"/>
  <c r="F70" i="1"/>
  <c r="G69" i="1"/>
  <c r="F69" i="1"/>
  <c r="G55" i="1"/>
  <c r="F55" i="1"/>
  <c r="G54" i="1"/>
  <c r="F54" i="1"/>
  <c r="G53" i="1"/>
  <c r="F53" i="1"/>
  <c r="G48" i="1"/>
  <c r="F48" i="1"/>
  <c r="G47" i="1"/>
  <c r="F47" i="1"/>
  <c r="G46" i="1"/>
  <c r="F46" i="1"/>
  <c r="G40" i="1"/>
  <c r="F40" i="1"/>
  <c r="G39" i="1"/>
  <c r="F39" i="1"/>
  <c r="G33" i="1"/>
  <c r="F33" i="1"/>
  <c r="G32" i="1"/>
  <c r="F32" i="1"/>
  <c r="G27" i="1"/>
  <c r="F27" i="1"/>
  <c r="G26" i="1"/>
  <c r="F26" i="1"/>
  <c r="G25" i="1"/>
  <c r="F25" i="1"/>
  <c r="G20" i="1"/>
  <c r="F20" i="1"/>
  <c r="G19" i="1"/>
  <c r="F19" i="1"/>
  <c r="G18" i="1"/>
  <c r="F18" i="1"/>
  <c r="C29" i="1"/>
  <c r="E15" i="1"/>
  <c r="C22" i="1"/>
  <c r="C15" i="1"/>
  <c r="G13" i="1"/>
  <c r="G11" i="1"/>
  <c r="F13" i="1"/>
  <c r="F12" i="1"/>
  <c r="C191" i="1" l="1"/>
  <c r="E118" i="1"/>
  <c r="F101" i="1"/>
  <c r="G43" i="1"/>
  <c r="F80" i="1"/>
  <c r="F108" i="1"/>
  <c r="F87" i="1"/>
  <c r="G108" i="1"/>
  <c r="G94" i="1"/>
  <c r="G36" i="1"/>
  <c r="G80" i="1"/>
  <c r="E191" i="1"/>
  <c r="E194" i="1" s="1"/>
  <c r="F94" i="1"/>
  <c r="F115" i="1"/>
  <c r="F43" i="1"/>
  <c r="F36" i="1"/>
  <c r="G22" i="1"/>
  <c r="G29" i="1"/>
  <c r="G57" i="1"/>
  <c r="G73" i="1"/>
  <c r="F22" i="1"/>
  <c r="F29" i="1"/>
  <c r="F50" i="1"/>
  <c r="F57" i="1"/>
  <c r="F73" i="1"/>
  <c r="G50" i="1"/>
  <c r="F15" i="1"/>
  <c r="G12" i="1"/>
  <c r="G15" i="1" s="1"/>
  <c r="E208" i="1" l="1"/>
  <c r="G203" i="1"/>
  <c r="E207" i="1"/>
  <c r="G191" i="1"/>
  <c r="F191" i="1"/>
</calcChain>
</file>

<file path=xl/sharedStrings.xml><?xml version="1.0" encoding="utf-8"?>
<sst xmlns="http://schemas.openxmlformats.org/spreadsheetml/2006/main" count="3493" uniqueCount="251">
  <si>
    <t>Local Government Unit-Tolosa, Leyte</t>
  </si>
  <si>
    <t>STATEMENT OF APPROPRIATIONS, ALLOTMENTS, OBLIGATIONS AND BALANCES</t>
  </si>
  <si>
    <t>GENERAL FUND</t>
  </si>
  <si>
    <t>CODE</t>
  </si>
  <si>
    <t>FUNCTION/PROGRAM/PROJECT</t>
  </si>
  <si>
    <t>APPROPRIATIONS</t>
  </si>
  <si>
    <t>ALLOTMENTS</t>
  </si>
  <si>
    <t xml:space="preserve">OBLIGATIONS </t>
  </si>
  <si>
    <t>BALANCES OF</t>
  </si>
  <si>
    <t>GENERAL PUBLIC SERVICES</t>
  </si>
  <si>
    <t>Office of the Municipal Mayor</t>
  </si>
  <si>
    <t>Personal Services</t>
  </si>
  <si>
    <t>Maintenance and Other Operating Expenses</t>
  </si>
  <si>
    <t xml:space="preserve">Capital Outlay </t>
  </si>
  <si>
    <t>Financial Expenses</t>
  </si>
  <si>
    <t>Office of the Municipal Planning &amp; Development Coordinator</t>
  </si>
  <si>
    <t>Office of the Municipal Registrar</t>
  </si>
  <si>
    <t>Office of the Municipal Budget Officer</t>
  </si>
  <si>
    <t>Office of the Municipal Accountant</t>
  </si>
  <si>
    <t>Office of the Municipal Treasurer</t>
  </si>
  <si>
    <t>Office of the Municipal Assessor</t>
  </si>
  <si>
    <t>General Services Office</t>
  </si>
  <si>
    <t>Office of the Municipal Health Officer</t>
  </si>
  <si>
    <t>Municipal Social Welfare and Development Office</t>
  </si>
  <si>
    <t>Office of the Municipal Agriculturist</t>
  </si>
  <si>
    <t>Office of the Municipal Engineer</t>
  </si>
  <si>
    <t>Municipal Business Enterprise</t>
  </si>
  <si>
    <t>Total</t>
  </si>
  <si>
    <t>Office of the Sangguniang Bayan</t>
  </si>
  <si>
    <t>20% DF</t>
  </si>
  <si>
    <t>Maintenance of Gymnasium</t>
  </si>
  <si>
    <t>Tourism and Other Cultural Activities</t>
  </si>
  <si>
    <t>Clean and Green Program</t>
  </si>
  <si>
    <t>Sports Development</t>
  </si>
  <si>
    <t>Maintenance of Peace and Order</t>
  </si>
  <si>
    <t>Municipal Volunteer Program</t>
  </si>
  <si>
    <t>Support to GTZ Programs</t>
  </si>
  <si>
    <t>Local Product Promotion</t>
  </si>
  <si>
    <t>MDC Operation</t>
  </si>
  <si>
    <t>Revision of CLUP</t>
  </si>
  <si>
    <t>BIDANI (BMIS/CBMS)</t>
  </si>
  <si>
    <t>Support to Brgy. Health Programs</t>
  </si>
  <si>
    <t>Nutrition Program</t>
  </si>
  <si>
    <t>Population Program</t>
  </si>
  <si>
    <t>Bloodletting</t>
  </si>
  <si>
    <t>Support to Day Care Program</t>
  </si>
  <si>
    <t>Capability Building for DCWs</t>
  </si>
  <si>
    <t>Other Mandated Social Services Programs</t>
  </si>
  <si>
    <t>Livelihood Skills Training</t>
  </si>
  <si>
    <t>Drainage Maintenance for Barangays</t>
  </si>
  <si>
    <t>Agricultural Extension Program (Cap. Bldg.)</t>
  </si>
  <si>
    <t>Coastal Fishery Resource Mgt. Program</t>
  </si>
  <si>
    <t>Support to Fishery Alliance</t>
  </si>
  <si>
    <t>Non-Office Expenditures</t>
  </si>
  <si>
    <t>5% Calamity Fund</t>
  </si>
  <si>
    <t>Aid to Barangays</t>
  </si>
  <si>
    <t>Death Indemnity</t>
  </si>
  <si>
    <t>GAD</t>
  </si>
  <si>
    <t>Monetization of Leave Credits (Lumpsum)</t>
  </si>
  <si>
    <t>Other Personnel Benefits (Lumpsum)</t>
  </si>
  <si>
    <t>PHILHEALTH Pang Masa</t>
  </si>
  <si>
    <t>Volunteerism Program</t>
  </si>
  <si>
    <t>Equity for the Construction of</t>
  </si>
  <si>
    <t>Administrative Building</t>
  </si>
  <si>
    <t>Grand Total</t>
  </si>
  <si>
    <t>Prepared by:</t>
  </si>
  <si>
    <t>LOIDA A. PALANA</t>
  </si>
  <si>
    <t>Municipal Budget Officer</t>
  </si>
  <si>
    <t>Brgy. Road Maint.</t>
  </si>
  <si>
    <t>Plaza Maint.</t>
  </si>
  <si>
    <t>Gym Maint.</t>
  </si>
  <si>
    <t>Bldg. Maint.</t>
  </si>
  <si>
    <t>Volunteer</t>
  </si>
  <si>
    <t>Coastal resource</t>
  </si>
  <si>
    <t>Clean &amp; Green</t>
  </si>
  <si>
    <t>Dumpsite</t>
  </si>
  <si>
    <t>LGU</t>
  </si>
  <si>
    <t>Provincial Aid</t>
  </si>
  <si>
    <t>Tindas</t>
  </si>
  <si>
    <t>20,000 Provincial Aid</t>
  </si>
  <si>
    <t>34,000 solicitation</t>
  </si>
  <si>
    <t>Mayor</t>
  </si>
  <si>
    <t>Food</t>
  </si>
  <si>
    <t>sounds and lights</t>
  </si>
  <si>
    <t>Rowena</t>
  </si>
  <si>
    <t>trust solicitation</t>
  </si>
  <si>
    <t>subsidy candidates and honorarium</t>
  </si>
  <si>
    <t>music and mix</t>
  </si>
  <si>
    <t>men in stripes</t>
  </si>
  <si>
    <t>Harana</t>
  </si>
  <si>
    <t>Kelly</t>
  </si>
  <si>
    <t>boquet</t>
  </si>
  <si>
    <t>honorarium de paz</t>
  </si>
  <si>
    <t>Repair &amp; Maint. of Municipal Vehicles &amp; Equip</t>
  </si>
  <si>
    <t>Maintenance of Mun. Dumpsite</t>
  </si>
  <si>
    <t>Counterpart Fund for Dev. Undertakings/ARcp2</t>
  </si>
  <si>
    <t>Barangayan/Gui-os Brangay</t>
  </si>
  <si>
    <t>LUB-BDP Updating</t>
  </si>
  <si>
    <t>Development of ICT &amp; Cec Operation</t>
  </si>
  <si>
    <t>Const. of Municipal Bldg.</t>
  </si>
  <si>
    <t>Counterpart Fund for Brgy. Priority P/P/As</t>
  </si>
  <si>
    <t>Assessment - Gen. Revision</t>
  </si>
  <si>
    <t>Animal Health Care Management</t>
  </si>
  <si>
    <t>Equity Fund for Dev. Undertakings/Irrigation</t>
  </si>
  <si>
    <t>Infres-Loan Payment</t>
  </si>
  <si>
    <t>Purchase of Medicines and Medical Supplies</t>
  </si>
  <si>
    <t>Capability Building for BHWs</t>
  </si>
  <si>
    <t>Health Reform/Family Health Book</t>
  </si>
  <si>
    <t>Gender and Development</t>
  </si>
  <si>
    <t>Maintenance of Parks and Plaza</t>
  </si>
  <si>
    <t>Maintenance of Mun. /Brgy. Roads</t>
  </si>
  <si>
    <t>BAC Operations</t>
  </si>
  <si>
    <t>Municipal/Brgy. Road Maintenance</t>
  </si>
  <si>
    <t>Municipal Vehicle Maintenance</t>
  </si>
  <si>
    <t>Municipal Gym Rehabilitation</t>
  </si>
  <si>
    <t>Purchase of Jetmatic Pumps</t>
  </si>
  <si>
    <t>Purchase of Multicab (Additional Fund)</t>
  </si>
  <si>
    <t>Purchase of Transformer 50KW</t>
  </si>
  <si>
    <t>mun. bldg. maint.</t>
  </si>
  <si>
    <t>const. of mun. bldg.</t>
  </si>
  <si>
    <t>non-office</t>
  </si>
  <si>
    <t>gym rehab</t>
  </si>
  <si>
    <t>September 2011</t>
  </si>
  <si>
    <t>Terminal Leave Benefits</t>
  </si>
  <si>
    <t>Road M.</t>
  </si>
  <si>
    <t>GTZ</t>
  </si>
  <si>
    <t>mmo</t>
  </si>
  <si>
    <t>mho</t>
  </si>
  <si>
    <t>non-vol</t>
  </si>
  <si>
    <t>Non-bldg.</t>
  </si>
  <si>
    <t>GAD 20%</t>
  </si>
  <si>
    <t>GAD -Non</t>
  </si>
  <si>
    <t>EXPENDITURES</t>
  </si>
  <si>
    <t>ENGR. BEATRIZ B. TANGPUZ</t>
  </si>
  <si>
    <t>Planning Officer 1</t>
  </si>
  <si>
    <t>Noted:</t>
  </si>
  <si>
    <t>ERWIN C. OCANA</t>
  </si>
  <si>
    <t>Municipal Mayor</t>
  </si>
  <si>
    <t>Purchase of 1 set Computer w/ Printer (MSWDO)</t>
  </si>
  <si>
    <t>MHO</t>
  </si>
  <si>
    <t>MSWDO</t>
  </si>
  <si>
    <t>OMA</t>
  </si>
  <si>
    <t>DILG</t>
  </si>
  <si>
    <t>TOTAL</t>
  </si>
  <si>
    <t>SPECIAL EDUCATION  FUND</t>
  </si>
  <si>
    <t>December 2011</t>
  </si>
  <si>
    <t>Tolosa Day</t>
  </si>
  <si>
    <t>Tolo-usa Festival</t>
  </si>
  <si>
    <t>Signal Day</t>
  </si>
  <si>
    <t>Christmas Festival</t>
  </si>
  <si>
    <t>Support to GTZ-NRG</t>
  </si>
  <si>
    <t>Development Planning-NRG</t>
  </si>
  <si>
    <t>Support to Barangay Health Programs</t>
  </si>
  <si>
    <t>Agri/Fisheries Development &amp; Livelihood Projects</t>
  </si>
  <si>
    <t>Agri Extention Program (Cap Bldg.)</t>
  </si>
  <si>
    <t>Product Promotion</t>
  </si>
  <si>
    <t xml:space="preserve"> </t>
  </si>
  <si>
    <t>Purchase of Medicines</t>
  </si>
  <si>
    <t>Local Health Zone</t>
  </si>
  <si>
    <t>Counterpart Funds for Infra Projects</t>
  </si>
  <si>
    <t>ps</t>
  </si>
  <si>
    <t>mooe</t>
  </si>
  <si>
    <t>Appropriation</t>
  </si>
  <si>
    <t>Expenditures</t>
  </si>
  <si>
    <t>JANUARY 2012</t>
  </si>
  <si>
    <t>October 2012</t>
  </si>
  <si>
    <t>Total Income as of October 2012</t>
  </si>
  <si>
    <t>Balance?????? Hehhee</t>
  </si>
  <si>
    <t xml:space="preserve">  </t>
  </si>
  <si>
    <t>5% GENDER AND DEVELOPMENT UTILIZATION</t>
  </si>
  <si>
    <t>Women's Welfare Program</t>
  </si>
  <si>
    <t>Youth Welfare Program</t>
  </si>
  <si>
    <t>YOLANDA F. CANTOS</t>
  </si>
  <si>
    <t>Social Welfare Assistant</t>
  </si>
  <si>
    <t>January 2013</t>
  </si>
  <si>
    <t>5% GAD</t>
  </si>
  <si>
    <t>1% Senior Citizen/PWD</t>
  </si>
  <si>
    <t>1% Local Council for the Protection of Children</t>
  </si>
  <si>
    <t>Election Expenses</t>
  </si>
  <si>
    <t>IEC-Information, Education Campaign</t>
  </si>
  <si>
    <t>Construction of Common Service Facility</t>
  </si>
  <si>
    <t>Search for Outstanding Barangay</t>
  </si>
  <si>
    <t>February 2013</t>
  </si>
  <si>
    <t>March 2013</t>
  </si>
  <si>
    <t>SWMP-Garbage Collection</t>
  </si>
  <si>
    <t>May 2013</t>
  </si>
  <si>
    <t>non 0ffice</t>
  </si>
  <si>
    <t>June 2013</t>
  </si>
  <si>
    <t>August 2013</t>
  </si>
  <si>
    <t>BDR</t>
  </si>
  <si>
    <t>Senior</t>
  </si>
  <si>
    <t>PS</t>
  </si>
  <si>
    <t>MOOE</t>
  </si>
  <si>
    <t>SB</t>
  </si>
  <si>
    <t>MACCO</t>
  </si>
  <si>
    <t>Plaza M.</t>
  </si>
  <si>
    <t>FY-2013</t>
  </si>
  <si>
    <t>20% of IRA COMPONENT UTILIZATION (Fourth Quarter)</t>
  </si>
  <si>
    <t>Tourism and other Cultural Activities</t>
  </si>
  <si>
    <t>Development - NRG</t>
  </si>
  <si>
    <t>IEC (Information, Education Campaign</t>
  </si>
  <si>
    <t>Maintenance of Mun./Brgy. Roads</t>
  </si>
  <si>
    <t>InfRES Loan Payment</t>
  </si>
  <si>
    <t>Instructional Materials/Daycare Subsidiy</t>
  </si>
  <si>
    <t>Pantawid Pamilyang Pilipino Program (4Ps)</t>
  </si>
  <si>
    <t>Alternative Learning System/eSkwela</t>
  </si>
  <si>
    <t>Establishment of database (MSWD/MPDO)</t>
  </si>
  <si>
    <t>Database Operation and maintenance</t>
  </si>
  <si>
    <t>Family Week Celebration</t>
  </si>
  <si>
    <t>Medicines for community health &amp; family planning</t>
  </si>
  <si>
    <t>Training of Community Health Team and</t>
  </si>
  <si>
    <t>Brgy. Health Workers</t>
  </si>
  <si>
    <t>Family Health Book</t>
  </si>
  <si>
    <t>Responsible Parenting / seminar</t>
  </si>
  <si>
    <t>BSPO motivators</t>
  </si>
  <si>
    <t>Pre-marriage Counselling/tree planting</t>
  </si>
  <si>
    <t>Assistance of Individuals in Crisis Situtations</t>
  </si>
  <si>
    <t>Capability Building for vegetable production &amp;</t>
  </si>
  <si>
    <t>Nursery Management</t>
  </si>
  <si>
    <t>Survey of Farming Households-participation of women in farming</t>
  </si>
  <si>
    <t>Survey of Fishing Households-role swapping of male and female in fishing</t>
  </si>
  <si>
    <t>Capability Building for farm household mgt.</t>
  </si>
  <si>
    <t>Solid Waste Management Program/MRF/IEC</t>
  </si>
  <si>
    <t>GAD Orientation, Planning and Workshop</t>
  </si>
  <si>
    <t>FY-2013 (Fourth Quarter)</t>
  </si>
  <si>
    <t>December 2013</t>
  </si>
  <si>
    <t>General Public Services</t>
  </si>
  <si>
    <t>Economic Services</t>
  </si>
  <si>
    <t>Social Services</t>
  </si>
  <si>
    <t>Other Services</t>
  </si>
  <si>
    <t>m</t>
  </si>
  <si>
    <t>Annex D-2</t>
  </si>
  <si>
    <t>Republic of the Philippine</t>
  </si>
  <si>
    <t>PROVINCE OF LEYTE</t>
  </si>
  <si>
    <t xml:space="preserve">STATUS OF APPROPRIATIONS, ALLOTMENTS, OBLIGATIONS </t>
  </si>
  <si>
    <t>As of December  2014</t>
  </si>
  <si>
    <t>I-</t>
  </si>
  <si>
    <t>CURRENT YEAR APPROPRIATIONS</t>
  </si>
  <si>
    <t>SOCIAL SERVICES</t>
  </si>
  <si>
    <t>ECONOMIC DEVELOPMENT</t>
  </si>
  <si>
    <t>OTHER SERVICES</t>
  </si>
  <si>
    <t>Total Current Year Appropriations</t>
  </si>
  <si>
    <t>GRAND TOTAL</t>
  </si>
  <si>
    <t>Total Continuing Appropriations</t>
  </si>
  <si>
    <t>ELEMENTARY SCHOOLS</t>
  </si>
  <si>
    <t>SECONDARY SCHOOLS</t>
  </si>
  <si>
    <t>As of December  2013</t>
  </si>
  <si>
    <t xml:space="preserve">   </t>
  </si>
  <si>
    <t>II-</t>
  </si>
  <si>
    <t>CONTINUING APPROPRIATIONS</t>
  </si>
  <si>
    <t>17753.4+228624.15+(280466.54)+150000+15008+279262+79830+10500+40000+42500+(994205)+30000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</si>
</sst>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[Red]\(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Bookman Old Style"/>
      <family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43" fontId="0" fillId="0" borderId="0" xfId="1" applyFont="1"/>
    <xf numFmtId="43" fontId="0" fillId="0" borderId="4" xfId="1" applyFont="1" applyFill="1" applyBorder="1"/>
    <xf numFmtId="43" fontId="0" fillId="0" borderId="0" xfId="0" applyNumberFormat="1"/>
    <xf numFmtId="0" fontId="0" fillId="0" borderId="4" xfId="0" applyFill="1" applyBorder="1" applyAlignment="1">
      <alignment horizontal="left" indent="3"/>
    </xf>
    <xf numFmtId="0" fontId="0" fillId="0" borderId="4" xfId="0" applyFill="1" applyBorder="1" applyAlignment="1">
      <alignment horizontal="left" indent="5"/>
    </xf>
    <xf numFmtId="43" fontId="0" fillId="0" borderId="3" xfId="1" applyFont="1" applyFill="1" applyBorder="1"/>
    <xf numFmtId="43" fontId="0" fillId="0" borderId="8" xfId="1" applyFont="1" applyFill="1" applyBorder="1"/>
    <xf numFmtId="43" fontId="0" fillId="0" borderId="1" xfId="1" applyFont="1" applyFill="1" applyBorder="1"/>
    <xf numFmtId="43" fontId="0" fillId="0" borderId="6" xfId="1" applyFont="1" applyFill="1" applyBorder="1"/>
    <xf numFmtId="43" fontId="0" fillId="0" borderId="0" xfId="1" applyFont="1" applyFill="1" applyBorder="1"/>
    <xf numFmtId="43" fontId="0" fillId="2" borderId="4" xfId="1" applyFont="1" applyFill="1" applyBorder="1"/>
    <xf numFmtId="43" fontId="0" fillId="0" borderId="0" xfId="1" applyFont="1" applyFill="1"/>
    <xf numFmtId="0" fontId="0" fillId="0" borderId="0" xfId="0" applyFill="1"/>
    <xf numFmtId="43" fontId="0" fillId="0" borderId="0" xfId="0" applyNumberForma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0" fontId="0" fillId="0" borderId="4" xfId="0" applyFill="1" applyBorder="1"/>
    <xf numFmtId="43" fontId="0" fillId="0" borderId="2" xfId="1" applyFont="1" applyFill="1" applyBorder="1"/>
    <xf numFmtId="43" fontId="0" fillId="0" borderId="9" xfId="1" applyFont="1" applyFill="1" applyBorder="1"/>
    <xf numFmtId="0" fontId="0" fillId="0" borderId="0" xfId="0" applyAlignment="1">
      <alignment horizontal="center"/>
    </xf>
    <xf numFmtId="16" fontId="0" fillId="0" borderId="0" xfId="0" applyNumberFormat="1"/>
    <xf numFmtId="43" fontId="0" fillId="0" borderId="10" xfId="1" applyFont="1" applyFill="1" applyBorder="1"/>
    <xf numFmtId="49" fontId="0" fillId="0" borderId="0" xfId="0" applyNumberFormat="1" applyFill="1"/>
    <xf numFmtId="43" fontId="0" fillId="0" borderId="11" xfId="1" applyFont="1" applyFill="1" applyBorder="1"/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" fillId="0" borderId="4" xfId="0" applyFont="1" applyFill="1" applyBorder="1"/>
    <xf numFmtId="0" fontId="0" fillId="0" borderId="4" xfId="0" applyFill="1" applyBorder="1" applyAlignment="1">
      <alignment horizontal="left" indent="1"/>
    </xf>
    <xf numFmtId="0" fontId="2" fillId="0" borderId="1" xfId="0" applyFont="1" applyFill="1" applyBorder="1" applyAlignment="1">
      <alignment horizontal="left" indent="3"/>
    </xf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2" fillId="0" borderId="6" xfId="0" applyFont="1" applyFill="1" applyBorder="1" applyAlignment="1">
      <alignment horizontal="left" indent="3"/>
    </xf>
    <xf numFmtId="43" fontId="0" fillId="0" borderId="7" xfId="1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indent="3"/>
    </xf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left" indent="4"/>
    </xf>
    <xf numFmtId="0" fontId="0" fillId="0" borderId="9" xfId="0" applyFill="1" applyBorder="1"/>
    <xf numFmtId="0" fontId="2" fillId="0" borderId="9" xfId="0" applyFont="1" applyFill="1" applyBorder="1" applyAlignment="1">
      <alignment horizontal="left" indent="5"/>
    </xf>
    <xf numFmtId="0" fontId="2" fillId="0" borderId="0" xfId="0" applyFont="1" applyFill="1"/>
    <xf numFmtId="0" fontId="0" fillId="0" borderId="0" xfId="0" applyFill="1" applyBorder="1"/>
    <xf numFmtId="0" fontId="0" fillId="0" borderId="0" xfId="0" applyFill="1" applyAlignment="1">
      <alignment horizontal="left" indent="3"/>
    </xf>
    <xf numFmtId="0" fontId="0" fillId="3" borderId="4" xfId="0" applyFill="1" applyBorder="1"/>
    <xf numFmtId="43" fontId="0" fillId="3" borderId="4" xfId="1" applyFont="1" applyFill="1" applyBorder="1"/>
    <xf numFmtId="43" fontId="0" fillId="4" borderId="4" xfId="1" applyFont="1" applyFill="1" applyBorder="1"/>
    <xf numFmtId="39" fontId="0" fillId="0" borderId="4" xfId="1" applyNumberFormat="1" applyFont="1" applyFill="1" applyBorder="1"/>
    <xf numFmtId="39" fontId="0" fillId="4" borderId="4" xfId="1" applyNumberFormat="1" applyFont="1" applyFill="1" applyBorder="1"/>
    <xf numFmtId="0" fontId="0" fillId="2" borderId="4" xfId="0" applyFill="1" applyBorder="1"/>
    <xf numFmtId="0" fontId="0" fillId="5" borderId="4" xfId="0" applyFill="1" applyBorder="1"/>
    <xf numFmtId="43" fontId="0" fillId="5" borderId="4" xfId="1" applyFont="1" applyFill="1" applyBorder="1"/>
    <xf numFmtId="0" fontId="0" fillId="0" borderId="4" xfId="0" applyFill="1" applyBorder="1" applyAlignment="1">
      <alignment horizontal="left" indent="2"/>
    </xf>
    <xf numFmtId="9" fontId="0" fillId="0" borderId="0" xfId="1" applyNumberFormat="1" applyFont="1" applyFill="1"/>
    <xf numFmtId="9" fontId="0" fillId="0" borderId="0" xfId="0" applyNumberFormat="1" applyFill="1"/>
    <xf numFmtId="0" fontId="5" fillId="0" borderId="4" xfId="0" applyFont="1" applyFill="1" applyBorder="1" applyAlignment="1">
      <alignment horizontal="left" indent="3"/>
    </xf>
    <xf numFmtId="43" fontId="0" fillId="2" borderId="1" xfId="1" applyFont="1" applyFill="1" applyBorder="1"/>
    <xf numFmtId="40" fontId="0" fillId="0" borderId="4" xfId="1" applyNumberFormat="1" applyFont="1" applyFill="1" applyBorder="1"/>
    <xf numFmtId="40" fontId="0" fillId="0" borderId="1" xfId="1" applyNumberFormat="1" applyFont="1" applyFill="1" applyBorder="1"/>
    <xf numFmtId="40" fontId="0" fillId="0" borderId="7" xfId="1" applyNumberFormat="1" applyFont="1" applyFill="1" applyBorder="1"/>
    <xf numFmtId="164" fontId="0" fillId="0" borderId="4" xfId="0" applyNumberFormat="1" applyFill="1" applyBorder="1"/>
    <xf numFmtId="164" fontId="0" fillId="0" borderId="4" xfId="1" applyNumberFormat="1" applyFont="1" applyFill="1" applyBorder="1"/>
    <xf numFmtId="0" fontId="4" fillId="0" borderId="2" xfId="0" applyFont="1" applyFill="1" applyBorder="1"/>
    <xf numFmtId="43" fontId="4" fillId="0" borderId="2" xfId="1" applyFont="1" applyFill="1" applyBorder="1"/>
    <xf numFmtId="0" fontId="4" fillId="0" borderId="4" xfId="0" applyFont="1" applyFill="1" applyBorder="1"/>
    <xf numFmtId="43" fontId="4" fillId="0" borderId="4" xfId="1" applyFont="1" applyFill="1" applyBorder="1"/>
    <xf numFmtId="0" fontId="4" fillId="0" borderId="4" xfId="0" applyFont="1" applyFill="1" applyBorder="1" applyAlignment="1">
      <alignment horizontal="left" indent="2"/>
    </xf>
    <xf numFmtId="0" fontId="4" fillId="0" borderId="4" xfId="0" applyFont="1" applyFill="1" applyBorder="1" applyAlignment="1">
      <alignment horizontal="left"/>
    </xf>
    <xf numFmtId="0" fontId="4" fillId="0" borderId="3" xfId="0" applyFont="1" applyFill="1" applyBorder="1"/>
    <xf numFmtId="43" fontId="4" fillId="0" borderId="3" xfId="1" applyFont="1" applyFill="1" applyBorder="1"/>
    <xf numFmtId="0" fontId="4" fillId="0" borderId="1" xfId="0" applyFont="1" applyFill="1" applyBorder="1"/>
    <xf numFmtId="0" fontId="6" fillId="0" borderId="1" xfId="0" applyFont="1" applyFill="1" applyBorder="1" applyAlignment="1">
      <alignment horizontal="left" indent="3"/>
    </xf>
    <xf numFmtId="43" fontId="4" fillId="0" borderId="1" xfId="1" applyFont="1" applyFill="1" applyBorder="1"/>
    <xf numFmtId="0" fontId="4" fillId="0" borderId="0" xfId="0" applyFont="1"/>
    <xf numFmtId="43" fontId="4" fillId="0" borderId="0" xfId="1" applyFont="1"/>
    <xf numFmtId="43" fontId="7" fillId="0" borderId="0" xfId="1" applyFont="1" applyFill="1"/>
    <xf numFmtId="43" fontId="4" fillId="0" borderId="6" xfId="1" applyFont="1" applyBorder="1"/>
    <xf numFmtId="0" fontId="8" fillId="0" borderId="4" xfId="0" applyFont="1" applyFill="1" applyBorder="1" applyAlignment="1">
      <alignment horizontal="left" indent="1"/>
    </xf>
    <xf numFmtId="0" fontId="0" fillId="0" borderId="12" xfId="0" applyFill="1" applyBorder="1"/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left" indent="3"/>
    </xf>
    <xf numFmtId="0" fontId="0" fillId="0" borderId="13" xfId="0" applyFill="1" applyBorder="1" applyAlignment="1">
      <alignment horizontal="left"/>
    </xf>
    <xf numFmtId="0" fontId="2" fillId="0" borderId="13" xfId="0" applyFont="1" applyFill="1" applyBorder="1" applyAlignment="1">
      <alignment horizontal="left" indent="3"/>
    </xf>
    <xf numFmtId="43" fontId="0" fillId="0" borderId="13" xfId="1" applyFont="1" applyFill="1" applyBorder="1"/>
    <xf numFmtId="0" fontId="0" fillId="0" borderId="0" xfId="0" applyFill="1" applyBorder="1" applyAlignment="1">
      <alignment horizontal="left" inden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0" xfId="1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1485901</xdr:colOff>
      <xdr:row>1</xdr:row>
      <xdr:rowOff>28575</xdr:rowOff>
    </xdr:from>
    <xdr:to>
      <xdr:col>1</xdr:col>
      <xdr:colOff>1488765</xdr:colOff>
      <xdr:row>5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409575"/>
          <a:ext cx="898214" cy="86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1485901</xdr:colOff>
      <xdr:row>104</xdr:row>
      <xdr:rowOff>28575</xdr:rowOff>
    </xdr:from>
    <xdr:to>
      <xdr:col>1</xdr:col>
      <xdr:colOff>1488765</xdr:colOff>
      <xdr:row>108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21440775"/>
          <a:ext cx="898214" cy="866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/TolosaDAy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%20files%202%20from%20desktop/Documents/Local%20Income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harie"/>
      <sheetName val="Sheet4"/>
      <sheetName val="Sheet3"/>
      <sheetName val="Sheet5"/>
      <sheetName val="Sheet6"/>
      <sheetName val="rowena"/>
    </sheetNames>
    <sheetDataSet>
      <sheetData sheetId="0"/>
      <sheetData sheetId="1">
        <row r="1">
          <cell r="B1" t="str">
            <v>CASH</v>
          </cell>
          <cell r="D1">
            <v>16000</v>
          </cell>
        </row>
        <row r="2">
          <cell r="B2" t="str">
            <v>Zaldy</v>
          </cell>
          <cell r="D2">
            <v>2000</v>
          </cell>
        </row>
        <row r="3">
          <cell r="B3" t="str">
            <v>TOTAL</v>
          </cell>
          <cell r="D3">
            <v>18000</v>
          </cell>
        </row>
        <row r="4">
          <cell r="A4" t="str">
            <v>Less:</v>
          </cell>
        </row>
        <row r="5">
          <cell r="A5">
            <v>40963</v>
          </cell>
          <cell r="B5" t="str">
            <v>FEDFELI band</v>
          </cell>
          <cell r="D5">
            <v>5500</v>
          </cell>
        </row>
        <row r="6">
          <cell r="B6" t="str">
            <v>Gerald</v>
          </cell>
          <cell r="D6">
            <v>10000</v>
          </cell>
        </row>
        <row r="7">
          <cell r="B7" t="str">
            <v>1 bot. Rugby</v>
          </cell>
          <cell r="D7">
            <v>65</v>
          </cell>
        </row>
        <row r="8">
          <cell r="B8" t="str">
            <v>nylon #40</v>
          </cell>
          <cell r="D8">
            <v>9</v>
          </cell>
        </row>
        <row r="9">
          <cell r="B9" t="str">
            <v>meals -PWD</v>
          </cell>
          <cell r="D9">
            <v>615</v>
          </cell>
        </row>
        <row r="10">
          <cell r="B10" t="str">
            <v>snacks-PWD</v>
          </cell>
          <cell r="D10">
            <v>160</v>
          </cell>
        </row>
        <row r="11">
          <cell r="B11" t="str">
            <v>beer-sb/sir danny</v>
          </cell>
          <cell r="D11">
            <v>110</v>
          </cell>
        </row>
        <row r="12">
          <cell r="B12" t="str">
            <v>snacks-sb/sir danny</v>
          </cell>
          <cell r="D12">
            <v>215</v>
          </cell>
        </row>
        <row r="13">
          <cell r="B13" t="str">
            <v>gasoline-PWD</v>
          </cell>
          <cell r="D13">
            <v>500</v>
          </cell>
        </row>
        <row r="14">
          <cell r="A14">
            <v>40964</v>
          </cell>
          <cell r="B14" t="str">
            <v>labor-screen</v>
          </cell>
          <cell r="D14">
            <v>300</v>
          </cell>
        </row>
        <row r="15">
          <cell r="A15">
            <v>40969</v>
          </cell>
          <cell r="B15" t="str">
            <v>disaster snack (to be reim.)</v>
          </cell>
          <cell r="D15">
            <v>240</v>
          </cell>
        </row>
        <row r="16">
          <cell r="A16">
            <v>40975</v>
          </cell>
          <cell r="B16" t="str">
            <v>tourism meeting snack</v>
          </cell>
          <cell r="D16">
            <v>105</v>
          </cell>
        </row>
        <row r="17">
          <cell r="A17">
            <v>40987</v>
          </cell>
          <cell r="B17" t="str">
            <v>gasoline-send comm. Sir danny/brgys</v>
          </cell>
          <cell r="D17">
            <v>100</v>
          </cell>
        </row>
        <row r="20">
          <cell r="B20" t="str">
            <v>Total Expenses</v>
          </cell>
          <cell r="D20">
            <v>17919</v>
          </cell>
        </row>
        <row r="22">
          <cell r="B22" t="str">
            <v>Cash on Hand</v>
          </cell>
          <cell r="D22">
            <v>81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"/>
      <sheetName val="2013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zoomScale="140" zoomScaleNormal="140" workbookViewId="0">
      <selection sqref="A1:XFD1048576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4.5703125" style="13" bestFit="1" customWidth="1"/>
    <col min="6" max="6" width="16.28515625" style="13" customWidth="1"/>
    <col min="7" max="7" width="14.2851562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174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f>C11/4</f>
        <v>432481.745</v>
      </c>
      <c r="E11" s="2">
        <v>126964.66</v>
      </c>
      <c r="F11" s="2">
        <f>C11-E11</f>
        <v>1602962.32</v>
      </c>
      <c r="G11" s="2">
        <f>D11-E11</f>
        <v>305517.08499999996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/>
      <c r="E12" s="2">
        <v>68924.28</v>
      </c>
      <c r="F12" s="2">
        <f t="shared" ref="F12:F13" si="0">C12-E12</f>
        <v>1029056.3400000001</v>
      </c>
      <c r="G12" s="2">
        <f t="shared" ref="G12:G13" si="1">D12-E12</f>
        <v>-68924.28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/>
      <c r="F13" s="2">
        <f t="shared" si="0"/>
        <v>0</v>
      </c>
      <c r="G13" s="2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432481.745</v>
      </c>
      <c r="E15" s="8">
        <f>SUM(E11:E14)</f>
        <v>195888.94</v>
      </c>
      <c r="F15" s="8">
        <f>SUM(F11:F14)</f>
        <v>2632018.66</v>
      </c>
      <c r="G15" s="8">
        <f>SUM(G11:G14)</f>
        <v>236592.80499999996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f>C18/4</f>
        <v>2102080.35</v>
      </c>
      <c r="E18" s="2">
        <v>739399.62</v>
      </c>
      <c r="F18" s="2">
        <f>C18-E18</f>
        <v>7668921.7800000003</v>
      </c>
      <c r="G18" s="2">
        <f>D18-E18</f>
        <v>1362680.73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/>
      <c r="E19" s="2">
        <v>28976</v>
      </c>
      <c r="F19" s="2">
        <f>C19-E19</f>
        <v>1046960.3600000001</v>
      </c>
      <c r="G19" s="2">
        <f>D19-E19</f>
        <v>-28976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2102080.35</v>
      </c>
      <c r="E22" s="8">
        <f>SUM(E18:E21)</f>
        <v>768375.62</v>
      </c>
      <c r="F22" s="8">
        <f>SUM(F18:F21)</f>
        <v>8715882.1400000006</v>
      </c>
      <c r="G22" s="8">
        <f>SUM(G18:G21)</f>
        <v>1333704.73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f>C25/4</f>
        <v>241055.71</v>
      </c>
      <c r="E25" s="2">
        <v>87255.2</v>
      </c>
      <c r="F25" s="2">
        <f>C25-E25</f>
        <v>876967.64</v>
      </c>
      <c r="G25" s="2">
        <f>D25-E25</f>
        <v>153800.51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v>25005.86</v>
      </c>
      <c r="E26" s="2">
        <v>930.11</v>
      </c>
      <c r="F26" s="2">
        <f>C26-E26</f>
        <v>136602.12000000002</v>
      </c>
      <c r="G26" s="2">
        <f>D26-E26</f>
        <v>24075.75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266061.57</v>
      </c>
      <c r="E29" s="8">
        <f>SUM(E25:E28)</f>
        <v>88185.31</v>
      </c>
      <c r="F29" s="8">
        <f>SUM(F25:F28)</f>
        <v>1013569.76</v>
      </c>
      <c r="G29" s="8">
        <f>SUM(G25:G28)</f>
        <v>177876.26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f>C32/4</f>
        <v>183220.095</v>
      </c>
      <c r="E32" s="2">
        <v>65293.18</v>
      </c>
      <c r="F32" s="2">
        <f>C32-E32</f>
        <v>667587.19999999995</v>
      </c>
      <c r="G32" s="2">
        <f>D32-E32</f>
        <v>117926.91500000001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v>14705.16</v>
      </c>
      <c r="E33" s="2"/>
      <c r="F33" s="2">
        <f>C33-E33</f>
        <v>80878.36</v>
      </c>
      <c r="G33" s="2">
        <f>D33-E33</f>
        <v>14705.16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2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2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197925.255</v>
      </c>
      <c r="E36" s="8">
        <f>SUM(E32:E35)</f>
        <v>65293.18</v>
      </c>
      <c r="F36" s="8">
        <f>SUM(F32:F35)</f>
        <v>748465.55999999994</v>
      </c>
      <c r="G36" s="8">
        <f>SUM(G32:G35)</f>
        <v>132632.07500000001</v>
      </c>
      <c r="L36" s="12"/>
    </row>
    <row r="37" spans="1:13" x14ac:dyDescent="0.25">
      <c r="A37" s="27"/>
      <c r="B37" s="18"/>
      <c r="C37" s="2"/>
      <c r="D37" s="2"/>
      <c r="E37" s="2"/>
      <c r="F37" s="2"/>
      <c r="G37" s="2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2"/>
      <c r="L38" s="12"/>
    </row>
    <row r="39" spans="1:13" x14ac:dyDescent="0.25">
      <c r="A39" s="27"/>
      <c r="B39" s="29" t="s">
        <v>11</v>
      </c>
      <c r="C39" s="2">
        <v>591829.98</v>
      </c>
      <c r="D39" s="2">
        <f>C39/4</f>
        <v>147957.495</v>
      </c>
      <c r="E39" s="2">
        <v>50458.42</v>
      </c>
      <c r="F39" s="2">
        <f>C39-E39</f>
        <v>541371.55999999994</v>
      </c>
      <c r="G39" s="2">
        <f>D39-E39</f>
        <v>97499.074999999997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v>15880.7</v>
      </c>
      <c r="E40" s="2">
        <v>5235</v>
      </c>
      <c r="F40" s="2">
        <f>C40-E40</f>
        <v>74168.5</v>
      </c>
      <c r="G40" s="2">
        <f>D40-E40</f>
        <v>10645.7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2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2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163838.19500000001</v>
      </c>
      <c r="E43" s="8">
        <f>SUM(E39:E42)</f>
        <v>55693.42</v>
      </c>
      <c r="F43" s="8">
        <f>SUM(F39:F42)</f>
        <v>615540.05999999994</v>
      </c>
      <c r="G43" s="8">
        <f>SUM(G39:G42)</f>
        <v>108144.77499999999</v>
      </c>
    </row>
    <row r="44" spans="1:13" x14ac:dyDescent="0.25">
      <c r="A44" s="27"/>
      <c r="B44" s="18"/>
      <c r="C44" s="2"/>
      <c r="D44" s="2"/>
      <c r="E44" s="2"/>
      <c r="F44" s="2"/>
      <c r="G44" s="2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2"/>
    </row>
    <row r="46" spans="1:13" x14ac:dyDescent="0.25">
      <c r="A46" s="27"/>
      <c r="B46" s="29" t="s">
        <v>11</v>
      </c>
      <c r="C46" s="2">
        <v>1053344.46</v>
      </c>
      <c r="D46" s="2">
        <f>C46/4</f>
        <v>263336.11499999999</v>
      </c>
      <c r="E46" s="2">
        <v>56526.37</v>
      </c>
      <c r="F46" s="2">
        <f>C46-E46</f>
        <v>996818.09</v>
      </c>
      <c r="G46" s="2">
        <f>D46-E46</f>
        <v>206809.745</v>
      </c>
    </row>
    <row r="47" spans="1:13" x14ac:dyDescent="0.25">
      <c r="A47" s="27"/>
      <c r="B47" s="29" t="s">
        <v>12</v>
      </c>
      <c r="C47" s="2">
        <v>205007.27</v>
      </c>
      <c r="D47" s="2">
        <v>37274.050000000003</v>
      </c>
      <c r="E47" s="2">
        <v>2600</v>
      </c>
      <c r="F47" s="2">
        <f>C47-E47</f>
        <v>202407.27</v>
      </c>
      <c r="G47" s="2">
        <f>D47-E47</f>
        <v>34674.050000000003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</row>
    <row r="49" spans="1:8" x14ac:dyDescent="0.25">
      <c r="A49" s="27"/>
      <c r="B49" s="29" t="s">
        <v>14</v>
      </c>
      <c r="C49" s="2"/>
      <c r="D49" s="2"/>
      <c r="E49" s="2"/>
      <c r="F49" s="2"/>
      <c r="G49" s="2"/>
      <c r="H49" s="12"/>
    </row>
    <row r="50" spans="1:8" x14ac:dyDescent="0.25">
      <c r="A50" s="27"/>
      <c r="B50" s="30" t="s">
        <v>27</v>
      </c>
      <c r="C50" s="8">
        <f>SUM(C46:C49)</f>
        <v>1258351.73</v>
      </c>
      <c r="D50" s="8">
        <f>SUM(D46:D49)</f>
        <v>300610.16499999998</v>
      </c>
      <c r="E50" s="8">
        <f>SUM(E46:E49)</f>
        <v>59126.37</v>
      </c>
      <c r="F50" s="8">
        <f>SUM(F46:F49)</f>
        <v>1199225.3599999999</v>
      </c>
      <c r="G50" s="8">
        <f>SUM(G46:G49)</f>
        <v>241483.79499999998</v>
      </c>
      <c r="H50" s="12"/>
    </row>
    <row r="51" spans="1:8" x14ac:dyDescent="0.25">
      <c r="A51" s="27"/>
      <c r="B51" s="18"/>
      <c r="C51" s="2"/>
      <c r="D51" s="2"/>
      <c r="E51" s="2"/>
      <c r="F51" s="2"/>
      <c r="G51" s="2"/>
      <c r="H51" s="12"/>
    </row>
    <row r="52" spans="1:8" x14ac:dyDescent="0.25">
      <c r="A52" s="27">
        <v>1091</v>
      </c>
      <c r="B52" s="28" t="s">
        <v>19</v>
      </c>
      <c r="C52" s="2"/>
      <c r="D52" s="2"/>
      <c r="E52" s="2"/>
      <c r="F52" s="2"/>
      <c r="G52" s="2"/>
      <c r="H52" s="12"/>
    </row>
    <row r="53" spans="1:8" x14ac:dyDescent="0.25">
      <c r="A53" s="27"/>
      <c r="B53" s="29" t="s">
        <v>11</v>
      </c>
      <c r="C53" s="2">
        <v>1583456.4</v>
      </c>
      <c r="D53" s="2">
        <f>C53/4</f>
        <v>395864.1</v>
      </c>
      <c r="E53" s="2">
        <v>150760.70000000001</v>
      </c>
      <c r="F53" s="2">
        <f>C53-E53</f>
        <v>1432695.7</v>
      </c>
      <c r="G53" s="2">
        <f>D53-E53</f>
        <v>245103.39999999997</v>
      </c>
      <c r="H53" s="12"/>
    </row>
    <row r="54" spans="1:8" x14ac:dyDescent="0.25">
      <c r="A54" s="27"/>
      <c r="B54" s="29" t="s">
        <v>12</v>
      </c>
      <c r="C54" s="2">
        <v>321156.95</v>
      </c>
      <c r="D54" s="2">
        <v>58392.17</v>
      </c>
      <c r="E54" s="2">
        <v>53406</v>
      </c>
      <c r="F54" s="2">
        <f>C54-E54</f>
        <v>267750.95</v>
      </c>
      <c r="G54" s="2">
        <f>D54-E54</f>
        <v>4986.1699999999983</v>
      </c>
      <c r="H54" s="12"/>
    </row>
    <row r="55" spans="1:8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8" x14ac:dyDescent="0.25">
      <c r="A56" s="27"/>
      <c r="B56" s="29" t="s">
        <v>14</v>
      </c>
      <c r="C56" s="2"/>
      <c r="D56" s="2"/>
      <c r="E56" s="2"/>
      <c r="F56" s="2"/>
      <c r="G56" s="2"/>
      <c r="H56" s="12"/>
    </row>
    <row r="57" spans="1:8" x14ac:dyDescent="0.25">
      <c r="A57" s="31"/>
      <c r="B57" s="30" t="s">
        <v>27</v>
      </c>
      <c r="C57" s="8">
        <f>SUM(C53:C56)</f>
        <v>1904613.3499999999</v>
      </c>
      <c r="D57" s="8">
        <f>SUM(D53:D56)</f>
        <v>454256.26999999996</v>
      </c>
      <c r="E57" s="8">
        <f>SUM(E53:E56)</f>
        <v>204166.7</v>
      </c>
      <c r="F57" s="8">
        <f>SUM(F53:F56)</f>
        <v>1700446.65</v>
      </c>
      <c r="G57" s="8">
        <f>SUM(G53:G56)</f>
        <v>250089.56999999995</v>
      </c>
      <c r="H57" s="12"/>
    </row>
    <row r="58" spans="1:8" ht="4.5" customHeight="1" thickBot="1" x14ac:dyDescent="0.3">
      <c r="A58" s="32"/>
      <c r="B58" s="33"/>
      <c r="C58" s="9"/>
      <c r="D58" s="9"/>
      <c r="E58" s="9"/>
      <c r="F58" s="9"/>
      <c r="G58" s="34"/>
      <c r="H58" s="12"/>
    </row>
    <row r="59" spans="1:8" x14ac:dyDescent="0.25">
      <c r="A59" s="35"/>
      <c r="B59" s="36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6"/>
      <c r="C62" s="10"/>
      <c r="D62" s="10"/>
      <c r="E62" s="10"/>
      <c r="F62" s="10"/>
      <c r="G62" s="10"/>
      <c r="H62" s="12"/>
    </row>
    <row r="63" spans="1:8" x14ac:dyDescent="0.25">
      <c r="A63" s="24" t="s">
        <v>174</v>
      </c>
      <c r="B63" s="36"/>
      <c r="C63" s="10"/>
      <c r="D63" s="10"/>
      <c r="E63" s="10"/>
      <c r="F63" s="10"/>
      <c r="G63" s="10"/>
      <c r="H63" s="12"/>
    </row>
    <row r="64" spans="1:8" x14ac:dyDescent="0.25">
      <c r="A64" s="35"/>
      <c r="B64" s="36"/>
      <c r="C64" s="10"/>
      <c r="D64" s="10"/>
      <c r="E64" s="10"/>
      <c r="F64" s="10"/>
      <c r="G64" s="10"/>
      <c r="H64" s="12"/>
    </row>
    <row r="65" spans="1:8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</row>
    <row r="66" spans="1:8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</row>
    <row r="67" spans="1:8" x14ac:dyDescent="0.25">
      <c r="A67" s="26"/>
      <c r="B67" s="17"/>
      <c r="C67" s="19"/>
      <c r="D67" s="19"/>
      <c r="E67" s="19"/>
      <c r="F67" s="19"/>
      <c r="G67" s="19"/>
      <c r="H67" s="12"/>
    </row>
    <row r="68" spans="1:8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</row>
    <row r="69" spans="1:8" x14ac:dyDescent="0.25">
      <c r="A69" s="27"/>
      <c r="B69" s="29" t="s">
        <v>11</v>
      </c>
      <c r="C69" s="2">
        <v>757496.84</v>
      </c>
      <c r="D69" s="2">
        <f>C69/4</f>
        <v>189374.21</v>
      </c>
      <c r="E69" s="2">
        <v>69303.820000000007</v>
      </c>
      <c r="F69" s="2">
        <f>C69-E69</f>
        <v>688193.02</v>
      </c>
      <c r="G69" s="2">
        <f>D69-E69</f>
        <v>120070.38999999998</v>
      </c>
      <c r="H69" s="12"/>
    </row>
    <row r="70" spans="1:8" x14ac:dyDescent="0.25">
      <c r="A70" s="27"/>
      <c r="B70" s="29" t="s">
        <v>12</v>
      </c>
      <c r="C70" s="2">
        <v>112211.77</v>
      </c>
      <c r="D70" s="2">
        <v>20402.14</v>
      </c>
      <c r="E70" s="2">
        <v>2612</v>
      </c>
      <c r="F70" s="2">
        <f>C70-E70</f>
        <v>109599.77</v>
      </c>
      <c r="G70" s="2">
        <f>D70-E70</f>
        <v>17790.14</v>
      </c>
      <c r="H70" s="12"/>
    </row>
    <row r="71" spans="1:8" x14ac:dyDescent="0.25">
      <c r="A71" s="27"/>
      <c r="B71" s="29" t="s">
        <v>13</v>
      </c>
      <c r="C71" s="2">
        <v>10000</v>
      </c>
      <c r="D71" s="2"/>
      <c r="E71" s="2"/>
      <c r="F71" s="2">
        <f>C71-E71</f>
        <v>10000</v>
      </c>
      <c r="G71" s="2">
        <f>D71-E71</f>
        <v>0</v>
      </c>
      <c r="H71" s="12"/>
    </row>
    <row r="72" spans="1:8" x14ac:dyDescent="0.25">
      <c r="A72" s="27"/>
      <c r="B72" s="29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30" t="s">
        <v>27</v>
      </c>
      <c r="C73" s="8">
        <f>SUM(C69:C72)</f>
        <v>879708.61</v>
      </c>
      <c r="D73" s="8">
        <f>SUM(D69:D72)</f>
        <v>209776.34999999998</v>
      </c>
      <c r="E73" s="8">
        <f>SUM(E69:E72)</f>
        <v>71915.820000000007</v>
      </c>
      <c r="F73" s="8">
        <f>SUM(F69:F72)</f>
        <v>807792.79</v>
      </c>
      <c r="G73" s="8">
        <f>SUM(G69:G72)</f>
        <v>137860.52999999997</v>
      </c>
      <c r="H73" s="12"/>
    </row>
    <row r="74" spans="1:8" x14ac:dyDescent="0.25">
      <c r="A74" s="27"/>
      <c r="B74" s="18"/>
      <c r="C74" s="2"/>
      <c r="D74" s="2"/>
      <c r="E74" s="2"/>
      <c r="F74" s="2"/>
      <c r="G74" s="2"/>
      <c r="H74" s="12"/>
    </row>
    <row r="75" spans="1:8" x14ac:dyDescent="0.25">
      <c r="A75" s="27">
        <v>6544</v>
      </c>
      <c r="B75" s="28" t="s">
        <v>21</v>
      </c>
      <c r="C75" s="18"/>
      <c r="D75" s="2"/>
      <c r="E75" s="2"/>
      <c r="F75" s="2"/>
      <c r="G75" s="2"/>
      <c r="H75" s="12"/>
    </row>
    <row r="76" spans="1:8" x14ac:dyDescent="0.25">
      <c r="A76" s="27"/>
      <c r="B76" s="29" t="s">
        <v>11</v>
      </c>
      <c r="C76" s="2">
        <v>1136593.6000000001</v>
      </c>
      <c r="D76" s="2">
        <f>C76/4</f>
        <v>284148.40000000002</v>
      </c>
      <c r="E76" s="2">
        <v>74187.02</v>
      </c>
      <c r="F76" s="2">
        <f>C76-E76</f>
        <v>1062406.58</v>
      </c>
      <c r="G76" s="2">
        <f>D76-E76</f>
        <v>209961.38</v>
      </c>
      <c r="H76" s="12"/>
    </row>
    <row r="77" spans="1:8" x14ac:dyDescent="0.25">
      <c r="A77" s="27"/>
      <c r="B77" s="29" t="s">
        <v>12</v>
      </c>
      <c r="C77" s="2">
        <v>749098.9</v>
      </c>
      <c r="D77" s="2">
        <v>136199.79999999999</v>
      </c>
      <c r="E77" s="2">
        <v>12743.13</v>
      </c>
      <c r="F77" s="2">
        <f>C77-E77</f>
        <v>736355.77</v>
      </c>
      <c r="G77" s="2">
        <f>D77-E77</f>
        <v>123456.66999999998</v>
      </c>
      <c r="H77" s="12"/>
    </row>
    <row r="78" spans="1:8" x14ac:dyDescent="0.25">
      <c r="A78" s="27"/>
      <c r="B78" s="29" t="s">
        <v>13</v>
      </c>
      <c r="C78" s="2"/>
      <c r="D78" s="2"/>
      <c r="E78" s="2"/>
      <c r="F78" s="2"/>
      <c r="G78" s="2"/>
      <c r="H78" s="12"/>
    </row>
    <row r="79" spans="1:8" x14ac:dyDescent="0.25">
      <c r="A79" s="27"/>
      <c r="B79" s="29" t="s">
        <v>14</v>
      </c>
      <c r="C79" s="2"/>
      <c r="D79" s="2"/>
      <c r="E79" s="2"/>
      <c r="F79" s="2"/>
      <c r="G79" s="2"/>
      <c r="H79" s="12"/>
    </row>
    <row r="80" spans="1:8" x14ac:dyDescent="0.25">
      <c r="A80" s="27"/>
      <c r="B80" s="30" t="s">
        <v>27</v>
      </c>
      <c r="C80" s="8">
        <f>SUM(C76:C79)</f>
        <v>1885692.5</v>
      </c>
      <c r="D80" s="8">
        <f>SUM(D76:D79)</f>
        <v>420348.2</v>
      </c>
      <c r="E80" s="8">
        <f>SUM(E76:E79)</f>
        <v>86930.150000000009</v>
      </c>
      <c r="F80" s="8">
        <f>SUM(F76:F79)</f>
        <v>1798762.35</v>
      </c>
      <c r="G80" s="8">
        <f>SUM(G76:G79)</f>
        <v>333418.05</v>
      </c>
      <c r="H80" s="12"/>
    </row>
    <row r="81" spans="1:8" x14ac:dyDescent="0.25">
      <c r="A81" s="27"/>
      <c r="B81" s="18"/>
      <c r="C81" s="2"/>
      <c r="D81" s="2"/>
      <c r="E81" s="2"/>
      <c r="F81" s="2"/>
      <c r="G81" s="2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2"/>
      <c r="H82" s="12"/>
    </row>
    <row r="83" spans="1:8" x14ac:dyDescent="0.25">
      <c r="A83" s="27"/>
      <c r="B83" s="29" t="s">
        <v>11</v>
      </c>
      <c r="C83" s="2">
        <v>2920190.6</v>
      </c>
      <c r="D83" s="2">
        <f>C83/4</f>
        <v>730047.65</v>
      </c>
      <c r="E83" s="2">
        <v>245863.58</v>
      </c>
      <c r="F83" s="2">
        <f>C83-E83</f>
        <v>2674327.02</v>
      </c>
      <c r="G83" s="2">
        <f>D83-E83</f>
        <v>484184.07000000007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v>31799.79</v>
      </c>
      <c r="E84" s="2">
        <v>19489</v>
      </c>
      <c r="F84" s="2">
        <f>C84-E84</f>
        <v>155409.85</v>
      </c>
      <c r="G84" s="2">
        <f>D84-E84</f>
        <v>12310.79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2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2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761847.44000000006</v>
      </c>
      <c r="E87" s="8">
        <f>SUM(E83:E86)</f>
        <v>265352.57999999996</v>
      </c>
      <c r="F87" s="8">
        <f>SUM(F83:F86)</f>
        <v>2829736.87</v>
      </c>
      <c r="G87" s="8">
        <f>SUM(G83:G86)</f>
        <v>496494.86000000004</v>
      </c>
      <c r="H87" s="12"/>
    </row>
    <row r="88" spans="1:8" x14ac:dyDescent="0.25">
      <c r="A88" s="27"/>
      <c r="B88" s="18"/>
      <c r="C88" s="2"/>
      <c r="D88" s="2"/>
      <c r="E88" s="2"/>
      <c r="F88" s="2"/>
      <c r="G88" s="2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2"/>
      <c r="H89" s="12"/>
    </row>
    <row r="90" spans="1:8" x14ac:dyDescent="0.25">
      <c r="A90" s="27"/>
      <c r="B90" s="29" t="s">
        <v>11</v>
      </c>
      <c r="C90" s="2">
        <v>1120789.58</v>
      </c>
      <c r="D90" s="2">
        <f>C90/4</f>
        <v>280197.39500000002</v>
      </c>
      <c r="E90" s="2">
        <v>96696.78</v>
      </c>
      <c r="F90" s="2">
        <f>C90-E90</f>
        <v>1024092.8</v>
      </c>
      <c r="G90" s="2">
        <f>D90-E90</f>
        <v>183500.61500000002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v>34540.21</v>
      </c>
      <c r="E91" s="2">
        <v>15000</v>
      </c>
      <c r="F91" s="2">
        <f>C91-E91</f>
        <v>174971.15</v>
      </c>
      <c r="G91" s="2">
        <f>D91-E91</f>
        <v>19540.21</v>
      </c>
      <c r="H91" s="12"/>
    </row>
    <row r="92" spans="1:8" x14ac:dyDescent="0.25">
      <c r="A92" s="27"/>
      <c r="B92" s="29" t="s">
        <v>13</v>
      </c>
      <c r="C92" s="2">
        <v>25000</v>
      </c>
      <c r="D92" s="2"/>
      <c r="E92" s="2"/>
      <c r="F92" s="2"/>
      <c r="G92" s="2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2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314737.60500000004</v>
      </c>
      <c r="E94" s="8">
        <f>SUM(E90:E93)</f>
        <v>111696.78</v>
      </c>
      <c r="F94" s="8">
        <f>SUM(F90:F93)</f>
        <v>1199063.95</v>
      </c>
      <c r="G94" s="8">
        <f>SUM(G90:G93)</f>
        <v>203040.82500000001</v>
      </c>
      <c r="H94" s="12"/>
    </row>
    <row r="95" spans="1:8" x14ac:dyDescent="0.25">
      <c r="A95" s="27"/>
      <c r="B95" s="18"/>
      <c r="C95" s="2"/>
      <c r="D95" s="2"/>
      <c r="E95" s="2"/>
      <c r="F95" s="2"/>
      <c r="G95" s="2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2"/>
      <c r="H96" s="12"/>
    </row>
    <row r="97" spans="1:8" x14ac:dyDescent="0.25">
      <c r="A97" s="27"/>
      <c r="B97" s="29" t="s">
        <v>11</v>
      </c>
      <c r="C97" s="2">
        <v>860982.08</v>
      </c>
      <c r="D97" s="2">
        <f>C97/4</f>
        <v>215245.52</v>
      </c>
      <c r="E97" s="2">
        <v>79099.839999999997</v>
      </c>
      <c r="F97" s="2">
        <f>C97-E97</f>
        <v>781882.24</v>
      </c>
      <c r="G97" s="2">
        <f>D97-E97</f>
        <v>136145.68</v>
      </c>
      <c r="H97" s="12"/>
    </row>
    <row r="98" spans="1:8" x14ac:dyDescent="0.25">
      <c r="A98" s="27"/>
      <c r="B98" s="29" t="s">
        <v>12</v>
      </c>
      <c r="C98" s="2">
        <v>87772.800000000003</v>
      </c>
      <c r="D98" s="2">
        <v>15958.69</v>
      </c>
      <c r="E98" s="2"/>
      <c r="F98" s="2">
        <f>C98-E98</f>
        <v>87772.800000000003</v>
      </c>
      <c r="G98" s="2">
        <f>D98-E98</f>
        <v>15958.69</v>
      </c>
      <c r="H98" s="12"/>
    </row>
    <row r="99" spans="1:8" x14ac:dyDescent="0.25">
      <c r="A99" s="27"/>
      <c r="B99" s="29" t="s">
        <v>13</v>
      </c>
      <c r="C99" s="2"/>
      <c r="D99" s="2"/>
      <c r="E99" s="2"/>
      <c r="F99" s="2"/>
      <c r="G99" s="2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7"/>
      <c r="B101" s="30" t="s">
        <v>27</v>
      </c>
      <c r="C101" s="8">
        <f>SUM(C97:C100)</f>
        <v>948754.88</v>
      </c>
      <c r="D101" s="8">
        <f>SUM(D97:D100)</f>
        <v>231204.21</v>
      </c>
      <c r="E101" s="8">
        <f>SUM(E97:E100)</f>
        <v>79099.839999999997</v>
      </c>
      <c r="F101" s="8">
        <f>SUM(F97:F100)</f>
        <v>869655.04000000004</v>
      </c>
      <c r="G101" s="8">
        <f>SUM(G97:G100)</f>
        <v>152104.37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2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7"/>
      <c r="B104" s="29" t="s">
        <v>11</v>
      </c>
      <c r="C104" s="2">
        <v>1008030.66</v>
      </c>
      <c r="D104" s="2">
        <f>C104/4</f>
        <v>252007.66500000001</v>
      </c>
      <c r="E104" s="2">
        <v>90740.06</v>
      </c>
      <c r="F104" s="2">
        <f>C104-E104</f>
        <v>917290.60000000009</v>
      </c>
      <c r="G104" s="2">
        <f>D104-E104</f>
        <v>161267.60500000001</v>
      </c>
      <c r="H104" s="12"/>
    </row>
    <row r="105" spans="1:8" x14ac:dyDescent="0.25">
      <c r="A105" s="27"/>
      <c r="B105" s="29" t="s">
        <v>12</v>
      </c>
      <c r="C105" s="2">
        <v>61275.5</v>
      </c>
      <c r="D105" s="2"/>
      <c r="E105" s="2">
        <v>716</v>
      </c>
      <c r="F105" s="2">
        <f>C105-E105</f>
        <v>60559.5</v>
      </c>
      <c r="G105" s="2">
        <f>D105-E105</f>
        <v>-716</v>
      </c>
      <c r="H105" s="12"/>
    </row>
    <row r="106" spans="1:8" x14ac:dyDescent="0.25">
      <c r="A106" s="27"/>
      <c r="B106" s="29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252007.66500000001</v>
      </c>
      <c r="E108" s="8">
        <f>SUM(E104:E107)</f>
        <v>91456.06</v>
      </c>
      <c r="F108" s="8">
        <f>SUM(F104:F107)</f>
        <v>977850.10000000009</v>
      </c>
      <c r="G108" s="8">
        <f>SUM(G104:G107)</f>
        <v>160551.60500000001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2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7"/>
      <c r="B112" s="29" t="s">
        <v>12</v>
      </c>
      <c r="C112" s="2">
        <v>66400</v>
      </c>
      <c r="D112" s="2">
        <v>10423.799999999999</v>
      </c>
      <c r="E112" s="2"/>
      <c r="F112" s="2">
        <f>C112-E112</f>
        <v>66400</v>
      </c>
      <c r="G112" s="2">
        <f>D112-E112</f>
        <v>10423.799999999999</v>
      </c>
      <c r="H112" s="12"/>
    </row>
    <row r="113" spans="1:8" x14ac:dyDescent="0.25">
      <c r="A113" s="27"/>
      <c r="B113" s="29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31"/>
      <c r="B115" s="30" t="s">
        <v>27</v>
      </c>
      <c r="C115" s="8">
        <f>SUM(C111:C114)</f>
        <v>66400</v>
      </c>
      <c r="D115" s="8">
        <f>SUM(D111:D114)</f>
        <v>10423.799999999999</v>
      </c>
      <c r="E115" s="8">
        <f>SUM(E111:E114)</f>
        <v>0</v>
      </c>
      <c r="F115" s="8">
        <f>SUM(F111:F114)</f>
        <v>66400</v>
      </c>
      <c r="G115" s="8">
        <f>SUM(G111:G114)</f>
        <v>10423.799999999999</v>
      </c>
      <c r="H115" s="12"/>
    </row>
    <row r="116" spans="1:8" ht="3.75" customHeight="1" thickBot="1" x14ac:dyDescent="0.3">
      <c r="A116" s="37"/>
      <c r="B116" s="38"/>
      <c r="C116" s="9"/>
      <c r="D116" s="9"/>
      <c r="E116" s="9"/>
      <c r="F116" s="9"/>
      <c r="G116" s="34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E15+E22+E29+E36+E43+E50+E57+E73+E80+E87+E94+E101+E108+E115+E174+E175</f>
        <v>2434344.9300000002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6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174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88" t="s">
        <v>3</v>
      </c>
      <c r="B125" s="88" t="s">
        <v>4</v>
      </c>
      <c r="C125" s="88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89"/>
      <c r="B126" s="89"/>
      <c r="C126" s="89"/>
      <c r="D126" s="89"/>
      <c r="E126" s="89"/>
      <c r="F126" s="16" t="s">
        <v>5</v>
      </c>
      <c r="G126" s="16" t="s">
        <v>6</v>
      </c>
      <c r="H126" s="12"/>
    </row>
    <row r="127" spans="1:8" ht="6.75" customHeight="1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35000</v>
      </c>
      <c r="D128" s="2"/>
      <c r="E128" s="2"/>
      <c r="F128" s="2">
        <f t="shared" ref="F128:F157" si="2">C128-E128</f>
        <v>35000</v>
      </c>
      <c r="G128" s="2">
        <f t="shared" ref="G128:G158" si="3">D128-E128</f>
        <v>0</v>
      </c>
      <c r="H128" s="12"/>
    </row>
    <row r="129" spans="1:10" x14ac:dyDescent="0.25">
      <c r="A129" s="18"/>
      <c r="B129" s="18" t="s">
        <v>32</v>
      </c>
      <c r="C129" s="2">
        <v>250000</v>
      </c>
      <c r="D129" s="2"/>
      <c r="E129" s="2">
        <v>30000</v>
      </c>
      <c r="F129" s="2"/>
      <c r="G129" s="2"/>
      <c r="H129" s="12"/>
    </row>
    <row r="130" spans="1:10" x14ac:dyDescent="0.25">
      <c r="A130" s="18"/>
      <c r="B130" s="18" t="s">
        <v>35</v>
      </c>
      <c r="C130" s="2">
        <v>430000</v>
      </c>
      <c r="D130" s="2"/>
      <c r="E130" s="2">
        <v>19663</v>
      </c>
      <c r="F130" s="2"/>
      <c r="G130" s="2"/>
      <c r="H130" s="12"/>
    </row>
    <row r="131" spans="1:10" x14ac:dyDescent="0.25">
      <c r="A131" s="18"/>
      <c r="B131" s="18" t="s">
        <v>96</v>
      </c>
      <c r="C131" s="2">
        <v>200000</v>
      </c>
      <c r="D131" s="2"/>
      <c r="E131" s="2"/>
      <c r="F131" s="2"/>
      <c r="G131" s="2"/>
      <c r="H131" s="12"/>
    </row>
    <row r="132" spans="1:10" x14ac:dyDescent="0.25">
      <c r="A132" s="18"/>
      <c r="B132" s="18" t="s">
        <v>100</v>
      </c>
      <c r="C132" s="2">
        <v>300000</v>
      </c>
      <c r="D132" s="2"/>
      <c r="E132" s="2"/>
      <c r="F132" s="2"/>
      <c r="G132" s="2"/>
      <c r="H132" s="12"/>
    </row>
    <row r="133" spans="1:10" x14ac:dyDescent="0.25">
      <c r="A133" s="18"/>
      <c r="B133" s="18" t="s">
        <v>181</v>
      </c>
      <c r="C133" s="2">
        <v>180000</v>
      </c>
      <c r="D133" s="2"/>
      <c r="E133" s="2"/>
      <c r="F133" s="2"/>
      <c r="G133" s="2"/>
      <c r="H133" s="12"/>
    </row>
    <row r="134" spans="1:10" x14ac:dyDescent="0.25">
      <c r="A134" s="18"/>
      <c r="B134" s="18" t="s">
        <v>31</v>
      </c>
      <c r="C134" s="2"/>
      <c r="D134" s="2"/>
      <c r="E134" s="2"/>
      <c r="F134" s="2"/>
      <c r="G134" s="2"/>
      <c r="H134" s="12"/>
    </row>
    <row r="135" spans="1:10" x14ac:dyDescent="0.25">
      <c r="A135" s="18"/>
      <c r="B135" s="55" t="s">
        <v>146</v>
      </c>
      <c r="C135" s="2">
        <v>300000</v>
      </c>
      <c r="D135" s="2"/>
      <c r="E135" s="2"/>
      <c r="F135" s="2"/>
      <c r="G135" s="2"/>
      <c r="H135" s="12"/>
    </row>
    <row r="136" spans="1:10" x14ac:dyDescent="0.25">
      <c r="A136" s="18"/>
      <c r="B136" s="55" t="s">
        <v>147</v>
      </c>
      <c r="C136" s="2">
        <v>400000</v>
      </c>
      <c r="D136" s="2"/>
      <c r="E136" s="2"/>
      <c r="F136" s="2"/>
      <c r="G136" s="2"/>
      <c r="H136" s="12"/>
    </row>
    <row r="137" spans="1:10" x14ac:dyDescent="0.25">
      <c r="A137" s="18"/>
      <c r="B137" s="55" t="s">
        <v>148</v>
      </c>
      <c r="C137" s="2">
        <v>200000</v>
      </c>
      <c r="D137" s="2"/>
      <c r="E137" s="2"/>
      <c r="F137" s="2"/>
      <c r="G137" s="2"/>
      <c r="H137" s="12"/>
    </row>
    <row r="138" spans="1:10" x14ac:dyDescent="0.25">
      <c r="A138" s="18"/>
      <c r="B138" s="55" t="s">
        <v>149</v>
      </c>
      <c r="C138" s="2">
        <v>100000</v>
      </c>
      <c r="D138" s="2"/>
      <c r="E138" s="2"/>
      <c r="F138" s="2">
        <f t="shared" si="2"/>
        <v>100000</v>
      </c>
      <c r="G138" s="2">
        <f t="shared" si="3"/>
        <v>0</v>
      </c>
      <c r="H138" s="12"/>
    </row>
    <row r="139" spans="1:10" x14ac:dyDescent="0.25">
      <c r="A139" s="18"/>
      <c r="B139" s="18" t="s">
        <v>151</v>
      </c>
      <c r="C139" s="2">
        <v>125000</v>
      </c>
      <c r="D139" s="2"/>
      <c r="E139" s="2">
        <v>8000</v>
      </c>
      <c r="F139" s="2">
        <f t="shared" si="2"/>
        <v>117000</v>
      </c>
      <c r="G139" s="2">
        <f t="shared" si="3"/>
        <v>-8000</v>
      </c>
      <c r="H139" s="12"/>
      <c r="J139" s="12"/>
    </row>
    <row r="140" spans="1:10" x14ac:dyDescent="0.25">
      <c r="A140" s="18"/>
      <c r="B140" s="27" t="s">
        <v>150</v>
      </c>
      <c r="C140" s="2">
        <v>20000</v>
      </c>
      <c r="D140" s="2"/>
      <c r="E140" s="2"/>
      <c r="F140" s="2">
        <f>C129-E140</f>
        <v>250000</v>
      </c>
      <c r="G140" s="2">
        <f t="shared" si="3"/>
        <v>0</v>
      </c>
      <c r="H140" s="12"/>
      <c r="J140" s="12">
        <v>857870</v>
      </c>
    </row>
    <row r="141" spans="1:10" x14ac:dyDescent="0.25">
      <c r="A141" s="18"/>
      <c r="B141" s="18" t="s">
        <v>98</v>
      </c>
      <c r="C141" s="2">
        <v>80000</v>
      </c>
      <c r="D141" s="2"/>
      <c r="E141" s="2">
        <v>8719</v>
      </c>
      <c r="F141" s="2"/>
      <c r="G141" s="2"/>
      <c r="H141" s="12"/>
      <c r="J141" s="12"/>
    </row>
    <row r="142" spans="1:10" x14ac:dyDescent="0.25">
      <c r="A142" s="18"/>
      <c r="B142" s="18" t="s">
        <v>94</v>
      </c>
      <c r="C142" s="2">
        <v>75000</v>
      </c>
      <c r="D142" s="2"/>
      <c r="E142" s="2"/>
      <c r="F142" s="2">
        <f t="shared" si="2"/>
        <v>75000</v>
      </c>
      <c r="G142" s="2">
        <f t="shared" si="3"/>
        <v>0</v>
      </c>
      <c r="H142" s="12"/>
      <c r="J142" s="12"/>
    </row>
    <row r="143" spans="1:10" x14ac:dyDescent="0.25">
      <c r="A143" s="18"/>
      <c r="B143" s="18" t="s">
        <v>179</v>
      </c>
      <c r="C143" s="2">
        <v>50000</v>
      </c>
      <c r="D143" s="2"/>
      <c r="E143" s="2"/>
      <c r="F143" s="2"/>
      <c r="G143" s="2"/>
      <c r="H143" s="12"/>
      <c r="J143" s="12"/>
    </row>
    <row r="144" spans="1:10" x14ac:dyDescent="0.25">
      <c r="A144" s="18"/>
      <c r="B144" s="18" t="s">
        <v>110</v>
      </c>
      <c r="C144" s="2">
        <v>1200000</v>
      </c>
      <c r="D144" s="2"/>
      <c r="E144" s="2">
        <v>91110</v>
      </c>
      <c r="F144" s="2">
        <f t="shared" si="2"/>
        <v>1108890</v>
      </c>
      <c r="G144" s="2">
        <f t="shared" si="3"/>
        <v>-91110</v>
      </c>
      <c r="H144" s="12"/>
      <c r="J144" s="12"/>
    </row>
    <row r="145" spans="1:10" x14ac:dyDescent="0.25">
      <c r="A145" s="18"/>
      <c r="B145" s="18" t="s">
        <v>49</v>
      </c>
      <c r="C145" s="2">
        <v>100000</v>
      </c>
      <c r="D145" s="2"/>
      <c r="E145" s="2"/>
      <c r="F145" s="2">
        <f t="shared" si="2"/>
        <v>100000</v>
      </c>
      <c r="G145" s="2">
        <f t="shared" si="3"/>
        <v>0</v>
      </c>
      <c r="H145" s="12"/>
      <c r="J145" s="12">
        <f>J140*55%</f>
        <v>471828.50000000006</v>
      </c>
    </row>
    <row r="146" spans="1:10" x14ac:dyDescent="0.25">
      <c r="A146" s="18"/>
      <c r="B146" s="18" t="s">
        <v>33</v>
      </c>
      <c r="C146" s="2">
        <v>150000</v>
      </c>
      <c r="D146" s="2"/>
      <c r="E146" s="2"/>
      <c r="F146" s="2"/>
      <c r="G146" s="2"/>
      <c r="H146" s="12"/>
      <c r="J146" s="12"/>
    </row>
    <row r="147" spans="1:10" x14ac:dyDescent="0.25">
      <c r="A147" s="18"/>
      <c r="B147" s="18" t="s">
        <v>152</v>
      </c>
      <c r="C147" s="2">
        <v>70000</v>
      </c>
      <c r="D147" s="2"/>
      <c r="E147" s="2"/>
      <c r="F147" s="2"/>
      <c r="G147" s="2"/>
      <c r="H147" s="12"/>
      <c r="J147" s="12"/>
    </row>
    <row r="148" spans="1:10" x14ac:dyDescent="0.25">
      <c r="A148" s="18"/>
      <c r="B148" s="18" t="s">
        <v>42</v>
      </c>
      <c r="C148" s="2">
        <v>15000</v>
      </c>
      <c r="D148" s="2"/>
      <c r="E148" s="2"/>
      <c r="F148" s="2"/>
      <c r="G148" s="2"/>
      <c r="H148" s="12"/>
      <c r="J148" s="12"/>
    </row>
    <row r="149" spans="1:10" x14ac:dyDescent="0.25">
      <c r="A149" s="18"/>
      <c r="B149" s="18" t="s">
        <v>43</v>
      </c>
      <c r="C149" s="2">
        <v>10000</v>
      </c>
      <c r="D149" s="2"/>
      <c r="E149" s="2"/>
      <c r="F149" s="2"/>
      <c r="G149" s="2"/>
      <c r="H149" s="12"/>
      <c r="J149" s="12"/>
    </row>
    <row r="150" spans="1:10" x14ac:dyDescent="0.25">
      <c r="A150" s="18"/>
      <c r="B150" s="18" t="s">
        <v>153</v>
      </c>
      <c r="C150" s="2">
        <v>1000000</v>
      </c>
      <c r="D150" s="2"/>
      <c r="E150" s="2"/>
      <c r="F150" s="2">
        <f t="shared" si="2"/>
        <v>1000000</v>
      </c>
      <c r="G150" s="2">
        <f t="shared" si="3"/>
        <v>0</v>
      </c>
      <c r="J150" s="12"/>
    </row>
    <row r="151" spans="1:10" x14ac:dyDescent="0.25">
      <c r="A151" s="18"/>
      <c r="B151" s="18" t="s">
        <v>154</v>
      </c>
      <c r="C151" s="2">
        <v>20000</v>
      </c>
      <c r="D151" s="2"/>
      <c r="E151" s="2"/>
      <c r="F151" s="2">
        <f t="shared" si="2"/>
        <v>20000</v>
      </c>
      <c r="G151" s="2"/>
      <c r="J151" s="12"/>
    </row>
    <row r="152" spans="1:10" x14ac:dyDescent="0.25">
      <c r="A152" s="18"/>
      <c r="B152" s="18" t="s">
        <v>102</v>
      </c>
      <c r="C152" s="2">
        <v>15000</v>
      </c>
      <c r="D152" s="2"/>
      <c r="E152" s="2"/>
      <c r="F152" s="2">
        <f t="shared" si="2"/>
        <v>15000</v>
      </c>
      <c r="G152" s="2">
        <f t="shared" si="3"/>
        <v>0</v>
      </c>
      <c r="J152" s="12"/>
    </row>
    <row r="153" spans="1:10" x14ac:dyDescent="0.25">
      <c r="A153" s="18"/>
      <c r="B153" s="18" t="s">
        <v>51</v>
      </c>
      <c r="C153" s="2">
        <v>750000</v>
      </c>
      <c r="D153" s="2"/>
      <c r="E153" s="2">
        <v>1200</v>
      </c>
      <c r="F153" s="2">
        <f t="shared" si="2"/>
        <v>748800</v>
      </c>
      <c r="G153" s="2">
        <f t="shared" si="3"/>
        <v>-1200</v>
      </c>
      <c r="J153" s="12"/>
    </row>
    <row r="154" spans="1:10" x14ac:dyDescent="0.25">
      <c r="A154" s="18"/>
      <c r="B154" s="18" t="s">
        <v>52</v>
      </c>
      <c r="C154" s="2">
        <v>50000</v>
      </c>
      <c r="D154" s="2"/>
      <c r="E154" s="2"/>
      <c r="F154" s="2">
        <f t="shared" si="2"/>
        <v>50000</v>
      </c>
      <c r="G154" s="2">
        <f t="shared" si="3"/>
        <v>0</v>
      </c>
    </row>
    <row r="155" spans="1:10" x14ac:dyDescent="0.25">
      <c r="A155" s="18"/>
      <c r="B155" s="18" t="s">
        <v>155</v>
      </c>
      <c r="C155" s="2">
        <v>40247.599999999999</v>
      </c>
      <c r="D155" s="2"/>
      <c r="E155" s="2"/>
      <c r="F155" s="2">
        <f t="shared" si="2"/>
        <v>40247.599999999999</v>
      </c>
      <c r="G155" s="2">
        <f t="shared" si="3"/>
        <v>0</v>
      </c>
    </row>
    <row r="156" spans="1:10" x14ac:dyDescent="0.25">
      <c r="A156" s="18"/>
      <c r="B156" s="18" t="s">
        <v>180</v>
      </c>
      <c r="C156" s="2">
        <v>400000</v>
      </c>
      <c r="D156" s="2"/>
      <c r="E156" s="2"/>
      <c r="F156" s="2">
        <f t="shared" si="2"/>
        <v>400000</v>
      </c>
      <c r="G156" s="2"/>
    </row>
    <row r="157" spans="1:10" x14ac:dyDescent="0.25">
      <c r="A157" s="18"/>
      <c r="B157" s="18" t="s">
        <v>104</v>
      </c>
      <c r="C157" s="2">
        <v>700000</v>
      </c>
      <c r="D157" s="2"/>
      <c r="E157" s="2"/>
      <c r="F157" s="2">
        <f t="shared" si="2"/>
        <v>700000</v>
      </c>
      <c r="G157" s="2">
        <f t="shared" si="3"/>
        <v>0</v>
      </c>
    </row>
    <row r="158" spans="1:10" x14ac:dyDescent="0.25">
      <c r="A158" s="39"/>
      <c r="B158" s="39"/>
      <c r="C158" s="6"/>
      <c r="D158" s="6"/>
      <c r="E158" s="6"/>
      <c r="F158" s="2"/>
      <c r="G158" s="2">
        <f t="shared" si="3"/>
        <v>0</v>
      </c>
    </row>
    <row r="159" spans="1:10" x14ac:dyDescent="0.25">
      <c r="A159" s="40"/>
      <c r="B159" s="30" t="s">
        <v>27</v>
      </c>
      <c r="C159" s="8">
        <f>SUM(C128:C158)</f>
        <v>7265247.5999999996</v>
      </c>
      <c r="D159" s="8">
        <f>SUM(D128:D158)</f>
        <v>0</v>
      </c>
      <c r="E159" s="8">
        <f>SUM(E128:E158)</f>
        <v>158692</v>
      </c>
      <c r="F159" s="8">
        <f>SUM(F128:F158)</f>
        <v>4759937.5999999996</v>
      </c>
      <c r="G159" s="8">
        <f>SUM(G128:G158)</f>
        <v>-100310</v>
      </c>
    </row>
    <row r="160" spans="1:10" x14ac:dyDescent="0.25">
      <c r="C160" s="7"/>
    </row>
    <row r="161" spans="1:9" x14ac:dyDescent="0.25">
      <c r="C161" s="14"/>
      <c r="E161" s="14"/>
    </row>
    <row r="162" spans="1:9" x14ac:dyDescent="0.25">
      <c r="C162" s="14"/>
    </row>
    <row r="164" spans="1:9" x14ac:dyDescent="0.25">
      <c r="A164" s="13" t="s">
        <v>0</v>
      </c>
      <c r="B164" s="36"/>
      <c r="C164" s="10"/>
      <c r="D164" s="10"/>
      <c r="E164" s="10">
        <f>E161-E163</f>
        <v>0</v>
      </c>
      <c r="F164" s="10"/>
      <c r="G164" s="10"/>
    </row>
    <row r="165" spans="1:9" x14ac:dyDescent="0.25">
      <c r="A165" s="13" t="s">
        <v>1</v>
      </c>
      <c r="B165" s="36"/>
      <c r="C165" s="10"/>
      <c r="D165" s="10"/>
      <c r="E165" s="10"/>
      <c r="F165" s="10"/>
      <c r="G165" s="10"/>
    </row>
    <row r="166" spans="1:9" x14ac:dyDescent="0.25">
      <c r="A166" s="13" t="s">
        <v>2</v>
      </c>
      <c r="B166" s="36"/>
      <c r="C166" s="10"/>
      <c r="D166" s="10"/>
      <c r="E166" s="10"/>
      <c r="F166" s="10"/>
      <c r="G166" s="10"/>
    </row>
    <row r="167" spans="1:9" x14ac:dyDescent="0.25">
      <c r="A167" s="24" t="s">
        <v>174</v>
      </c>
      <c r="B167" s="36"/>
      <c r="C167" s="10"/>
      <c r="D167" s="10"/>
      <c r="E167" s="10"/>
      <c r="F167" s="10"/>
      <c r="G167" s="10"/>
    </row>
    <row r="168" spans="1:9" x14ac:dyDescent="0.25">
      <c r="A168" s="35"/>
      <c r="B168" s="36"/>
      <c r="C168" s="10"/>
      <c r="D168" s="10"/>
      <c r="E168" s="10"/>
      <c r="F168" s="10"/>
      <c r="G168" s="10"/>
    </row>
    <row r="169" spans="1:9" x14ac:dyDescent="0.25">
      <c r="A169" s="88" t="s">
        <v>3</v>
      </c>
      <c r="B169" s="88" t="s">
        <v>4</v>
      </c>
      <c r="C169" s="88" t="s">
        <v>5</v>
      </c>
      <c r="D169" s="88" t="s">
        <v>6</v>
      </c>
      <c r="E169" s="88" t="s">
        <v>7</v>
      </c>
      <c r="F169" s="15" t="s">
        <v>8</v>
      </c>
      <c r="G169" s="15" t="s">
        <v>8</v>
      </c>
    </row>
    <row r="170" spans="1:9" x14ac:dyDescent="0.25">
      <c r="A170" s="89"/>
      <c r="B170" s="89"/>
      <c r="C170" s="89"/>
      <c r="D170" s="89"/>
      <c r="E170" s="89"/>
      <c r="F170" s="16" t="s">
        <v>5</v>
      </c>
      <c r="G170" s="16" t="s">
        <v>6</v>
      </c>
    </row>
    <row r="171" spans="1:9" x14ac:dyDescent="0.25">
      <c r="A171" s="17"/>
      <c r="B171" s="17"/>
      <c r="C171" s="17"/>
      <c r="D171" s="17"/>
      <c r="E171" s="17"/>
      <c r="F171" s="17"/>
      <c r="G171" s="17"/>
    </row>
    <row r="172" spans="1:9" x14ac:dyDescent="0.25">
      <c r="A172" s="18"/>
      <c r="B172" s="28" t="s">
        <v>53</v>
      </c>
      <c r="C172" s="18"/>
      <c r="D172" s="18"/>
      <c r="E172" s="18"/>
      <c r="F172" s="18"/>
      <c r="G172" s="18"/>
    </row>
    <row r="173" spans="1:9" x14ac:dyDescent="0.25">
      <c r="A173" s="18"/>
      <c r="B173" s="29" t="s">
        <v>11</v>
      </c>
      <c r="C173" s="2"/>
      <c r="D173" s="2"/>
      <c r="E173" s="2"/>
      <c r="F173" s="2"/>
      <c r="G173" s="2"/>
    </row>
    <row r="174" spans="1:9" x14ac:dyDescent="0.25">
      <c r="A174" s="18"/>
      <c r="B174" s="4" t="s">
        <v>58</v>
      </c>
      <c r="C174" s="2">
        <v>320000</v>
      </c>
      <c r="D174" s="2">
        <v>150000</v>
      </c>
      <c r="E174" s="2">
        <v>165164.16</v>
      </c>
      <c r="F174" s="2">
        <f t="shared" ref="F174:F188" si="4">C174-E174</f>
        <v>154835.84</v>
      </c>
      <c r="G174" s="2">
        <f t="shared" ref="G174:G188" si="5">D174-E174</f>
        <v>-15164.160000000003</v>
      </c>
    </row>
    <row r="175" spans="1:9" x14ac:dyDescent="0.25">
      <c r="A175" s="18"/>
      <c r="B175" s="4" t="s">
        <v>59</v>
      </c>
      <c r="C175" s="2">
        <v>1060000</v>
      </c>
      <c r="D175" s="2">
        <f>95000*3</f>
        <v>285000</v>
      </c>
      <c r="E175" s="2">
        <v>126000</v>
      </c>
      <c r="F175" s="2">
        <f t="shared" si="4"/>
        <v>934000</v>
      </c>
      <c r="G175" s="2">
        <f t="shared" si="5"/>
        <v>159000</v>
      </c>
      <c r="I175" s="14">
        <f>E175*12</f>
        <v>1512000</v>
      </c>
    </row>
    <row r="176" spans="1:9" x14ac:dyDescent="0.25">
      <c r="A176" s="18"/>
      <c r="B176" s="29" t="s">
        <v>12</v>
      </c>
      <c r="C176" s="2"/>
      <c r="D176" s="2"/>
      <c r="E176" s="2"/>
      <c r="F176" s="2">
        <f t="shared" si="4"/>
        <v>0</v>
      </c>
      <c r="G176" s="2">
        <f t="shared" si="5"/>
        <v>0</v>
      </c>
    </row>
    <row r="177" spans="1:9" x14ac:dyDescent="0.25">
      <c r="A177" s="18"/>
      <c r="B177" s="4" t="s">
        <v>54</v>
      </c>
      <c r="C177" s="2">
        <v>2176195.09</v>
      </c>
      <c r="D177" s="2">
        <v>404890.34</v>
      </c>
      <c r="E177" s="2">
        <v>1467.69</v>
      </c>
      <c r="F177" s="2">
        <f t="shared" si="4"/>
        <v>2174727.4</v>
      </c>
      <c r="G177" s="2">
        <f t="shared" si="5"/>
        <v>403422.65</v>
      </c>
      <c r="I177" s="14">
        <f>C177/4</f>
        <v>544048.77249999996</v>
      </c>
    </row>
    <row r="178" spans="1:9" x14ac:dyDescent="0.25">
      <c r="A178" s="18"/>
      <c r="B178" s="4" t="s">
        <v>55</v>
      </c>
      <c r="C178" s="2">
        <v>15000</v>
      </c>
      <c r="D178" s="2"/>
      <c r="E178" s="2"/>
      <c r="F178" s="2">
        <f t="shared" si="4"/>
        <v>15000</v>
      </c>
      <c r="G178" s="2">
        <f t="shared" si="5"/>
        <v>0</v>
      </c>
    </row>
    <row r="179" spans="1:9" x14ac:dyDescent="0.25">
      <c r="A179" s="18"/>
      <c r="B179" s="4" t="s">
        <v>56</v>
      </c>
      <c r="C179" s="2">
        <v>20000</v>
      </c>
      <c r="D179" s="2"/>
      <c r="E179" s="2"/>
      <c r="F179" s="2">
        <f t="shared" si="4"/>
        <v>20000</v>
      </c>
      <c r="G179" s="2">
        <f t="shared" si="5"/>
        <v>0</v>
      </c>
    </row>
    <row r="180" spans="1:9" x14ac:dyDescent="0.25">
      <c r="A180" s="18"/>
      <c r="B180" s="4" t="s">
        <v>175</v>
      </c>
      <c r="C180" s="2">
        <v>2176195.09</v>
      </c>
      <c r="D180" s="2"/>
      <c r="E180" s="2">
        <v>9787</v>
      </c>
      <c r="F180" s="2">
        <f t="shared" si="4"/>
        <v>2166408.09</v>
      </c>
      <c r="G180" s="2">
        <f t="shared" si="5"/>
        <v>-9787</v>
      </c>
    </row>
    <row r="181" spans="1:9" x14ac:dyDescent="0.25">
      <c r="A181" s="18"/>
      <c r="B181" s="4" t="s">
        <v>176</v>
      </c>
      <c r="C181" s="2">
        <v>435239.01</v>
      </c>
      <c r="D181" s="2"/>
      <c r="E181" s="2">
        <v>8000</v>
      </c>
      <c r="F181" s="2"/>
      <c r="G181" s="2"/>
    </row>
    <row r="182" spans="1:9" x14ac:dyDescent="0.25">
      <c r="A182" s="18"/>
      <c r="B182" s="58" t="s">
        <v>177</v>
      </c>
      <c r="C182" s="2">
        <v>363262.38</v>
      </c>
      <c r="D182" s="2"/>
      <c r="E182" s="2"/>
      <c r="F182" s="2">
        <f t="shared" si="4"/>
        <v>363262.38</v>
      </c>
      <c r="G182" s="2">
        <f t="shared" si="5"/>
        <v>0</v>
      </c>
    </row>
    <row r="183" spans="1:9" x14ac:dyDescent="0.25">
      <c r="A183" s="18"/>
      <c r="B183" s="4" t="s">
        <v>178</v>
      </c>
      <c r="C183" s="2">
        <v>100172.48</v>
      </c>
      <c r="D183" s="2"/>
      <c r="E183" s="2"/>
      <c r="F183" s="2">
        <f t="shared" si="4"/>
        <v>100172.48</v>
      </c>
      <c r="G183" s="2">
        <f t="shared" si="5"/>
        <v>0</v>
      </c>
    </row>
    <row r="184" spans="1:9" x14ac:dyDescent="0.25">
      <c r="A184" s="18"/>
      <c r="B184" s="4" t="s">
        <v>113</v>
      </c>
      <c r="C184" s="2">
        <v>150000</v>
      </c>
      <c r="D184" s="2"/>
      <c r="E184" s="2">
        <v>6740</v>
      </c>
      <c r="F184" s="2"/>
      <c r="G184" s="2"/>
    </row>
    <row r="185" spans="1:9" x14ac:dyDescent="0.25">
      <c r="A185" s="18"/>
      <c r="B185" s="29" t="s">
        <v>13</v>
      </c>
      <c r="C185" s="2"/>
      <c r="D185" s="2"/>
      <c r="E185" s="2"/>
      <c r="F185" s="2">
        <f t="shared" si="4"/>
        <v>0</v>
      </c>
      <c r="G185" s="2">
        <f t="shared" si="5"/>
        <v>0</v>
      </c>
    </row>
    <row r="186" spans="1:9" x14ac:dyDescent="0.25">
      <c r="A186" s="18"/>
      <c r="B186" s="4" t="s">
        <v>159</v>
      </c>
      <c r="C186" s="2">
        <v>500000</v>
      </c>
      <c r="D186" s="2"/>
      <c r="E186" s="2">
        <v>20189</v>
      </c>
      <c r="F186" s="2">
        <f t="shared" si="4"/>
        <v>479811</v>
      </c>
      <c r="G186" s="2">
        <f t="shared" si="5"/>
        <v>-20189</v>
      </c>
    </row>
    <row r="187" spans="1:9" x14ac:dyDescent="0.25">
      <c r="A187" s="18"/>
      <c r="B187" s="4" t="s">
        <v>62</v>
      </c>
      <c r="C187" s="2"/>
      <c r="D187" s="2"/>
      <c r="E187" s="2"/>
      <c r="F187" s="2">
        <f t="shared" si="4"/>
        <v>0</v>
      </c>
      <c r="G187" s="2">
        <f t="shared" si="5"/>
        <v>0</v>
      </c>
    </row>
    <row r="188" spans="1:9" x14ac:dyDescent="0.25">
      <c r="A188" s="18"/>
      <c r="B188" s="5" t="s">
        <v>63</v>
      </c>
      <c r="C188" s="2">
        <v>1600000</v>
      </c>
      <c r="D188" s="2"/>
      <c r="E188" s="2">
        <v>1564814.07</v>
      </c>
      <c r="F188" s="2">
        <f t="shared" si="4"/>
        <v>35185.929999999935</v>
      </c>
      <c r="G188" s="2">
        <f t="shared" si="5"/>
        <v>-1564814.07</v>
      </c>
    </row>
    <row r="189" spans="1:9" x14ac:dyDescent="0.25">
      <c r="A189" s="18"/>
      <c r="B189" s="4"/>
      <c r="C189" s="2"/>
      <c r="D189" s="2"/>
      <c r="E189" s="2"/>
      <c r="F189" s="2"/>
      <c r="G189" s="2"/>
    </row>
    <row r="190" spans="1:9" x14ac:dyDescent="0.25">
      <c r="A190" s="18"/>
      <c r="B190" s="41" t="s">
        <v>27</v>
      </c>
      <c r="C190" s="8">
        <f>SUM(C174:C189)</f>
        <v>8916064.0500000007</v>
      </c>
      <c r="D190" s="8">
        <f>SUM(D174:D189)</f>
        <v>839890.34000000008</v>
      </c>
      <c r="E190" s="8">
        <f>SUM(E174:E189)</f>
        <v>1902161.9200000002</v>
      </c>
      <c r="F190" s="8">
        <f>SUM(F174:F189)</f>
        <v>6443403.1200000001</v>
      </c>
      <c r="G190" s="8">
        <f>SUM(G174:G189)</f>
        <v>-1047531.5800000001</v>
      </c>
    </row>
    <row r="191" spans="1:9" ht="15.75" thickBot="1" x14ac:dyDescent="0.3">
      <c r="A191" s="42"/>
      <c r="B191" s="43" t="s">
        <v>64</v>
      </c>
      <c r="C191" s="20">
        <f>C190+C159+C115+C108+C101+C94+C87+C80+C73+C57+C50+C43+C36+C29+C22+C15</f>
        <v>43523901.710000001</v>
      </c>
      <c r="D191" s="20">
        <f>D190+D159+D115+D108+D101+D94+D87+D80+D73+D57+D50+D43+D36+D29+D22+D15</f>
        <v>6957489.1600000011</v>
      </c>
      <c r="E191" s="20">
        <f>E190+E159+E115+E108+E101+E94+E87+E80+E73+E57+E50+E43+E36+E29+E22+E15</f>
        <v>4204034.6900000004</v>
      </c>
      <c r="F191" s="20">
        <f>F190+F159+F115+F108+F101+F94+F87+F80+F73+F57+F50+F43+F36+F29+F22+F15</f>
        <v>36377750.00999999</v>
      </c>
      <c r="G191" s="20">
        <f>G190+G159+G115+G108+G101+G94+G87+G80+G73+G57+G50+G43+G36+G29+G22+G15</f>
        <v>2826576.47</v>
      </c>
    </row>
    <row r="192" spans="1:9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">
        <v>3045178</v>
      </c>
      <c r="F193" s="12"/>
      <c r="G193" s="12"/>
    </row>
    <row r="194" spans="2:12" x14ac:dyDescent="0.25">
      <c r="C194" s="12"/>
      <c r="D194" s="12"/>
      <c r="E194" s="12">
        <f>E193-E191</f>
        <v>-1158856.6900000004</v>
      </c>
      <c r="F194" s="12"/>
      <c r="G194" s="12"/>
    </row>
    <row r="195" spans="2:12" x14ac:dyDescent="0.25">
      <c r="C195" s="12"/>
      <c r="D195" s="12"/>
      <c r="E195" s="12"/>
      <c r="F195" s="12"/>
      <c r="G195" s="12"/>
    </row>
    <row r="196" spans="2:12" x14ac:dyDescent="0.25">
      <c r="B196" s="44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90" t="s">
        <v>164</v>
      </c>
      <c r="E197" s="90"/>
      <c r="F197" s="12"/>
      <c r="G197" s="12"/>
    </row>
    <row r="198" spans="2:12" x14ac:dyDescent="0.25">
      <c r="C198" s="12"/>
      <c r="D198" s="12" t="s">
        <v>162</v>
      </c>
      <c r="E198" s="12" t="s">
        <v>163</v>
      </c>
      <c r="F198" s="12"/>
      <c r="G198" s="12"/>
      <c r="H198" s="57">
        <v>0.8</v>
      </c>
      <c r="I198" s="12">
        <v>2159415</v>
      </c>
      <c r="L198" s="13">
        <f>20*20</f>
        <v>400</v>
      </c>
    </row>
    <row r="199" spans="2:12" x14ac:dyDescent="0.25">
      <c r="C199" s="12" t="s">
        <v>160</v>
      </c>
      <c r="D199" s="12">
        <f>5518028.2+D46</f>
        <v>5781364.3150000004</v>
      </c>
      <c r="E199" s="12">
        <v>1646631.99</v>
      </c>
      <c r="F199" s="12"/>
      <c r="G199" s="12"/>
      <c r="H199" s="57">
        <v>0.2</v>
      </c>
      <c r="I199" s="12">
        <v>539854</v>
      </c>
      <c r="L199" s="13">
        <f>15*20</f>
        <v>300</v>
      </c>
    </row>
    <row r="200" spans="2:12" x14ac:dyDescent="0.25">
      <c r="C200" s="12" t="s">
        <v>161</v>
      </c>
      <c r="D200" s="12">
        <f>D191-D199</f>
        <v>1176124.8450000007</v>
      </c>
      <c r="E200" s="12">
        <v>130701.19</v>
      </c>
      <c r="F200" s="12"/>
      <c r="G200" s="12"/>
      <c r="I200" s="12"/>
    </row>
    <row r="201" spans="2:12" x14ac:dyDescent="0.25">
      <c r="C201" s="56">
        <v>0.2</v>
      </c>
      <c r="D201" s="12"/>
      <c r="E201" s="12">
        <v>133869.85</v>
      </c>
      <c r="F201" s="12"/>
      <c r="G201" s="12"/>
      <c r="I201" s="12"/>
      <c r="L201" s="13">
        <f>SUM(L198:L200)</f>
        <v>700</v>
      </c>
    </row>
    <row r="202" spans="2:12" x14ac:dyDescent="0.25">
      <c r="C202" s="56">
        <v>0.05</v>
      </c>
      <c r="D202" s="12">
        <v>404890.34</v>
      </c>
      <c r="E202" s="12">
        <v>14850</v>
      </c>
      <c r="F202" s="12"/>
      <c r="G202" s="12"/>
      <c r="I202" s="12">
        <f>SUM(I198:I201)</f>
        <v>2699269</v>
      </c>
    </row>
    <row r="203" spans="2:12" x14ac:dyDescent="0.25">
      <c r="C203" s="12" t="s">
        <v>120</v>
      </c>
      <c r="D203" s="12"/>
      <c r="E203" s="12">
        <v>7200</v>
      </c>
      <c r="F203" s="12"/>
      <c r="G203" s="12">
        <f>I202-E191</f>
        <v>-1504765.6900000004</v>
      </c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E205" s="12"/>
      <c r="F205" s="12"/>
      <c r="G205" s="12"/>
      <c r="I205" s="12"/>
    </row>
    <row r="206" spans="2:12" x14ac:dyDescent="0.25">
      <c r="C206" s="12" t="s">
        <v>143</v>
      </c>
      <c r="D206" s="12">
        <f>SUM(D199:D205)</f>
        <v>7362379.5000000009</v>
      </c>
      <c r="E206" s="12">
        <f>SUM(E199:E205)</f>
        <v>1933253.03</v>
      </c>
      <c r="F206" s="12"/>
      <c r="G206" s="12"/>
      <c r="I206" s="12"/>
    </row>
    <row r="207" spans="2:12" x14ac:dyDescent="0.25">
      <c r="C207" s="12"/>
      <c r="D207" s="12"/>
      <c r="E207" s="12">
        <f>E191-E206</f>
        <v>2270781.66</v>
      </c>
      <c r="F207" s="12"/>
      <c r="G207" s="12"/>
      <c r="I207" s="12"/>
    </row>
    <row r="208" spans="2:12" x14ac:dyDescent="0.25">
      <c r="C208" s="12"/>
      <c r="D208" s="12">
        <f>32391227</f>
        <v>32391227</v>
      </c>
      <c r="E208" s="12">
        <f>E206-E191</f>
        <v>-2270781.66</v>
      </c>
      <c r="F208" s="12"/>
      <c r="G208" s="12"/>
      <c r="I208" s="12"/>
    </row>
    <row r="209" spans="3:7" x14ac:dyDescent="0.25">
      <c r="C209" s="12"/>
      <c r="D209" s="12">
        <f>D208*5%</f>
        <v>1619561.35</v>
      </c>
      <c r="E209" s="12"/>
      <c r="F209" s="12"/>
      <c r="G209" s="12"/>
    </row>
    <row r="210" spans="3:7" x14ac:dyDescent="0.25">
      <c r="C210" s="12"/>
      <c r="D210" s="12">
        <f>D209/4</f>
        <v>404890.33750000002</v>
      </c>
      <c r="E210" s="12">
        <f>E174+E175</f>
        <v>291164.16000000003</v>
      </c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>
        <f>E199+E200</f>
        <v>1777333.18</v>
      </c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D197:E197"/>
    <mergeCell ref="A125:A126"/>
    <mergeCell ref="B125:B126"/>
    <mergeCell ref="C125:C126"/>
    <mergeCell ref="D125:D126"/>
    <mergeCell ref="E125:E126"/>
    <mergeCell ref="A169:A170"/>
    <mergeCell ref="B169:B170"/>
    <mergeCell ref="C169:C170"/>
    <mergeCell ref="D169:D170"/>
    <mergeCell ref="E169:E170"/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</mergeCells>
  <pageMargins left="0.16" right="0.11" top="0.4" bottom="0.31" header="0.3" footer="0.3"/>
  <pageSetup scale="83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zoomScale="140" zoomScaleNormal="140" workbookViewId="0">
      <selection activeCell="D13" sqref="D13"/>
    </sheetView>
  </sheetViews>
  <sheetFormatPr defaultRowHeight="15" x14ac:dyDescent="0.25"/>
  <cols>
    <col min="1" max="1" width="8.42578125" style="13" customWidth="1"/>
    <col min="2" max="2" width="39.28515625" style="13" customWidth="1"/>
    <col min="3" max="3" width="16.28515625" style="13" customWidth="1"/>
    <col min="4" max="4" width="14.7109375" style="13" bestFit="1" customWidth="1"/>
    <col min="5" max="5" width="14.7109375" style="13" customWidth="1"/>
    <col min="6" max="6" width="16.28515625" style="13" customWidth="1"/>
    <col min="7" max="7" width="14.855468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165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1506410.36</v>
      </c>
      <c r="D11" s="2">
        <v>1506410.36</v>
      </c>
      <c r="E11" s="2">
        <v>1202634.78</v>
      </c>
      <c r="F11" s="2">
        <f>C11-E11</f>
        <v>303775.58000000007</v>
      </c>
      <c r="G11" s="2">
        <f>D11-E11</f>
        <v>303775.58000000007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998164.2</v>
      </c>
      <c r="D12" s="2">
        <v>998164.2</v>
      </c>
      <c r="E12" s="2">
        <v>921340</v>
      </c>
      <c r="F12" s="2">
        <f t="shared" ref="F12:F13" si="0">C12-E12</f>
        <v>76824.199999999953</v>
      </c>
      <c r="G12" s="2">
        <f t="shared" ref="G12:G13" si="1">D12-E12</f>
        <v>76824.199999999953</v>
      </c>
      <c r="H12" s="13">
        <f>E12/C12</f>
        <v>0.9230345067474871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>
        <v>15000</v>
      </c>
      <c r="D13" s="2"/>
      <c r="E13" s="2"/>
      <c r="F13" s="2">
        <f t="shared" si="0"/>
        <v>15000</v>
      </c>
      <c r="G13" s="2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 t="s">
        <v>156</v>
      </c>
      <c r="D15" s="8">
        <f>SUM(D11:D14)</f>
        <v>2504574.56</v>
      </c>
      <c r="E15" s="8">
        <f>SUM(E11:E14)</f>
        <v>2123974.7800000003</v>
      </c>
      <c r="F15" s="8">
        <f>SUM(F11:F14)</f>
        <v>395599.78</v>
      </c>
      <c r="G15" s="8">
        <f>SUM(G11:G14)</f>
        <v>380599.78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7367290.4000000004</v>
      </c>
      <c r="D18" s="2">
        <v>7367290.4000000004</v>
      </c>
      <c r="E18" s="2">
        <v>5589537.6299999999</v>
      </c>
      <c r="F18" s="2">
        <f>C18-E18</f>
        <v>1777752.7700000005</v>
      </c>
      <c r="G18" s="2">
        <f>D18-E18</f>
        <v>1777752.7700000005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978123.96</v>
      </c>
      <c r="D19" s="2">
        <f>C19/2</f>
        <v>489061.98</v>
      </c>
      <c r="E19" s="2">
        <v>244375.84</v>
      </c>
      <c r="F19" s="2">
        <f>C19-E19</f>
        <v>733748.12</v>
      </c>
      <c r="G19" s="2">
        <f>D19-E19</f>
        <v>244686.13999999998</v>
      </c>
      <c r="H19" s="13">
        <f>E19/C19</f>
        <v>0.24984138002303921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8345414.3600000003</v>
      </c>
      <c r="D22" s="8">
        <f>SUM(D18:D21)</f>
        <v>7856352.3800000008</v>
      </c>
      <c r="E22" s="8">
        <f>SUM(E18:E21)</f>
        <v>5833913.4699999997</v>
      </c>
      <c r="F22" s="8">
        <f>SUM(F18:F21)</f>
        <v>2511500.8900000006</v>
      </c>
      <c r="G22" s="8">
        <f>SUM(G18:G21)</f>
        <v>2022438.9100000004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948784.64000000001</v>
      </c>
      <c r="D25" s="2">
        <v>948784.64000000001</v>
      </c>
      <c r="E25" s="2">
        <v>766130.52</v>
      </c>
      <c r="F25" s="2">
        <f>C25-E25</f>
        <v>182654.12</v>
      </c>
      <c r="G25" s="2">
        <f>D25-E25</f>
        <v>182654.12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125029.3</v>
      </c>
      <c r="D26" s="2">
        <f>C26/2</f>
        <v>62514.65</v>
      </c>
      <c r="E26" s="2">
        <v>36603.75</v>
      </c>
      <c r="F26" s="2">
        <f>C26-E26</f>
        <v>88425.55</v>
      </c>
      <c r="G26" s="2">
        <f>D26-E26</f>
        <v>25910.9</v>
      </c>
      <c r="H26" s="13">
        <f>E26/C26</f>
        <v>0.29276137673329372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>
        <v>35000</v>
      </c>
      <c r="D27" s="2"/>
      <c r="E27" s="2"/>
      <c r="F27" s="2">
        <f>C27-E27</f>
        <v>35000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1108813.94</v>
      </c>
      <c r="D29" s="8">
        <f>SUM(D25:D28)</f>
        <v>1011299.29</v>
      </c>
      <c r="E29" s="8">
        <f>SUM(E25:E28)</f>
        <v>802734.27</v>
      </c>
      <c r="F29" s="8">
        <f>SUM(F25:F28)</f>
        <v>306079.67</v>
      </c>
      <c r="G29" s="8">
        <f>SUM(G25:G28)</f>
        <v>208565.02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7"/>
      <c r="B32" s="29" t="s">
        <v>11</v>
      </c>
      <c r="C32" s="2">
        <v>722099.88</v>
      </c>
      <c r="D32" s="2">
        <v>722099.88</v>
      </c>
      <c r="E32" s="2">
        <v>594675.74</v>
      </c>
      <c r="F32" s="2">
        <f>C32-E32</f>
        <v>127424.14000000001</v>
      </c>
      <c r="G32" s="2">
        <f>D32-E32</f>
        <v>127424.14000000001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73525.78</v>
      </c>
      <c r="D33" s="2">
        <f>C33/2</f>
        <v>36762.89</v>
      </c>
      <c r="E33" s="2">
        <v>47102.5</v>
      </c>
      <c r="F33" s="2">
        <f>C33-E33</f>
        <v>26423.279999999999</v>
      </c>
      <c r="G33" s="2">
        <f>D33-E33</f>
        <v>-10339.61</v>
      </c>
      <c r="H33" s="13">
        <f>E33/C33</f>
        <v>0.6406256417816989</v>
      </c>
      <c r="I33" s="13">
        <v>100</v>
      </c>
      <c r="L33" s="12"/>
      <c r="M33" s="12">
        <v>15000</v>
      </c>
    </row>
    <row r="34" spans="1:13" x14ac:dyDescent="0.25">
      <c r="A34" s="27"/>
      <c r="B34" s="29" t="s">
        <v>13</v>
      </c>
      <c r="C34" s="2">
        <v>10000</v>
      </c>
      <c r="D34" s="2"/>
      <c r="E34" s="2"/>
      <c r="F34" s="2"/>
      <c r="G34" s="2"/>
      <c r="I34" s="13">
        <v>420</v>
      </c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2"/>
      <c r="I35" s="13">
        <v>400</v>
      </c>
      <c r="L35" s="12"/>
    </row>
    <row r="36" spans="1:13" x14ac:dyDescent="0.25">
      <c r="A36" s="27"/>
      <c r="B36" s="30" t="s">
        <v>27</v>
      </c>
      <c r="C36" s="8">
        <f>SUM(C32:C35)</f>
        <v>805625.66</v>
      </c>
      <c r="D36" s="8">
        <f>SUM(D32:D35)</f>
        <v>758862.77</v>
      </c>
      <c r="E36" s="8">
        <f>SUM(E32:E35)</f>
        <v>641778.24</v>
      </c>
      <c r="F36" s="8">
        <f>SUM(F32:F35)</f>
        <v>153847.42000000001</v>
      </c>
      <c r="G36" s="8">
        <f>SUM(G32:G35)</f>
        <v>117084.53000000001</v>
      </c>
      <c r="I36" s="13">
        <v>70</v>
      </c>
      <c r="L36" s="12"/>
    </row>
    <row r="37" spans="1:13" x14ac:dyDescent="0.25">
      <c r="A37" s="27"/>
      <c r="B37" s="18"/>
      <c r="C37" s="2"/>
      <c r="D37" s="2"/>
      <c r="E37" s="2"/>
      <c r="F37" s="2"/>
      <c r="G37" s="2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2"/>
      <c r="I38" s="13">
        <f>SUM(I33:I37)</f>
        <v>990</v>
      </c>
      <c r="L38" s="12"/>
    </row>
    <row r="39" spans="1:13" x14ac:dyDescent="0.25">
      <c r="A39" s="27"/>
      <c r="B39" s="29" t="s">
        <v>11</v>
      </c>
      <c r="C39" s="2">
        <v>586690.76</v>
      </c>
      <c r="D39" s="2">
        <v>586690.76</v>
      </c>
      <c r="E39" s="2">
        <v>473072.5</v>
      </c>
      <c r="F39" s="2">
        <f>C39-E39</f>
        <v>113618.26000000001</v>
      </c>
      <c r="G39" s="2">
        <f>D39-E39</f>
        <v>113618.26000000001</v>
      </c>
      <c r="I39" s="13">
        <f>1600</f>
        <v>1600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f>C40/2</f>
        <v>39701.75</v>
      </c>
      <c r="E40" s="2">
        <v>16922.5</v>
      </c>
      <c r="F40" s="2">
        <f>C40-E40</f>
        <v>62481</v>
      </c>
      <c r="G40" s="2">
        <f>D40-E40</f>
        <v>22779.25</v>
      </c>
      <c r="H40" s="13">
        <f>E40/C40</f>
        <v>0.21312032844899784</v>
      </c>
      <c r="I40" s="13">
        <f>SUM(I38:I39)</f>
        <v>2590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2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2"/>
    </row>
    <row r="43" spans="1:13" x14ac:dyDescent="0.25">
      <c r="A43" s="27"/>
      <c r="B43" s="30" t="s">
        <v>27</v>
      </c>
      <c r="C43" s="8">
        <f>SUM(C39:C42)</f>
        <v>666094.26</v>
      </c>
      <c r="D43" s="8">
        <f>SUM(D39:D42)</f>
        <v>626392.51</v>
      </c>
      <c r="E43" s="8">
        <f>SUM(E39:E42)</f>
        <v>489995</v>
      </c>
      <c r="F43" s="8">
        <f>SUM(F39:F42)</f>
        <v>176099.26</v>
      </c>
      <c r="G43" s="8">
        <f>SUM(G39:G42)</f>
        <v>136397.51</v>
      </c>
    </row>
    <row r="44" spans="1:13" x14ac:dyDescent="0.25">
      <c r="A44" s="27"/>
      <c r="B44" s="18"/>
      <c r="C44" s="2"/>
      <c r="D44" s="2"/>
      <c r="E44" s="2"/>
      <c r="F44" s="2"/>
      <c r="G44" s="2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2"/>
    </row>
    <row r="46" spans="1:13" x14ac:dyDescent="0.25">
      <c r="A46" s="27"/>
      <c r="B46" s="29" t="s">
        <v>11</v>
      </c>
      <c r="C46" s="2">
        <v>1034977.08</v>
      </c>
      <c r="D46" s="2">
        <v>1034977.08</v>
      </c>
      <c r="E46" s="2">
        <v>124303.44</v>
      </c>
      <c r="F46" s="2">
        <f>C46-E46</f>
        <v>910673.6399999999</v>
      </c>
      <c r="G46" s="2">
        <f>D46-E46</f>
        <v>910673.6399999999</v>
      </c>
    </row>
    <row r="47" spans="1:13" x14ac:dyDescent="0.25">
      <c r="A47" s="27"/>
      <c r="B47" s="29" t="s">
        <v>12</v>
      </c>
      <c r="C47" s="2">
        <v>186370.25</v>
      </c>
      <c r="D47" s="2">
        <f>C47/2</f>
        <v>93185.125</v>
      </c>
      <c r="E47" s="2">
        <v>46506.7</v>
      </c>
      <c r="F47" s="2">
        <f>C47-E47</f>
        <v>139863.54999999999</v>
      </c>
      <c r="G47" s="2">
        <f>D47-E47</f>
        <v>46678.425000000003</v>
      </c>
      <c r="H47" s="13">
        <f>E47/C47</f>
        <v>0.24953929073980421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</row>
    <row r="49" spans="1:8" x14ac:dyDescent="0.25">
      <c r="A49" s="27"/>
      <c r="B49" s="29" t="s">
        <v>14</v>
      </c>
      <c r="C49" s="2"/>
      <c r="D49" s="2"/>
      <c r="E49" s="2"/>
      <c r="F49" s="2"/>
      <c r="G49" s="2"/>
      <c r="H49" s="12"/>
    </row>
    <row r="50" spans="1:8" x14ac:dyDescent="0.25">
      <c r="A50" s="27"/>
      <c r="B50" s="30" t="s">
        <v>27</v>
      </c>
      <c r="C50" s="8">
        <f>SUM(C46:C49)</f>
        <v>1221347.33</v>
      </c>
      <c r="D50" s="8">
        <f>SUM(D46:D49)</f>
        <v>1128162.2050000001</v>
      </c>
      <c r="E50" s="8">
        <f>SUM(E46:E49)</f>
        <v>170810.14</v>
      </c>
      <c r="F50" s="8">
        <f>SUM(F46:F49)</f>
        <v>1050537.19</v>
      </c>
      <c r="G50" s="8">
        <f>SUM(G46:G49)</f>
        <v>957352.06499999994</v>
      </c>
      <c r="H50" s="12"/>
    </row>
    <row r="51" spans="1:8" x14ac:dyDescent="0.25">
      <c r="A51" s="27"/>
      <c r="B51" s="18"/>
      <c r="C51" s="2"/>
      <c r="D51" s="2"/>
      <c r="E51" s="2"/>
      <c r="F51" s="2"/>
      <c r="G51" s="2"/>
      <c r="H51" s="12"/>
    </row>
    <row r="52" spans="1:8" x14ac:dyDescent="0.25">
      <c r="A52" s="27">
        <v>1091</v>
      </c>
      <c r="B52" s="28" t="s">
        <v>19</v>
      </c>
      <c r="C52" s="2"/>
      <c r="D52" s="2"/>
      <c r="E52" s="2"/>
      <c r="F52" s="2"/>
      <c r="G52" s="2"/>
      <c r="H52" s="12"/>
    </row>
    <row r="53" spans="1:8" x14ac:dyDescent="0.25">
      <c r="A53" s="27"/>
      <c r="B53" s="29" t="s">
        <v>11</v>
      </c>
      <c r="C53" s="2">
        <v>1544347.32</v>
      </c>
      <c r="D53" s="2">
        <v>1544347.32</v>
      </c>
      <c r="E53" s="2">
        <v>1276420.6000000001</v>
      </c>
      <c r="F53" s="2">
        <f>C53-E53</f>
        <v>267926.71999999997</v>
      </c>
      <c r="G53" s="2">
        <f>D53-E53</f>
        <v>267926.71999999997</v>
      </c>
      <c r="H53" s="12"/>
    </row>
    <row r="54" spans="1:8" x14ac:dyDescent="0.25">
      <c r="A54" s="27"/>
      <c r="B54" s="29" t="s">
        <v>12</v>
      </c>
      <c r="C54" s="2">
        <v>291960.86</v>
      </c>
      <c r="D54" s="2">
        <f>C54/2</f>
        <v>145980.43</v>
      </c>
      <c r="E54" s="2">
        <v>179695.5</v>
      </c>
      <c r="F54" s="2">
        <f>C54-E54</f>
        <v>112265.35999999999</v>
      </c>
      <c r="G54" s="2">
        <f>D54-E54</f>
        <v>-33715.070000000007</v>
      </c>
      <c r="H54" s="13">
        <f>E54/C54</f>
        <v>0.61547804729716171</v>
      </c>
    </row>
    <row r="55" spans="1:8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8" x14ac:dyDescent="0.25">
      <c r="A56" s="27"/>
      <c r="B56" s="29" t="s">
        <v>14</v>
      </c>
      <c r="C56" s="2"/>
      <c r="D56" s="2"/>
      <c r="E56" s="2"/>
      <c r="F56" s="2"/>
      <c r="G56" s="2"/>
      <c r="H56" s="12"/>
    </row>
    <row r="57" spans="1:8" x14ac:dyDescent="0.25">
      <c r="A57" s="31"/>
      <c r="B57" s="30" t="s">
        <v>27</v>
      </c>
      <c r="C57" s="8">
        <f>SUM(C53:C56)</f>
        <v>1836308.1800000002</v>
      </c>
      <c r="D57" s="8">
        <f>SUM(D53:D56)</f>
        <v>1690327.75</v>
      </c>
      <c r="E57" s="8">
        <f>SUM(E53:E56)</f>
        <v>1456116.1</v>
      </c>
      <c r="F57" s="8">
        <f>SUM(F53:F56)</f>
        <v>380192.07999999996</v>
      </c>
      <c r="G57" s="8">
        <f>SUM(G53:G56)</f>
        <v>234211.64999999997</v>
      </c>
      <c r="H57" s="12"/>
    </row>
    <row r="58" spans="1:8" ht="15.75" thickBot="1" x14ac:dyDescent="0.3">
      <c r="A58" s="32"/>
      <c r="B58" s="33"/>
      <c r="C58" s="9"/>
      <c r="D58" s="9"/>
      <c r="E58" s="9"/>
      <c r="F58" s="9"/>
      <c r="G58" s="34"/>
      <c r="H58" s="12"/>
    </row>
    <row r="59" spans="1:8" x14ac:dyDescent="0.25">
      <c r="A59" s="35"/>
      <c r="B59" s="36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6"/>
      <c r="C62" s="10"/>
      <c r="D62" s="10"/>
      <c r="E62" s="10"/>
      <c r="F62" s="10"/>
      <c r="G62" s="10"/>
      <c r="H62" s="12"/>
    </row>
    <row r="63" spans="1:8" x14ac:dyDescent="0.25">
      <c r="A63" s="24" t="s">
        <v>165</v>
      </c>
      <c r="B63" s="36"/>
      <c r="C63" s="10"/>
      <c r="D63" s="10"/>
      <c r="E63" s="10"/>
      <c r="F63" s="10"/>
      <c r="G63" s="10"/>
      <c r="H63" s="12"/>
    </row>
    <row r="64" spans="1:8" x14ac:dyDescent="0.25">
      <c r="A64" s="35"/>
      <c r="B64" s="36"/>
      <c r="C64" s="10"/>
      <c r="D64" s="10"/>
      <c r="E64" s="10"/>
      <c r="F64" s="10"/>
      <c r="G64" s="10"/>
      <c r="H64" s="12"/>
    </row>
    <row r="65" spans="1:8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</row>
    <row r="66" spans="1:8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</row>
    <row r="67" spans="1:8" x14ac:dyDescent="0.25">
      <c r="A67" s="26"/>
      <c r="B67" s="17"/>
      <c r="C67" s="19"/>
      <c r="D67" s="19"/>
      <c r="E67" s="19"/>
      <c r="F67" s="19"/>
      <c r="G67" s="19"/>
      <c r="H67" s="12"/>
    </row>
    <row r="68" spans="1:8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</row>
    <row r="69" spans="1:8" x14ac:dyDescent="0.25">
      <c r="A69" s="27"/>
      <c r="B69" s="29" t="s">
        <v>11</v>
      </c>
      <c r="C69" s="2">
        <v>747618</v>
      </c>
      <c r="D69" s="2">
        <v>747618</v>
      </c>
      <c r="E69" s="2">
        <v>642092.27</v>
      </c>
      <c r="F69" s="2">
        <f>C69-E69</f>
        <v>105525.72999999998</v>
      </c>
      <c r="G69" s="2">
        <f>D69-E69</f>
        <v>105525.72999999998</v>
      </c>
      <c r="H69" s="12"/>
    </row>
    <row r="70" spans="1:8" x14ac:dyDescent="0.25">
      <c r="A70" s="27"/>
      <c r="B70" s="29" t="s">
        <v>12</v>
      </c>
      <c r="C70" s="2">
        <v>102010.7</v>
      </c>
      <c r="D70" s="2">
        <f>C70/2</f>
        <v>51005.35</v>
      </c>
      <c r="E70" s="2">
        <v>36913</v>
      </c>
      <c r="F70" s="2">
        <f>C70-E70</f>
        <v>65097.7</v>
      </c>
      <c r="G70" s="2">
        <f>D70-E70</f>
        <v>14092.349999999999</v>
      </c>
      <c r="H70" s="13">
        <f>E70/C70</f>
        <v>0.36185419764789378</v>
      </c>
    </row>
    <row r="71" spans="1:8" x14ac:dyDescent="0.25">
      <c r="A71" s="27"/>
      <c r="B71" s="29" t="s">
        <v>13</v>
      </c>
      <c r="C71" s="2"/>
      <c r="D71" s="2"/>
      <c r="E71" s="2"/>
      <c r="F71" s="2">
        <f>C71-E71</f>
        <v>0</v>
      </c>
      <c r="G71" s="2">
        <f>D71-E71</f>
        <v>0</v>
      </c>
      <c r="H71" s="12"/>
    </row>
    <row r="72" spans="1:8" x14ac:dyDescent="0.25">
      <c r="A72" s="27"/>
      <c r="B72" s="29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30" t="s">
        <v>27</v>
      </c>
      <c r="C73" s="8">
        <f>SUM(C69:C72)</f>
        <v>849628.7</v>
      </c>
      <c r="D73" s="8">
        <f>SUM(D69:D72)</f>
        <v>798623.35</v>
      </c>
      <c r="E73" s="8">
        <f>SUM(E69:E72)</f>
        <v>679005.27</v>
      </c>
      <c r="F73" s="8">
        <f>SUM(F69:F72)</f>
        <v>170623.43</v>
      </c>
      <c r="G73" s="8">
        <f>SUM(G69:G72)</f>
        <v>119618.07999999999</v>
      </c>
      <c r="H73" s="12"/>
    </row>
    <row r="74" spans="1:8" x14ac:dyDescent="0.25">
      <c r="A74" s="27"/>
      <c r="B74" s="18"/>
      <c r="C74" s="2"/>
      <c r="D74" s="2"/>
      <c r="E74" s="2"/>
      <c r="F74" s="2"/>
      <c r="G74" s="2"/>
      <c r="H74" s="12"/>
    </row>
    <row r="75" spans="1:8" x14ac:dyDescent="0.25">
      <c r="A75" s="27">
        <v>6544</v>
      </c>
      <c r="B75" s="28" t="s">
        <v>21</v>
      </c>
      <c r="C75" s="18"/>
      <c r="D75" s="2"/>
      <c r="E75" s="2"/>
      <c r="F75" s="2"/>
      <c r="G75" s="2"/>
      <c r="H75" s="12"/>
    </row>
    <row r="76" spans="1:8" x14ac:dyDescent="0.25">
      <c r="A76" s="27"/>
      <c r="B76" s="29" t="s">
        <v>11</v>
      </c>
      <c r="C76" s="2">
        <v>1095974.48</v>
      </c>
      <c r="D76" s="2">
        <v>1095974.48</v>
      </c>
      <c r="E76" s="2">
        <v>608248.5</v>
      </c>
      <c r="F76" s="2">
        <f>C76-E76</f>
        <v>487725.98</v>
      </c>
      <c r="G76" s="2">
        <f>D76-E76</f>
        <v>487725.98</v>
      </c>
      <c r="H76" s="12"/>
    </row>
    <row r="77" spans="1:8" x14ac:dyDescent="0.25">
      <c r="A77" s="27"/>
      <c r="B77" s="29" t="s">
        <v>12</v>
      </c>
      <c r="C77" s="2">
        <v>680999</v>
      </c>
      <c r="D77" s="2">
        <v>680999</v>
      </c>
      <c r="E77" s="2">
        <v>788468.61</v>
      </c>
      <c r="F77" s="2">
        <f>C77-E77</f>
        <v>-107469.60999999999</v>
      </c>
      <c r="G77" s="2">
        <f>D77-E77</f>
        <v>-107469.60999999999</v>
      </c>
      <c r="H77" s="13">
        <f>E77/C77</f>
        <v>1.1578117001640238</v>
      </c>
    </row>
    <row r="78" spans="1:8" x14ac:dyDescent="0.25">
      <c r="A78" s="27"/>
      <c r="B78" s="29" t="s">
        <v>13</v>
      </c>
      <c r="C78" s="2"/>
      <c r="D78" s="2"/>
      <c r="E78" s="2"/>
      <c r="F78" s="2"/>
      <c r="G78" s="2"/>
      <c r="H78" s="12"/>
    </row>
    <row r="79" spans="1:8" x14ac:dyDescent="0.25">
      <c r="A79" s="27"/>
      <c r="B79" s="29" t="s">
        <v>14</v>
      </c>
      <c r="C79" s="2"/>
      <c r="D79" s="2"/>
      <c r="E79" s="2"/>
      <c r="F79" s="2"/>
      <c r="G79" s="2"/>
      <c r="H79" s="12"/>
    </row>
    <row r="80" spans="1:8" x14ac:dyDescent="0.25">
      <c r="A80" s="27"/>
      <c r="B80" s="30" t="s">
        <v>27</v>
      </c>
      <c r="C80" s="8">
        <f>SUM(C76:C79)</f>
        <v>1776973.48</v>
      </c>
      <c r="D80" s="8">
        <f>SUM(D76:D79)</f>
        <v>1776973.48</v>
      </c>
      <c r="E80" s="8">
        <f>SUM(E76:E79)</f>
        <v>1396717.1099999999</v>
      </c>
      <c r="F80" s="8">
        <f>SUM(F76:F79)</f>
        <v>380256.37</v>
      </c>
      <c r="G80" s="8">
        <f>SUM(G76:G79)</f>
        <v>380256.37</v>
      </c>
      <c r="H80" s="12"/>
    </row>
    <row r="81" spans="1:8" x14ac:dyDescent="0.25">
      <c r="A81" s="27"/>
      <c r="B81" s="18"/>
      <c r="C81" s="2"/>
      <c r="D81" s="2"/>
      <c r="E81" s="2"/>
      <c r="F81" s="2"/>
      <c r="G81" s="2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2"/>
      <c r="H82" s="12"/>
    </row>
    <row r="83" spans="1:8" x14ac:dyDescent="0.25">
      <c r="A83" s="27"/>
      <c r="B83" s="29" t="s">
        <v>11</v>
      </c>
      <c r="C83" s="2">
        <v>2875006</v>
      </c>
      <c r="D83" s="2">
        <v>2875006</v>
      </c>
      <c r="E83" s="2">
        <v>2326612.52</v>
      </c>
      <c r="F83" s="2">
        <f>C83-E83</f>
        <v>548393.48</v>
      </c>
      <c r="G83" s="2">
        <f>D83-E83</f>
        <v>548393.48</v>
      </c>
      <c r="H83" s="12"/>
    </row>
    <row r="84" spans="1:8" x14ac:dyDescent="0.25">
      <c r="A84" s="27"/>
      <c r="B84" s="29" t="s">
        <v>12</v>
      </c>
      <c r="C84" s="2">
        <v>158998.95000000001</v>
      </c>
      <c r="D84" s="2">
        <f>C84/2</f>
        <v>79499.475000000006</v>
      </c>
      <c r="E84" s="2">
        <v>60347.88</v>
      </c>
      <c r="F84" s="2">
        <f>C84-E84</f>
        <v>98651.07</v>
      </c>
      <c r="G84" s="2">
        <f>D84-E84</f>
        <v>19151.595000000008</v>
      </c>
      <c r="H84" s="13">
        <f>E84/C84</f>
        <v>0.37954892154948189</v>
      </c>
    </row>
    <row r="85" spans="1:8" x14ac:dyDescent="0.25">
      <c r="A85" s="27"/>
      <c r="B85" s="29" t="s">
        <v>13</v>
      </c>
      <c r="C85" s="2"/>
      <c r="D85" s="2"/>
      <c r="E85" s="2"/>
      <c r="F85" s="2"/>
      <c r="G85" s="2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2"/>
      <c r="H86" s="12"/>
    </row>
    <row r="87" spans="1:8" x14ac:dyDescent="0.25">
      <c r="A87" s="27"/>
      <c r="B87" s="30" t="s">
        <v>27</v>
      </c>
      <c r="C87" s="8">
        <f>SUM(C83:C86)</f>
        <v>3034004.95</v>
      </c>
      <c r="D87" s="8">
        <f>SUM(D83:D86)</f>
        <v>2954505.4750000001</v>
      </c>
      <c r="E87" s="8">
        <f>SUM(E83:E86)</f>
        <v>2386960.4</v>
      </c>
      <c r="F87" s="8">
        <f>SUM(F83:F86)</f>
        <v>647044.55000000005</v>
      </c>
      <c r="G87" s="8">
        <f>SUM(G83:G86)</f>
        <v>567545.07499999995</v>
      </c>
      <c r="H87" s="12"/>
    </row>
    <row r="88" spans="1:8" x14ac:dyDescent="0.25">
      <c r="A88" s="27"/>
      <c r="B88" s="18"/>
      <c r="C88" s="2"/>
      <c r="D88" s="2"/>
      <c r="E88" s="2"/>
      <c r="F88" s="2"/>
      <c r="G88" s="2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2"/>
      <c r="H89" s="12"/>
    </row>
    <row r="90" spans="1:8" x14ac:dyDescent="0.25">
      <c r="A90" s="27"/>
      <c r="B90" s="29" t="s">
        <v>11</v>
      </c>
      <c r="C90" s="2">
        <v>1095293.6399999999</v>
      </c>
      <c r="D90" s="2">
        <v>1095293.6399999999</v>
      </c>
      <c r="E90" s="2">
        <v>237596.66</v>
      </c>
      <c r="F90" s="2">
        <f>C90-E90</f>
        <v>857696.97999999986</v>
      </c>
      <c r="G90" s="2">
        <f>D90-E90</f>
        <v>857696.97999999986</v>
      </c>
      <c r="H90" s="12"/>
    </row>
    <row r="91" spans="1:8" x14ac:dyDescent="0.25">
      <c r="A91" s="27"/>
      <c r="B91" s="29" t="s">
        <v>12</v>
      </c>
      <c r="C91" s="2">
        <v>172701.05</v>
      </c>
      <c r="D91" s="2">
        <f>C91/2</f>
        <v>86350.524999999994</v>
      </c>
      <c r="E91" s="2">
        <v>82280.899999999994</v>
      </c>
      <c r="F91" s="2">
        <f>C91-E91</f>
        <v>90420.15</v>
      </c>
      <c r="G91" s="2">
        <f>D91-E91</f>
        <v>4069.625</v>
      </c>
      <c r="H91" s="13">
        <f>E91/C91</f>
        <v>0.47643543568495966</v>
      </c>
    </row>
    <row r="92" spans="1:8" x14ac:dyDescent="0.25">
      <c r="A92" s="27"/>
      <c r="B92" s="29" t="s">
        <v>13</v>
      </c>
      <c r="C92" s="2"/>
      <c r="D92" s="2"/>
      <c r="E92" s="2"/>
      <c r="F92" s="2"/>
      <c r="G92" s="2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2"/>
      <c r="H93" s="12"/>
    </row>
    <row r="94" spans="1:8" x14ac:dyDescent="0.25">
      <c r="A94" s="27"/>
      <c r="B94" s="30" t="s">
        <v>27</v>
      </c>
      <c r="C94" s="8">
        <f>SUM(C90:C93)</f>
        <v>1267994.69</v>
      </c>
      <c r="D94" s="8">
        <f>SUM(D90:D93)</f>
        <v>1181644.1649999998</v>
      </c>
      <c r="E94" s="8">
        <f>SUM(E90:E93)</f>
        <v>319877.56</v>
      </c>
      <c r="F94" s="8">
        <f>SUM(F90:F93)</f>
        <v>948117.12999999989</v>
      </c>
      <c r="G94" s="8">
        <f>SUM(G90:G93)</f>
        <v>861766.60499999986</v>
      </c>
      <c r="H94" s="12"/>
    </row>
    <row r="95" spans="1:8" x14ac:dyDescent="0.25">
      <c r="A95" s="27"/>
      <c r="B95" s="18"/>
      <c r="C95" s="2"/>
      <c r="D95" s="2"/>
      <c r="E95" s="2"/>
      <c r="F95" s="2"/>
      <c r="G95" s="2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2"/>
      <c r="H96" s="12"/>
    </row>
    <row r="97" spans="1:8" x14ac:dyDescent="0.25">
      <c r="A97" s="27"/>
      <c r="B97" s="29" t="s">
        <v>11</v>
      </c>
      <c r="C97" s="2">
        <v>848210.96</v>
      </c>
      <c r="D97" s="2">
        <v>848210.96</v>
      </c>
      <c r="E97" s="2">
        <v>639350.22</v>
      </c>
      <c r="F97" s="2">
        <f>C97-E97</f>
        <v>208860.74</v>
      </c>
      <c r="G97" s="2">
        <f>D97-E97</f>
        <v>208860.74</v>
      </c>
      <c r="H97" s="12"/>
    </row>
    <row r="98" spans="1:8" x14ac:dyDescent="0.25">
      <c r="A98" s="27"/>
      <c r="B98" s="29" t="s">
        <v>12</v>
      </c>
      <c r="C98" s="2">
        <v>79793.45</v>
      </c>
      <c r="D98" s="2">
        <f>C98/2</f>
        <v>39896.724999999999</v>
      </c>
      <c r="E98" s="2">
        <v>24301.47</v>
      </c>
      <c r="F98" s="2">
        <f>C98-E98</f>
        <v>55491.979999999996</v>
      </c>
      <c r="G98" s="2">
        <f>D98-E98</f>
        <v>15595.254999999997</v>
      </c>
      <c r="H98" s="13">
        <f>E98/C98</f>
        <v>0.30455469715872674</v>
      </c>
    </row>
    <row r="99" spans="1:8" x14ac:dyDescent="0.25">
      <c r="A99" s="27"/>
      <c r="B99" s="29" t="s">
        <v>13</v>
      </c>
      <c r="C99" s="2">
        <v>35000</v>
      </c>
      <c r="D99" s="2"/>
      <c r="E99" s="2"/>
      <c r="F99" s="2"/>
      <c r="G99" s="2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7"/>
      <c r="B101" s="30" t="s">
        <v>27</v>
      </c>
      <c r="C101" s="8">
        <f>SUM(C97:C100)</f>
        <v>963004.40999999992</v>
      </c>
      <c r="D101" s="8">
        <f>SUM(D97:D100)</f>
        <v>888107.68499999994</v>
      </c>
      <c r="E101" s="8">
        <f>SUM(E97:E100)</f>
        <v>663651.68999999994</v>
      </c>
      <c r="F101" s="8">
        <f>SUM(F97:F100)</f>
        <v>264352.71999999997</v>
      </c>
      <c r="G101" s="8">
        <f>SUM(G97:G100)</f>
        <v>224455.995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2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7"/>
      <c r="B104" s="29" t="s">
        <v>11</v>
      </c>
      <c r="C104" s="2">
        <v>994386.36</v>
      </c>
      <c r="D104" s="2">
        <v>994386.36</v>
      </c>
      <c r="E104" s="2">
        <v>820309.32</v>
      </c>
      <c r="F104" s="2">
        <f>C104-E104</f>
        <v>174077.04000000004</v>
      </c>
      <c r="G104" s="2">
        <f>D104-E104</f>
        <v>174077.04000000004</v>
      </c>
      <c r="H104" s="12"/>
    </row>
    <row r="105" spans="1:8" x14ac:dyDescent="0.25">
      <c r="A105" s="27"/>
      <c r="B105" s="29" t="s">
        <v>12</v>
      </c>
      <c r="C105" s="2">
        <v>55705</v>
      </c>
      <c r="D105" s="2">
        <f>C105/2</f>
        <v>27852.5</v>
      </c>
      <c r="E105" s="2">
        <v>13973</v>
      </c>
      <c r="F105" s="2">
        <f>C105-E105</f>
        <v>41732</v>
      </c>
      <c r="G105" s="2">
        <f>D105-E105</f>
        <v>13879.5</v>
      </c>
      <c r="H105" s="13">
        <f>E105/C105</f>
        <v>0.25083924243784222</v>
      </c>
    </row>
    <row r="106" spans="1:8" x14ac:dyDescent="0.25">
      <c r="A106" s="27"/>
      <c r="B106" s="29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7"/>
      <c r="B108" s="30" t="s">
        <v>27</v>
      </c>
      <c r="C108" s="8">
        <f>SUM(C104:C107)</f>
        <v>1050091.3599999999</v>
      </c>
      <c r="D108" s="8">
        <f>SUM(D104:D107)</f>
        <v>1022238.86</v>
      </c>
      <c r="E108" s="8">
        <f>SUM(E104:E107)</f>
        <v>834282.32</v>
      </c>
      <c r="F108" s="8">
        <f>SUM(F104:F107)</f>
        <v>215809.04000000004</v>
      </c>
      <c r="G108" s="8">
        <f>SUM(G104:G107)</f>
        <v>187956.54000000004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2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7"/>
      <c r="B112" s="29" t="s">
        <v>12</v>
      </c>
      <c r="C112" s="2">
        <v>52119</v>
      </c>
      <c r="D112" s="2">
        <f>C112/2</f>
        <v>26059.5</v>
      </c>
      <c r="E112" s="2">
        <v>16618</v>
      </c>
      <c r="F112" s="2">
        <f>C112-E112</f>
        <v>35501</v>
      </c>
      <c r="G112" s="2">
        <f>D112-E112</f>
        <v>9441.5</v>
      </c>
      <c r="H112" s="13">
        <f>E112/C112</f>
        <v>0.31884725340087106</v>
      </c>
    </row>
    <row r="113" spans="1:8" x14ac:dyDescent="0.25">
      <c r="A113" s="27"/>
      <c r="B113" s="29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31"/>
      <c r="B115" s="30" t="s">
        <v>27</v>
      </c>
      <c r="C115" s="8">
        <f>SUM(C111:C114)</f>
        <v>52119</v>
      </c>
      <c r="D115" s="8">
        <f>SUM(D111:D114)</f>
        <v>26059.5</v>
      </c>
      <c r="E115" s="8">
        <f>SUM(E111:E114)</f>
        <v>16618</v>
      </c>
      <c r="F115" s="8">
        <f>SUM(F111:F114)</f>
        <v>35501</v>
      </c>
      <c r="G115" s="8">
        <f>SUM(G111:G114)</f>
        <v>9441.5</v>
      </c>
      <c r="H115" s="12"/>
    </row>
    <row r="116" spans="1:8" ht="15.75" thickBot="1" x14ac:dyDescent="0.3">
      <c r="A116" s="37"/>
      <c r="B116" s="38"/>
      <c r="C116" s="9"/>
      <c r="D116" s="9"/>
      <c r="E116" s="9"/>
      <c r="F116" s="9"/>
      <c r="G116" s="34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E118" s="12">
        <f>E15+E22+E29+E36+E43+E50+E57+E73+E80+E87+E94+E101+E108+E115+E171+E172</f>
        <v>19131218.600000001</v>
      </c>
      <c r="F118" s="12"/>
      <c r="G118" s="12"/>
      <c r="H118" s="12"/>
    </row>
    <row r="119" spans="1:8" x14ac:dyDescent="0.25">
      <c r="C119" s="12">
        <f>C12+C19+C26+C33+C40+C47+C54+C70+C77+C84+C91+C98+C105+C112</f>
        <v>4034905</v>
      </c>
      <c r="D119" s="12">
        <f>D12+D19+D26+D33+D40+D47+D54+D70+D77+D84+D91+D98+D105+D112</f>
        <v>2857034.1</v>
      </c>
      <c r="E119" s="12">
        <f>E12+E19+E26+E33+E40+E47+E54+E70+E77+E84+E91+E98+E105+E112</f>
        <v>2515449.65</v>
      </c>
      <c r="F119" s="10">
        <f>E11+E18+E25+E32+E39+E46+E53+E69+E76+E83+E90+E97+E104</f>
        <v>15300984.699999999</v>
      </c>
      <c r="G119" s="12"/>
      <c r="H119" s="12"/>
    </row>
    <row r="120" spans="1:8" x14ac:dyDescent="0.25">
      <c r="A120" s="13" t="s">
        <v>0</v>
      </c>
      <c r="B120" s="36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165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88" t="s">
        <v>3</v>
      </c>
      <c r="B125" s="88" t="s">
        <v>4</v>
      </c>
      <c r="C125" s="88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89"/>
      <c r="B126" s="89"/>
      <c r="C126" s="89"/>
      <c r="D126" s="89"/>
      <c r="E126" s="89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33245.4</v>
      </c>
      <c r="D128" s="2">
        <v>33245.4</v>
      </c>
      <c r="E128" s="2">
        <v>15492</v>
      </c>
      <c r="F128" s="2">
        <f t="shared" ref="F128:F154" si="2">C128-E128</f>
        <v>17753.400000000001</v>
      </c>
      <c r="G128" s="2">
        <f t="shared" ref="G128:G155" si="3">D128-E128</f>
        <v>17753.400000000001</v>
      </c>
      <c r="H128" s="12"/>
    </row>
    <row r="129" spans="1:10" x14ac:dyDescent="0.25">
      <c r="A129" s="18"/>
      <c r="B129" s="18" t="s">
        <v>32</v>
      </c>
      <c r="C129" s="2">
        <v>250000</v>
      </c>
      <c r="D129" s="2">
        <v>250000</v>
      </c>
      <c r="E129" s="2">
        <v>10514.85</v>
      </c>
      <c r="F129" s="2">
        <f t="shared" si="2"/>
        <v>239485.15</v>
      </c>
      <c r="G129" s="2">
        <f t="shared" si="3"/>
        <v>239485.15</v>
      </c>
      <c r="H129" s="12"/>
    </row>
    <row r="130" spans="1:10" x14ac:dyDescent="0.25">
      <c r="A130" s="18"/>
      <c r="B130" s="18" t="s">
        <v>35</v>
      </c>
      <c r="C130" s="2">
        <v>430000</v>
      </c>
      <c r="D130" s="2">
        <v>430000</v>
      </c>
      <c r="E130" s="2">
        <v>433806.54</v>
      </c>
      <c r="F130" s="2">
        <f t="shared" si="2"/>
        <v>-3806.539999999979</v>
      </c>
      <c r="G130" s="2">
        <f t="shared" si="3"/>
        <v>-3806.539999999979</v>
      </c>
      <c r="H130" s="12"/>
    </row>
    <row r="131" spans="1:10" x14ac:dyDescent="0.25">
      <c r="A131" s="18"/>
      <c r="B131" s="18" t="s">
        <v>96</v>
      </c>
      <c r="C131" s="2">
        <v>150000</v>
      </c>
      <c r="D131" s="2">
        <v>150000</v>
      </c>
      <c r="E131" s="2"/>
      <c r="F131" s="2">
        <f t="shared" si="2"/>
        <v>150000</v>
      </c>
      <c r="G131" s="2">
        <f t="shared" si="3"/>
        <v>150000</v>
      </c>
      <c r="H131" s="12"/>
    </row>
    <row r="132" spans="1:10" x14ac:dyDescent="0.25">
      <c r="A132" s="18"/>
      <c r="B132" s="18" t="s">
        <v>100</v>
      </c>
      <c r="C132" s="2">
        <v>300000</v>
      </c>
      <c r="D132" s="2">
        <v>300000</v>
      </c>
      <c r="E132" s="2">
        <v>169992</v>
      </c>
      <c r="F132" s="2">
        <f t="shared" si="2"/>
        <v>130008</v>
      </c>
      <c r="G132" s="2">
        <f t="shared" si="3"/>
        <v>130008</v>
      </c>
      <c r="H132" s="12"/>
    </row>
    <row r="133" spans="1:10" x14ac:dyDescent="0.25">
      <c r="A133" s="18"/>
      <c r="B133" s="18" t="s">
        <v>31</v>
      </c>
      <c r="C133" s="2"/>
      <c r="D133" s="2"/>
      <c r="E133" s="2"/>
      <c r="F133" s="2">
        <f t="shared" si="2"/>
        <v>0</v>
      </c>
      <c r="G133" s="2"/>
      <c r="H133" s="12"/>
    </row>
    <row r="134" spans="1:10" x14ac:dyDescent="0.25">
      <c r="A134" s="18"/>
      <c r="B134" s="55" t="s">
        <v>146</v>
      </c>
      <c r="C134" s="2">
        <v>300000</v>
      </c>
      <c r="D134" s="2">
        <v>300000</v>
      </c>
      <c r="E134" s="2">
        <v>238688</v>
      </c>
      <c r="F134" s="2">
        <f t="shared" si="2"/>
        <v>61312</v>
      </c>
      <c r="G134" s="2">
        <f t="shared" si="3"/>
        <v>61312</v>
      </c>
      <c r="H134" s="12"/>
    </row>
    <row r="135" spans="1:10" x14ac:dyDescent="0.25">
      <c r="A135" s="18"/>
      <c r="B135" s="55" t="s">
        <v>147</v>
      </c>
      <c r="C135" s="2">
        <v>400000</v>
      </c>
      <c r="D135" s="2">
        <v>400000</v>
      </c>
      <c r="E135" s="2">
        <v>426550</v>
      </c>
      <c r="F135" s="2">
        <f t="shared" si="2"/>
        <v>-26550</v>
      </c>
      <c r="G135" s="2">
        <f t="shared" si="3"/>
        <v>-26550</v>
      </c>
      <c r="H135" s="12"/>
    </row>
    <row r="136" spans="1:10" x14ac:dyDescent="0.25">
      <c r="A136" s="18"/>
      <c r="B136" s="55" t="s">
        <v>148</v>
      </c>
      <c r="C136" s="2">
        <v>200000</v>
      </c>
      <c r="D136" s="2">
        <v>200000</v>
      </c>
      <c r="E136" s="2"/>
      <c r="F136" s="2">
        <f t="shared" si="2"/>
        <v>200000</v>
      </c>
      <c r="G136" s="2">
        <f t="shared" si="3"/>
        <v>200000</v>
      </c>
      <c r="H136" s="12"/>
    </row>
    <row r="137" spans="1:10" x14ac:dyDescent="0.25">
      <c r="A137" s="18"/>
      <c r="B137" s="55" t="s">
        <v>149</v>
      </c>
      <c r="C137" s="2">
        <v>100000</v>
      </c>
      <c r="D137" s="2">
        <v>100000</v>
      </c>
      <c r="E137" s="2"/>
      <c r="F137" s="2">
        <f t="shared" si="2"/>
        <v>100000</v>
      </c>
      <c r="G137" s="2">
        <f t="shared" si="3"/>
        <v>100000</v>
      </c>
      <c r="H137" s="12"/>
    </row>
    <row r="138" spans="1:10" x14ac:dyDescent="0.25">
      <c r="A138" s="18"/>
      <c r="B138" s="18" t="s">
        <v>151</v>
      </c>
      <c r="C138" s="2">
        <v>125000</v>
      </c>
      <c r="D138" s="2">
        <v>125000</v>
      </c>
      <c r="E138" s="2">
        <f>7175+11965+25430</f>
        <v>44570</v>
      </c>
      <c r="F138" s="2">
        <f t="shared" si="2"/>
        <v>80430</v>
      </c>
      <c r="G138" s="2">
        <f t="shared" si="3"/>
        <v>80430</v>
      </c>
      <c r="H138" s="12"/>
      <c r="J138" s="12"/>
    </row>
    <row r="139" spans="1:10" x14ac:dyDescent="0.25">
      <c r="A139" s="18"/>
      <c r="B139" s="27" t="s">
        <v>150</v>
      </c>
      <c r="C139" s="2">
        <v>20000</v>
      </c>
      <c r="D139" s="2">
        <v>20000</v>
      </c>
      <c r="E139" s="2">
        <v>9500</v>
      </c>
      <c r="F139" s="2">
        <f t="shared" si="2"/>
        <v>10500</v>
      </c>
      <c r="G139" s="2">
        <f t="shared" si="3"/>
        <v>10500</v>
      </c>
      <c r="H139" s="12"/>
      <c r="J139" s="12">
        <v>857870</v>
      </c>
    </row>
    <row r="140" spans="1:10" x14ac:dyDescent="0.25">
      <c r="A140" s="18"/>
      <c r="B140" s="18" t="s">
        <v>98</v>
      </c>
      <c r="C140" s="2">
        <v>80000</v>
      </c>
      <c r="D140" s="2">
        <v>80000</v>
      </c>
      <c r="E140" s="2">
        <v>32933</v>
      </c>
      <c r="F140" s="2">
        <f t="shared" si="2"/>
        <v>47067</v>
      </c>
      <c r="G140" s="2">
        <f t="shared" si="3"/>
        <v>47067</v>
      </c>
      <c r="H140" s="12"/>
      <c r="J140" s="12"/>
    </row>
    <row r="141" spans="1:10" x14ac:dyDescent="0.25">
      <c r="A141" s="18"/>
      <c r="B141" s="18" t="s">
        <v>94</v>
      </c>
      <c r="C141" s="2">
        <v>50000</v>
      </c>
      <c r="D141" s="2">
        <v>50000</v>
      </c>
      <c r="E141" s="2">
        <v>1500</v>
      </c>
      <c r="F141" s="2">
        <f t="shared" si="2"/>
        <v>48500</v>
      </c>
      <c r="G141" s="2">
        <f t="shared" si="3"/>
        <v>48500</v>
      </c>
      <c r="H141" s="12"/>
      <c r="J141" s="12"/>
    </row>
    <row r="142" spans="1:10" x14ac:dyDescent="0.25">
      <c r="A142" s="18"/>
      <c r="B142" s="18" t="s">
        <v>110</v>
      </c>
      <c r="C142" s="2">
        <v>1200000</v>
      </c>
      <c r="D142" s="2">
        <v>1200000</v>
      </c>
      <c r="E142" s="2">
        <v>1847850</v>
      </c>
      <c r="F142" s="2">
        <f t="shared" si="2"/>
        <v>-647850</v>
      </c>
      <c r="G142" s="2">
        <f t="shared" si="3"/>
        <v>-647850</v>
      </c>
      <c r="H142" s="12"/>
      <c r="J142" s="12"/>
    </row>
    <row r="143" spans="1:10" x14ac:dyDescent="0.25">
      <c r="A143" s="18"/>
      <c r="B143" s="18" t="s">
        <v>49</v>
      </c>
      <c r="C143" s="2">
        <v>30000</v>
      </c>
      <c r="D143" s="2">
        <v>30000</v>
      </c>
      <c r="E143" s="2"/>
      <c r="F143" s="2">
        <f t="shared" si="2"/>
        <v>30000</v>
      </c>
      <c r="G143" s="2">
        <f t="shared" si="3"/>
        <v>30000</v>
      </c>
      <c r="H143" s="12"/>
      <c r="J143" s="12">
        <f>J139*55%</f>
        <v>471828.50000000006</v>
      </c>
    </row>
    <row r="144" spans="1:10" x14ac:dyDescent="0.25">
      <c r="A144" s="18"/>
      <c r="B144" s="18" t="s">
        <v>33</v>
      </c>
      <c r="C144" s="2">
        <v>150000</v>
      </c>
      <c r="D144" s="2">
        <v>150000</v>
      </c>
      <c r="E144" s="2">
        <v>157805</v>
      </c>
      <c r="F144" s="2">
        <f t="shared" si="2"/>
        <v>-7805</v>
      </c>
      <c r="G144" s="2">
        <f t="shared" si="3"/>
        <v>-7805</v>
      </c>
      <c r="H144" s="12"/>
      <c r="J144" s="12"/>
    </row>
    <row r="145" spans="1:10" x14ac:dyDescent="0.25">
      <c r="A145" s="18"/>
      <c r="B145" s="18" t="s">
        <v>152</v>
      </c>
      <c r="C145" s="2">
        <v>70000</v>
      </c>
      <c r="D145" s="2">
        <v>70000</v>
      </c>
      <c r="E145" s="2">
        <v>12774</v>
      </c>
      <c r="F145" s="2">
        <f t="shared" si="2"/>
        <v>57226</v>
      </c>
      <c r="G145" s="2">
        <f t="shared" si="3"/>
        <v>57226</v>
      </c>
      <c r="H145" s="12"/>
      <c r="J145" s="12"/>
    </row>
    <row r="146" spans="1:10" x14ac:dyDescent="0.25">
      <c r="A146" s="18"/>
      <c r="B146" s="18" t="s">
        <v>42</v>
      </c>
      <c r="C146" s="2">
        <v>15000</v>
      </c>
      <c r="D146" s="2">
        <v>15000</v>
      </c>
      <c r="E146" s="2"/>
      <c r="F146" s="2">
        <f t="shared" si="2"/>
        <v>15000</v>
      </c>
      <c r="G146" s="2">
        <f t="shared" si="3"/>
        <v>15000</v>
      </c>
      <c r="H146" s="12"/>
      <c r="J146" s="12"/>
    </row>
    <row r="147" spans="1:10" x14ac:dyDescent="0.25">
      <c r="A147" s="18"/>
      <c r="B147" s="18" t="s">
        <v>43</v>
      </c>
      <c r="C147" s="2">
        <v>10000</v>
      </c>
      <c r="D147" s="2">
        <v>10000</v>
      </c>
      <c r="E147" s="2">
        <v>2600</v>
      </c>
      <c r="F147" s="2">
        <f t="shared" si="2"/>
        <v>7400</v>
      </c>
      <c r="G147" s="2">
        <f t="shared" si="3"/>
        <v>7400</v>
      </c>
      <c r="H147" s="12"/>
      <c r="J147" s="12"/>
    </row>
    <row r="148" spans="1:10" x14ac:dyDescent="0.25">
      <c r="A148" s="18"/>
      <c r="B148" s="18" t="s">
        <v>153</v>
      </c>
      <c r="C148" s="2">
        <v>1000000</v>
      </c>
      <c r="D148" s="2">
        <v>1000000</v>
      </c>
      <c r="E148" s="2">
        <v>32425.5</v>
      </c>
      <c r="F148" s="2">
        <f t="shared" si="2"/>
        <v>967574.5</v>
      </c>
      <c r="G148" s="2">
        <f t="shared" si="3"/>
        <v>967574.5</v>
      </c>
      <c r="J148" s="12"/>
    </row>
    <row r="149" spans="1:10" x14ac:dyDescent="0.25">
      <c r="A149" s="18"/>
      <c r="B149" s="18" t="s">
        <v>154</v>
      </c>
      <c r="C149" s="2">
        <v>20000</v>
      </c>
      <c r="D149" s="2">
        <v>20000</v>
      </c>
      <c r="E149" s="2"/>
      <c r="F149" s="2">
        <f t="shared" si="2"/>
        <v>20000</v>
      </c>
      <c r="G149" s="2">
        <f t="shared" si="3"/>
        <v>20000</v>
      </c>
      <c r="J149" s="12"/>
    </row>
    <row r="150" spans="1:10" x14ac:dyDescent="0.25">
      <c r="A150" s="18"/>
      <c r="B150" s="18" t="s">
        <v>102</v>
      </c>
      <c r="C150" s="2">
        <v>15000</v>
      </c>
      <c r="D150" s="2">
        <v>15000</v>
      </c>
      <c r="E150" s="2">
        <v>850</v>
      </c>
      <c r="F150" s="2">
        <f t="shared" si="2"/>
        <v>14150</v>
      </c>
      <c r="G150" s="2">
        <f t="shared" si="3"/>
        <v>14150</v>
      </c>
      <c r="J150" s="12"/>
    </row>
    <row r="151" spans="1:10" x14ac:dyDescent="0.25">
      <c r="A151" s="18"/>
      <c r="B151" s="18" t="s">
        <v>51</v>
      </c>
      <c r="C151" s="2">
        <v>750000</v>
      </c>
      <c r="D151" s="2">
        <v>750000</v>
      </c>
      <c r="E151" s="2">
        <v>154603.93</v>
      </c>
      <c r="F151" s="2">
        <f t="shared" si="2"/>
        <v>595396.07000000007</v>
      </c>
      <c r="G151" s="2">
        <f t="shared" si="3"/>
        <v>595396.07000000007</v>
      </c>
      <c r="J151" s="12"/>
    </row>
    <row r="152" spans="1:10" x14ac:dyDescent="0.25">
      <c r="A152" s="18"/>
      <c r="B152" s="18" t="s">
        <v>52</v>
      </c>
      <c r="C152" s="2">
        <v>50000</v>
      </c>
      <c r="D152" s="2">
        <v>50000</v>
      </c>
      <c r="E152" s="2">
        <v>17250</v>
      </c>
      <c r="F152" s="2">
        <f t="shared" si="2"/>
        <v>32750</v>
      </c>
      <c r="G152" s="2">
        <f t="shared" si="3"/>
        <v>32750</v>
      </c>
    </row>
    <row r="153" spans="1:10" x14ac:dyDescent="0.25">
      <c r="A153" s="18"/>
      <c r="B153" s="18" t="s">
        <v>155</v>
      </c>
      <c r="C153" s="2">
        <v>30000</v>
      </c>
      <c r="D153" s="2">
        <v>30000</v>
      </c>
      <c r="E153" s="2">
        <v>4000</v>
      </c>
      <c r="F153" s="2">
        <f t="shared" si="2"/>
        <v>26000</v>
      </c>
      <c r="G153" s="2">
        <f t="shared" si="3"/>
        <v>26000</v>
      </c>
    </row>
    <row r="154" spans="1:10" x14ac:dyDescent="0.25">
      <c r="A154" s="18"/>
      <c r="B154" s="18" t="s">
        <v>104</v>
      </c>
      <c r="C154" s="2">
        <v>700000</v>
      </c>
      <c r="D154" s="2">
        <v>700000</v>
      </c>
      <c r="E154" s="2">
        <v>582323</v>
      </c>
      <c r="F154" s="2">
        <f t="shared" si="2"/>
        <v>117677</v>
      </c>
      <c r="G154" s="2">
        <f t="shared" si="3"/>
        <v>117677</v>
      </c>
    </row>
    <row r="155" spans="1:10" x14ac:dyDescent="0.25">
      <c r="A155" s="39"/>
      <c r="B155" s="39"/>
      <c r="C155" s="6"/>
      <c r="D155" s="6"/>
      <c r="E155" s="6"/>
      <c r="F155" s="2"/>
      <c r="G155" s="2">
        <f t="shared" si="3"/>
        <v>0</v>
      </c>
    </row>
    <row r="156" spans="1:10" x14ac:dyDescent="0.25">
      <c r="A156" s="40"/>
      <c r="B156" s="30" t="s">
        <v>27</v>
      </c>
      <c r="C156" s="8">
        <f>SUM(C128:C155)</f>
        <v>6478245.4000000004</v>
      </c>
      <c r="D156" s="8">
        <f>SUM(D128:D155)</f>
        <v>6478245.4000000004</v>
      </c>
      <c r="E156" s="8">
        <f>SUM(E128:E155)</f>
        <v>4196027.82</v>
      </c>
      <c r="F156" s="8">
        <f>SUM(F128:F155)</f>
        <v>2282217.58</v>
      </c>
      <c r="G156" s="8">
        <f>SUM(G128:G155)</f>
        <v>2282217.58</v>
      </c>
      <c r="H156" s="2">
        <f>E156/C156</f>
        <v>0.64771053902959586</v>
      </c>
    </row>
    <row r="157" spans="1:10" x14ac:dyDescent="0.25">
      <c r="C157" s="7"/>
    </row>
    <row r="158" spans="1:10" x14ac:dyDescent="0.25">
      <c r="C158" s="14"/>
      <c r="E158" s="14"/>
    </row>
    <row r="159" spans="1:10" x14ac:dyDescent="0.25">
      <c r="C159" s="14"/>
    </row>
    <row r="161" spans="1:9" x14ac:dyDescent="0.25">
      <c r="A161" s="13" t="s">
        <v>0</v>
      </c>
      <c r="B161" s="36"/>
      <c r="C161" s="10"/>
      <c r="D161" s="10"/>
      <c r="E161" s="10">
        <f>E158-E160</f>
        <v>0</v>
      </c>
      <c r="F161" s="10"/>
      <c r="G161" s="10"/>
    </row>
    <row r="162" spans="1:9" x14ac:dyDescent="0.25">
      <c r="A162" s="13" t="s">
        <v>1</v>
      </c>
      <c r="B162" s="36"/>
      <c r="C162" s="10"/>
      <c r="D162" s="10"/>
      <c r="E162" s="10"/>
      <c r="F162" s="10"/>
      <c r="G162" s="10"/>
    </row>
    <row r="163" spans="1:9" x14ac:dyDescent="0.25">
      <c r="A163" s="13" t="s">
        <v>2</v>
      </c>
      <c r="B163" s="36"/>
      <c r="C163" s="10"/>
      <c r="D163" s="10"/>
      <c r="E163" s="10"/>
      <c r="F163" s="10"/>
      <c r="G163" s="10"/>
    </row>
    <row r="164" spans="1:9" x14ac:dyDescent="0.25">
      <c r="A164" s="24" t="s">
        <v>165</v>
      </c>
      <c r="B164" s="36"/>
      <c r="C164" s="10"/>
      <c r="D164" s="10"/>
      <c r="E164" s="10"/>
      <c r="F164" s="10"/>
      <c r="G164" s="10"/>
    </row>
    <row r="165" spans="1:9" x14ac:dyDescent="0.25">
      <c r="A165" s="35"/>
      <c r="B165" s="36"/>
      <c r="C165" s="10"/>
      <c r="D165" s="10"/>
      <c r="E165" s="10"/>
      <c r="F165" s="10"/>
      <c r="G165" s="10"/>
    </row>
    <row r="166" spans="1:9" x14ac:dyDescent="0.25">
      <c r="A166" s="88" t="s">
        <v>3</v>
      </c>
      <c r="B166" s="88" t="s">
        <v>4</v>
      </c>
      <c r="C166" s="88" t="s">
        <v>5</v>
      </c>
      <c r="D166" s="88" t="s">
        <v>6</v>
      </c>
      <c r="E166" s="88" t="s">
        <v>7</v>
      </c>
      <c r="F166" s="15" t="s">
        <v>8</v>
      </c>
      <c r="G166" s="15" t="s">
        <v>8</v>
      </c>
    </row>
    <row r="167" spans="1:9" x14ac:dyDescent="0.25">
      <c r="A167" s="89"/>
      <c r="B167" s="89"/>
      <c r="C167" s="89"/>
      <c r="D167" s="89"/>
      <c r="E167" s="89"/>
      <c r="F167" s="16" t="s">
        <v>5</v>
      </c>
      <c r="G167" s="16" t="s">
        <v>6</v>
      </c>
    </row>
    <row r="168" spans="1:9" x14ac:dyDescent="0.25">
      <c r="A168" s="17"/>
      <c r="B168" s="17"/>
      <c r="C168" s="17"/>
      <c r="D168" s="17"/>
      <c r="E168" s="17"/>
      <c r="F168" s="17"/>
      <c r="G168" s="17"/>
    </row>
    <row r="169" spans="1:9" x14ac:dyDescent="0.25">
      <c r="A169" s="18"/>
      <c r="B169" s="28" t="s">
        <v>53</v>
      </c>
      <c r="C169" s="18"/>
      <c r="D169" s="18"/>
      <c r="E169" s="18"/>
      <c r="F169" s="18"/>
      <c r="G169" s="18"/>
    </row>
    <row r="170" spans="1:9" x14ac:dyDescent="0.25">
      <c r="A170" s="18"/>
      <c r="B170" s="29" t="s">
        <v>11</v>
      </c>
      <c r="C170" s="2"/>
      <c r="D170" s="2"/>
      <c r="E170" s="2"/>
      <c r="F170" s="2"/>
      <c r="G170" s="2"/>
    </row>
    <row r="171" spans="1:9" x14ac:dyDescent="0.25">
      <c r="A171" s="18"/>
      <c r="B171" s="4" t="s">
        <v>58</v>
      </c>
      <c r="C171" s="2">
        <v>200000</v>
      </c>
      <c r="D171" s="2">
        <v>200000</v>
      </c>
      <c r="E171" s="2">
        <v>272284.25</v>
      </c>
      <c r="F171" s="2">
        <f t="shared" ref="F171:F185" si="4">C171-E171</f>
        <v>-72284.25</v>
      </c>
      <c r="G171" s="2">
        <f t="shared" ref="G171:G185" si="5">D171-E171</f>
        <v>-72284.25</v>
      </c>
    </row>
    <row r="172" spans="1:9" x14ac:dyDescent="0.25">
      <c r="A172" s="18"/>
      <c r="B172" s="4" t="s">
        <v>59</v>
      </c>
      <c r="C172" s="2">
        <v>500000</v>
      </c>
      <c r="D172" s="2">
        <v>500000</v>
      </c>
      <c r="E172" s="2">
        <v>1042500</v>
      </c>
      <c r="F172" s="2">
        <f t="shared" si="4"/>
        <v>-542500</v>
      </c>
      <c r="G172" s="2">
        <f t="shared" si="5"/>
        <v>-542500</v>
      </c>
      <c r="I172" s="14">
        <f>E172*12</f>
        <v>12510000</v>
      </c>
    </row>
    <row r="173" spans="1:9" x14ac:dyDescent="0.25">
      <c r="A173" s="18"/>
      <c r="B173" s="29" t="s">
        <v>12</v>
      </c>
      <c r="C173" s="2"/>
      <c r="D173" s="2"/>
      <c r="E173" s="2"/>
      <c r="F173" s="2">
        <f t="shared" si="4"/>
        <v>0</v>
      </c>
      <c r="G173" s="2">
        <f t="shared" si="5"/>
        <v>0</v>
      </c>
    </row>
    <row r="174" spans="1:9" x14ac:dyDescent="0.25">
      <c r="A174" s="18"/>
      <c r="B174" s="4" t="s">
        <v>54</v>
      </c>
      <c r="C174" s="2">
        <v>1966869.98</v>
      </c>
      <c r="D174" s="2">
        <v>1400000</v>
      </c>
      <c r="E174" s="2">
        <v>174890.33</v>
      </c>
      <c r="F174" s="2">
        <f t="shared" si="4"/>
        <v>1791979.65</v>
      </c>
      <c r="G174" s="2">
        <f t="shared" si="5"/>
        <v>1225109.67</v>
      </c>
      <c r="I174" s="14">
        <f>C174/4</f>
        <v>491717.495</v>
      </c>
    </row>
    <row r="175" spans="1:9" x14ac:dyDescent="0.25">
      <c r="A175" s="18"/>
      <c r="B175" s="4" t="s">
        <v>55</v>
      </c>
      <c r="C175" s="2">
        <v>15000</v>
      </c>
      <c r="D175" s="2">
        <v>15000</v>
      </c>
      <c r="E175" s="2"/>
      <c r="F175" s="2">
        <f t="shared" si="4"/>
        <v>15000</v>
      </c>
      <c r="G175" s="2">
        <f t="shared" si="5"/>
        <v>15000</v>
      </c>
    </row>
    <row r="176" spans="1:9" x14ac:dyDescent="0.25">
      <c r="A176" s="18"/>
      <c r="B176" s="4" t="s">
        <v>56</v>
      </c>
      <c r="C176" s="2">
        <v>20000</v>
      </c>
      <c r="D176" s="2">
        <v>20000</v>
      </c>
      <c r="E176" s="2">
        <v>10000</v>
      </c>
      <c r="F176" s="2">
        <f t="shared" si="4"/>
        <v>10000</v>
      </c>
      <c r="G176" s="2">
        <f t="shared" si="5"/>
        <v>10000</v>
      </c>
    </row>
    <row r="177" spans="1:8" x14ac:dyDescent="0.25">
      <c r="A177" s="18"/>
      <c r="B177" s="4" t="s">
        <v>57</v>
      </c>
      <c r="C177" s="2">
        <v>1200000</v>
      </c>
      <c r="D177" s="2">
        <v>500000</v>
      </c>
      <c r="E177" s="2">
        <v>145229</v>
      </c>
      <c r="F177" s="2">
        <f t="shared" si="4"/>
        <v>1054771</v>
      </c>
      <c r="G177" s="2">
        <f t="shared" si="5"/>
        <v>354771</v>
      </c>
    </row>
    <row r="178" spans="1:8" x14ac:dyDescent="0.25">
      <c r="A178" s="18"/>
      <c r="B178" s="4" t="s">
        <v>60</v>
      </c>
      <c r="C178" s="2">
        <v>400000</v>
      </c>
      <c r="D178" s="2">
        <v>400000</v>
      </c>
      <c r="E178" s="2">
        <v>564680</v>
      </c>
      <c r="F178" s="2">
        <f t="shared" si="4"/>
        <v>-164680</v>
      </c>
      <c r="G178" s="2">
        <f t="shared" si="5"/>
        <v>-164680</v>
      </c>
    </row>
    <row r="179" spans="1:8" x14ac:dyDescent="0.25">
      <c r="A179" s="18"/>
      <c r="B179" s="4" t="s">
        <v>157</v>
      </c>
      <c r="C179" s="2">
        <v>500000</v>
      </c>
      <c r="D179" s="2">
        <v>500000</v>
      </c>
      <c r="E179" s="2">
        <v>121753.55</v>
      </c>
      <c r="F179" s="2">
        <f t="shared" si="4"/>
        <v>378246.45</v>
      </c>
      <c r="G179" s="2">
        <f t="shared" si="5"/>
        <v>378246.45</v>
      </c>
    </row>
    <row r="180" spans="1:8" x14ac:dyDescent="0.25">
      <c r="A180" s="18"/>
      <c r="B180" s="4" t="s">
        <v>158</v>
      </c>
      <c r="C180" s="2">
        <v>50000</v>
      </c>
      <c r="D180" s="2"/>
      <c r="E180" s="2"/>
      <c r="F180" s="2">
        <f t="shared" si="4"/>
        <v>50000</v>
      </c>
      <c r="G180" s="2">
        <f t="shared" si="5"/>
        <v>0</v>
      </c>
    </row>
    <row r="181" spans="1:8" x14ac:dyDescent="0.25">
      <c r="A181" s="18"/>
      <c r="B181" s="4" t="s">
        <v>113</v>
      </c>
      <c r="C181" s="2">
        <v>150000</v>
      </c>
      <c r="D181" s="2">
        <v>150000</v>
      </c>
      <c r="E181" s="2">
        <v>46546</v>
      </c>
      <c r="F181" s="2">
        <f t="shared" si="4"/>
        <v>103454</v>
      </c>
      <c r="G181" s="2">
        <f t="shared" si="5"/>
        <v>103454</v>
      </c>
    </row>
    <row r="182" spans="1:8" x14ac:dyDescent="0.25">
      <c r="A182" s="18"/>
      <c r="B182" s="29" t="s">
        <v>13</v>
      </c>
      <c r="C182" s="2"/>
      <c r="D182" s="2"/>
      <c r="E182" s="2"/>
      <c r="F182" s="2">
        <f t="shared" si="4"/>
        <v>0</v>
      </c>
      <c r="G182" s="2">
        <f t="shared" si="5"/>
        <v>0</v>
      </c>
    </row>
    <row r="183" spans="1:8" x14ac:dyDescent="0.25">
      <c r="A183" s="18"/>
      <c r="B183" s="4" t="s">
        <v>159</v>
      </c>
      <c r="C183" s="2">
        <v>500000</v>
      </c>
      <c r="D183" s="2">
        <v>500000</v>
      </c>
      <c r="E183" s="2">
        <v>466092</v>
      </c>
      <c r="F183" s="2">
        <f t="shared" si="4"/>
        <v>33908</v>
      </c>
      <c r="G183" s="2">
        <f t="shared" si="5"/>
        <v>33908</v>
      </c>
    </row>
    <row r="184" spans="1:8" x14ac:dyDescent="0.25">
      <c r="A184" s="18"/>
      <c r="B184" s="4" t="s">
        <v>62</v>
      </c>
      <c r="C184" s="2"/>
      <c r="D184" s="2"/>
      <c r="E184" s="2"/>
      <c r="F184" s="2">
        <f t="shared" si="4"/>
        <v>0</v>
      </c>
      <c r="G184" s="2">
        <f t="shared" si="5"/>
        <v>0</v>
      </c>
    </row>
    <row r="185" spans="1:8" x14ac:dyDescent="0.25">
      <c r="A185" s="18"/>
      <c r="B185" s="5" t="s">
        <v>63</v>
      </c>
      <c r="C185" s="2">
        <v>2000000</v>
      </c>
      <c r="D185" s="2">
        <v>2000000</v>
      </c>
      <c r="E185" s="2">
        <v>1999994.01</v>
      </c>
      <c r="F185" s="2">
        <f t="shared" si="4"/>
        <v>5.9899999999906868</v>
      </c>
      <c r="G185" s="2">
        <f t="shared" si="5"/>
        <v>5.9899999999906868</v>
      </c>
    </row>
    <row r="186" spans="1:8" x14ac:dyDescent="0.25">
      <c r="A186" s="18"/>
      <c r="B186" s="4"/>
      <c r="C186" s="2"/>
      <c r="D186" s="2"/>
      <c r="E186" s="2"/>
      <c r="F186" s="2"/>
      <c r="G186" s="2"/>
    </row>
    <row r="187" spans="1:8" x14ac:dyDescent="0.25">
      <c r="A187" s="18"/>
      <c r="B187" s="41" t="s">
        <v>27</v>
      </c>
      <c r="C187" s="8">
        <f>SUM(C171:C186)</f>
        <v>7501869.9800000004</v>
      </c>
      <c r="D187" s="8">
        <f>SUM(D171:D186)</f>
        <v>6185000</v>
      </c>
      <c r="E187" s="8">
        <f>SUM(E171:E186)</f>
        <v>4843969.1399999997</v>
      </c>
      <c r="F187" s="8">
        <f>SUM(F171:F186)</f>
        <v>2657900.84</v>
      </c>
      <c r="G187" s="8">
        <f>SUM(G171:G186)</f>
        <v>1341030.8599999999</v>
      </c>
      <c r="H187" s="2">
        <f>E187/C187</f>
        <v>0.64570155879987667</v>
      </c>
    </row>
    <row r="188" spans="1:8" ht="15.75" thickBot="1" x14ac:dyDescent="0.3">
      <c r="A188" s="42"/>
      <c r="B188" s="43" t="s">
        <v>64</v>
      </c>
      <c r="C188" s="20" t="e">
        <f>C187+C156+C115+C108+C101+C94+C87+C80+C73+C57+C50+C43+C36+C29+C22+C15</f>
        <v>#VALUE!</v>
      </c>
      <c r="D188" s="20">
        <f>D187+D156+D115+D108+D101+D94+D87+D80+D73+D57+D50+D43+D36+D29+D22+D15</f>
        <v>36887369.38000001</v>
      </c>
      <c r="E188" s="20">
        <f>E187+E156+E115+E108+E101+E94+E87+E80+E73+E57+E50+E43+E36+E29+E22+E15</f>
        <v>26856431.309999999</v>
      </c>
      <c r="F188" s="20">
        <f>F187+F156+F115+F108+F101+F94+F87+F80+F73+F57+F50+F43+F36+F29+F22+F15</f>
        <v>12575678.949999999</v>
      </c>
      <c r="G188" s="20">
        <f>G187+G156+G115+G108+G101+G94+G87+G80+G73+G57+G50+G43+G36+G29+G22+G15</f>
        <v>10030938.07</v>
      </c>
      <c r="H188" s="2" t="e">
        <f>E188/C188</f>
        <v>#VALUE!</v>
      </c>
    </row>
    <row r="189" spans="1:8" ht="15.75" thickTop="1" x14ac:dyDescent="0.25">
      <c r="C189" s="12"/>
      <c r="D189" s="12"/>
      <c r="E189" s="12"/>
      <c r="F189" s="12"/>
      <c r="G189" s="12"/>
    </row>
    <row r="190" spans="1:8" x14ac:dyDescent="0.25">
      <c r="B190" s="13" t="s">
        <v>65</v>
      </c>
      <c r="C190" s="12"/>
      <c r="D190" s="12"/>
      <c r="E190" s="12"/>
      <c r="F190" s="12"/>
      <c r="G190" s="12"/>
    </row>
    <row r="191" spans="1:8" x14ac:dyDescent="0.25">
      <c r="C191" s="12"/>
      <c r="D191" s="12"/>
      <c r="E191" s="12">
        <v>29879000</v>
      </c>
      <c r="F191" s="12" t="s">
        <v>166</v>
      </c>
      <c r="G191" s="12"/>
    </row>
    <row r="192" spans="1:8" ht="15.75" thickBot="1" x14ac:dyDescent="0.3">
      <c r="C192" s="12"/>
      <c r="D192" s="12"/>
      <c r="E192" s="25">
        <f>E191-E188</f>
        <v>3022568.6900000013</v>
      </c>
      <c r="F192" s="12" t="s">
        <v>167</v>
      </c>
      <c r="G192" s="12"/>
    </row>
    <row r="193" spans="2:12" ht="15.75" thickTop="1" x14ac:dyDescent="0.25">
      <c r="B193" s="44" t="s">
        <v>66</v>
      </c>
      <c r="C193" s="12"/>
      <c r="D193" s="12"/>
      <c r="E193" s="12">
        <v>800000</v>
      </c>
      <c r="F193" s="12"/>
      <c r="G193" s="12"/>
    </row>
    <row r="194" spans="2:12" x14ac:dyDescent="0.25">
      <c r="B194" s="13" t="s">
        <v>67</v>
      </c>
      <c r="E194" s="14">
        <f>E192-E193</f>
        <v>2222568.6900000013</v>
      </c>
    </row>
    <row r="197" spans="2:12" x14ac:dyDescent="0.25">
      <c r="C197" s="12"/>
    </row>
    <row r="198" spans="2:12" x14ac:dyDescent="0.25">
      <c r="C198" s="14"/>
    </row>
    <row r="199" spans="2:12" x14ac:dyDescent="0.25">
      <c r="C199" s="12"/>
      <c r="D199" s="90" t="s">
        <v>164</v>
      </c>
      <c r="E199" s="90"/>
      <c r="F199" s="12"/>
      <c r="G199" s="12"/>
    </row>
    <row r="200" spans="2:12" x14ac:dyDescent="0.25">
      <c r="C200" s="12"/>
      <c r="D200" s="12" t="s">
        <v>162</v>
      </c>
      <c r="E200" s="12" t="s">
        <v>163</v>
      </c>
      <c r="F200" s="12"/>
      <c r="G200" s="12"/>
      <c r="H200" s="57">
        <v>0.8</v>
      </c>
      <c r="I200" s="12">
        <v>2159415</v>
      </c>
      <c r="L200" s="13">
        <f>20*20</f>
        <v>400</v>
      </c>
    </row>
    <row r="201" spans="2:12" x14ac:dyDescent="0.25">
      <c r="C201" s="12" t="s">
        <v>160</v>
      </c>
      <c r="D201" s="12">
        <f>5518028.2+D46</f>
        <v>6553005.2800000003</v>
      </c>
      <c r="E201" s="12">
        <v>1646631.99</v>
      </c>
      <c r="F201" s="12"/>
      <c r="G201" s="12"/>
      <c r="H201" s="57">
        <v>0.2</v>
      </c>
      <c r="I201" s="12">
        <v>539854</v>
      </c>
      <c r="L201" s="13">
        <f>15*20</f>
        <v>300</v>
      </c>
    </row>
    <row r="202" spans="2:12" x14ac:dyDescent="0.25">
      <c r="C202" s="12" t="s">
        <v>161</v>
      </c>
      <c r="D202" s="12">
        <f>D188-D201</f>
        <v>30334364.100000009</v>
      </c>
      <c r="E202" s="12">
        <v>130701.19</v>
      </c>
      <c r="F202" s="12"/>
      <c r="G202" s="12"/>
      <c r="I202" s="12"/>
    </row>
    <row r="203" spans="2:12" x14ac:dyDescent="0.25">
      <c r="C203" s="56">
        <v>0.2</v>
      </c>
      <c r="D203" s="12"/>
      <c r="E203" s="12">
        <v>133869.85</v>
      </c>
      <c r="F203" s="12"/>
      <c r="G203" s="12"/>
      <c r="I203" s="12"/>
      <c r="L203" s="13">
        <f>SUM(L200:L202)</f>
        <v>700</v>
      </c>
    </row>
    <row r="204" spans="2:12" x14ac:dyDescent="0.25">
      <c r="C204" s="56">
        <v>0.05</v>
      </c>
      <c r="D204" s="12">
        <v>404890.34</v>
      </c>
      <c r="E204" s="12">
        <v>14850</v>
      </c>
      <c r="F204" s="12"/>
      <c r="G204" s="12"/>
      <c r="I204" s="12">
        <f>SUM(I200:I203)</f>
        <v>2699269</v>
      </c>
    </row>
    <row r="205" spans="2:12" x14ac:dyDescent="0.25">
      <c r="C205" s="12" t="s">
        <v>120</v>
      </c>
      <c r="D205" s="12"/>
      <c r="E205" s="12">
        <v>7200</v>
      </c>
      <c r="F205" s="12"/>
      <c r="G205" s="12">
        <f>I204-E188</f>
        <v>-24157162.309999999</v>
      </c>
      <c r="I205" s="12"/>
    </row>
    <row r="206" spans="2:12" x14ac:dyDescent="0.25">
      <c r="C206" s="12"/>
      <c r="D206" s="12"/>
      <c r="E206" s="12"/>
      <c r="F206" s="12"/>
      <c r="G206" s="12"/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 t="s">
        <v>143</v>
      </c>
      <c r="D208" s="12">
        <f>SUM(D201:D207)</f>
        <v>37292259.720000014</v>
      </c>
      <c r="E208" s="12">
        <f>SUM(E201:E207)</f>
        <v>1933253.03</v>
      </c>
      <c r="F208" s="12"/>
      <c r="G208" s="12"/>
      <c r="I208" s="12"/>
    </row>
    <row r="209" spans="3:9" x14ac:dyDescent="0.25">
      <c r="C209" s="12"/>
      <c r="D209" s="12"/>
      <c r="E209" s="12">
        <f>E188-E208</f>
        <v>24923178.279999997</v>
      </c>
      <c r="F209" s="12"/>
      <c r="G209" s="12"/>
      <c r="I209" s="12"/>
    </row>
    <row r="210" spans="3:9" x14ac:dyDescent="0.25">
      <c r="C210" s="12"/>
      <c r="D210" s="12">
        <f>32391227</f>
        <v>32391227</v>
      </c>
      <c r="E210" s="12">
        <f>E208-E188</f>
        <v>-24923178.279999997</v>
      </c>
      <c r="F210" s="12"/>
      <c r="G210" s="12"/>
      <c r="I210" s="12"/>
    </row>
    <row r="211" spans="3:9" x14ac:dyDescent="0.25">
      <c r="C211" s="12"/>
      <c r="D211" s="12">
        <f>D210*5%</f>
        <v>1619561.35</v>
      </c>
      <c r="E211" s="12"/>
      <c r="F211" s="12"/>
      <c r="G211" s="12"/>
    </row>
    <row r="212" spans="3:9" x14ac:dyDescent="0.25">
      <c r="C212" s="12"/>
      <c r="D212" s="12">
        <f>D211/4</f>
        <v>404890.33750000002</v>
      </c>
      <c r="E212" s="12">
        <f>E171+E172</f>
        <v>1314784.25</v>
      </c>
      <c r="F212" s="12"/>
      <c r="G212" s="12"/>
    </row>
    <row r="213" spans="3:9" x14ac:dyDescent="0.25">
      <c r="C213" s="12"/>
      <c r="D213" s="12"/>
      <c r="E213" s="12"/>
      <c r="F213" s="12"/>
      <c r="G213" s="12"/>
    </row>
    <row r="214" spans="3:9" x14ac:dyDescent="0.25">
      <c r="C214" s="12"/>
      <c r="D214" s="12"/>
      <c r="E214" s="12">
        <f>E201+E202</f>
        <v>1777333.18</v>
      </c>
      <c r="F214" s="12"/>
      <c r="G214" s="12"/>
    </row>
    <row r="215" spans="3:9" x14ac:dyDescent="0.25">
      <c r="C215" s="12"/>
      <c r="D215" s="12"/>
      <c r="E215" s="12"/>
      <c r="F215" s="12"/>
      <c r="G215" s="12"/>
    </row>
    <row r="216" spans="3:9" x14ac:dyDescent="0.25">
      <c r="C216" s="12"/>
      <c r="D216" s="12"/>
      <c r="E216" s="12"/>
      <c r="F216" s="12"/>
      <c r="G216" s="12"/>
    </row>
    <row r="217" spans="3:9" x14ac:dyDescent="0.25">
      <c r="C217" s="12"/>
      <c r="D217" s="12"/>
      <c r="E217" s="12"/>
      <c r="F217" s="12"/>
      <c r="G217" s="12"/>
    </row>
    <row r="218" spans="3:9" x14ac:dyDescent="0.25">
      <c r="C218" s="12"/>
      <c r="D218" s="12"/>
      <c r="E218" s="12"/>
      <c r="F218" s="12"/>
      <c r="G218" s="12"/>
    </row>
    <row r="219" spans="3:9" x14ac:dyDescent="0.25">
      <c r="C219" s="12"/>
      <c r="D219" s="12"/>
      <c r="E219" s="12"/>
      <c r="F219" s="12"/>
      <c r="G219" s="12"/>
    </row>
    <row r="220" spans="3:9" x14ac:dyDescent="0.25">
      <c r="C220" s="12"/>
      <c r="D220" s="12"/>
      <c r="E220" s="12"/>
      <c r="F220" s="12"/>
      <c r="G220" s="12"/>
    </row>
    <row r="221" spans="3:9" x14ac:dyDescent="0.25">
      <c r="C221" s="12"/>
      <c r="D221" s="12"/>
      <c r="E221" s="12"/>
      <c r="F221" s="12"/>
      <c r="G221" s="12"/>
    </row>
    <row r="222" spans="3:9" x14ac:dyDescent="0.25">
      <c r="C222" s="12"/>
      <c r="D222" s="12"/>
      <c r="E222" s="12"/>
      <c r="F222" s="12"/>
      <c r="G222" s="12"/>
    </row>
    <row r="223" spans="3:9" x14ac:dyDescent="0.25">
      <c r="C223" s="12"/>
      <c r="D223" s="12"/>
      <c r="E223" s="12"/>
      <c r="F223" s="12"/>
      <c r="G223" s="12"/>
    </row>
    <row r="224" spans="3:9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</sheetData>
  <mergeCells count="21"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  <mergeCell ref="A125:A126"/>
    <mergeCell ref="B125:B126"/>
    <mergeCell ref="C125:C126"/>
    <mergeCell ref="D125:D126"/>
    <mergeCell ref="E125:E126"/>
    <mergeCell ref="D199:E199"/>
    <mergeCell ref="A166:A167"/>
    <mergeCell ref="B166:B167"/>
    <mergeCell ref="C166:C167"/>
    <mergeCell ref="D166:D167"/>
    <mergeCell ref="E166:E167"/>
  </mergeCells>
  <pageMargins left="0.12" right="0.11" top="0.26" bottom="0.21" header="0.3" footer="0.13"/>
  <pageSetup scale="8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4"/>
  <sheetViews>
    <sheetView zoomScale="140" zoomScaleNormal="140" workbookViewId="0">
      <selection activeCell="D13" sqref="D13"/>
    </sheetView>
  </sheetViews>
  <sheetFormatPr defaultRowHeight="15" x14ac:dyDescent="0.25"/>
  <cols>
    <col min="1" max="1" width="8.42578125" style="13" customWidth="1"/>
    <col min="2" max="2" width="39.28515625" style="13" customWidth="1"/>
    <col min="3" max="3" width="16.28515625" style="13" customWidth="1"/>
    <col min="4" max="4" width="14.7109375" style="13" bestFit="1" customWidth="1"/>
    <col min="5" max="5" width="14.85546875" style="13" customWidth="1"/>
    <col min="6" max="6" width="15.85546875" style="13" customWidth="1"/>
    <col min="7" max="7" width="14.8554687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165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1506410.36</v>
      </c>
      <c r="D11" s="2">
        <v>1506410.36</v>
      </c>
      <c r="E11" s="2">
        <f>1392594.49+15000+15000+81852.53+19800</f>
        <v>1524247.02</v>
      </c>
      <c r="F11" s="2">
        <f>C11-E11</f>
        <v>-17836.659999999916</v>
      </c>
      <c r="G11" s="2">
        <f>D11-E11</f>
        <v>-17836.659999999916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998164.2</v>
      </c>
      <c r="D12" s="2">
        <v>998164.2</v>
      </c>
      <c r="E12" s="2"/>
      <c r="F12" s="2"/>
      <c r="G12" s="2"/>
      <c r="H12" s="13">
        <f>E12/C12</f>
        <v>0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>
        <v>15000</v>
      </c>
      <c r="D13" s="2"/>
      <c r="E13" s="2"/>
      <c r="F13" s="2">
        <f t="shared" ref="F13" si="0">C13-E13</f>
        <v>15000</v>
      </c>
      <c r="G13" s="2">
        <f t="shared" ref="G13" si="1">D13-E13</f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2519574.56</v>
      </c>
      <c r="D15" s="8">
        <f>SUM(D11:D14)</f>
        <v>2504574.56</v>
      </c>
      <c r="E15" s="8">
        <f>SUM(E11:E14)</f>
        <v>1524247.02</v>
      </c>
      <c r="F15" s="8">
        <f>SUM(F11:F14)</f>
        <v>-2836.6599999999162</v>
      </c>
      <c r="G15" s="8">
        <f>SUM(G11:G14)</f>
        <v>-17836.659999999916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7367290.4000000004</v>
      </c>
      <c r="D18" s="2">
        <v>7367290.4000000004</v>
      </c>
      <c r="E18" s="2">
        <f>6288418.77+121800+397082.24</f>
        <v>6807301.0099999998</v>
      </c>
      <c r="F18" s="2">
        <f>C18-E18</f>
        <v>559989.3900000006</v>
      </c>
      <c r="G18" s="2">
        <f>D18-E18</f>
        <v>559989.3900000006</v>
      </c>
      <c r="I18" s="12">
        <f>G18-17836.66</f>
        <v>542152.73000000056</v>
      </c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978123.96</v>
      </c>
      <c r="D19" s="2">
        <f>C19/2</f>
        <v>489061.98</v>
      </c>
      <c r="E19" s="2"/>
      <c r="F19" s="2"/>
      <c r="G19" s="2"/>
      <c r="H19" s="13">
        <f>E19/C19</f>
        <v>0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8345414.3600000003</v>
      </c>
      <c r="D22" s="8">
        <f>SUM(D18:D21)</f>
        <v>7856352.3800000008</v>
      </c>
      <c r="E22" s="8">
        <f>SUM(E18:E21)</f>
        <v>6807301.0099999998</v>
      </c>
      <c r="F22" s="8">
        <f>SUM(F18:F21)</f>
        <v>559989.3900000006</v>
      </c>
      <c r="G22" s="8">
        <f>SUM(G18:G21)</f>
        <v>559989.3900000006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948784.64000000001</v>
      </c>
      <c r="D25" s="2">
        <v>948784.64000000001</v>
      </c>
      <c r="E25" s="2">
        <f>876235.93+13700+58358.47</f>
        <v>948294.4</v>
      </c>
      <c r="F25" s="2">
        <f>C25-E25</f>
        <v>490.23999999999069</v>
      </c>
      <c r="G25" s="2">
        <f>D25-E25</f>
        <v>490.23999999999069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125029.3</v>
      </c>
      <c r="D26" s="2">
        <f>C26/2</f>
        <v>62514.65</v>
      </c>
      <c r="E26" s="2"/>
      <c r="F26" s="2"/>
      <c r="G26" s="2"/>
      <c r="H26" s="13">
        <f>E26/C26</f>
        <v>0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>
        <v>35000</v>
      </c>
      <c r="D27" s="2"/>
      <c r="E27" s="2"/>
      <c r="F27" s="2"/>
      <c r="G27" s="2"/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1108813.94</v>
      </c>
      <c r="D29" s="8">
        <f>SUM(D25:D28)</f>
        <v>1011299.29</v>
      </c>
      <c r="E29" s="8">
        <f>SUM(E25:E28)</f>
        <v>948294.4</v>
      </c>
      <c r="F29" s="8">
        <f>SUM(F25:F28)</f>
        <v>490.23999999999069</v>
      </c>
      <c r="G29" s="8">
        <f>SUM(G25:G28)</f>
        <v>490.23999999999069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7"/>
      <c r="B32" s="29" t="s">
        <v>11</v>
      </c>
      <c r="C32" s="2">
        <v>722099.88</v>
      </c>
      <c r="D32" s="2">
        <v>722099.88</v>
      </c>
      <c r="E32" s="2">
        <f>661548+43015.76+11700</f>
        <v>716263.76</v>
      </c>
      <c r="F32" s="2">
        <f>C32-E32</f>
        <v>5836.1199999999953</v>
      </c>
      <c r="G32" s="2">
        <f>D32-E32</f>
        <v>5836.1199999999953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73525.78</v>
      </c>
      <c r="D33" s="2">
        <f>C33/2</f>
        <v>36762.89</v>
      </c>
      <c r="E33" s="2"/>
      <c r="F33" s="2"/>
      <c r="G33" s="2"/>
      <c r="H33" s="13">
        <f>E33/C33</f>
        <v>0</v>
      </c>
      <c r="I33" s="13">
        <v>100</v>
      </c>
      <c r="L33" s="12"/>
      <c r="M33" s="12">
        <v>15000</v>
      </c>
    </row>
    <row r="34" spans="1:13" x14ac:dyDescent="0.25">
      <c r="A34" s="27"/>
      <c r="B34" s="29" t="s">
        <v>13</v>
      </c>
      <c r="C34" s="2">
        <v>10000</v>
      </c>
      <c r="D34" s="2"/>
      <c r="E34" s="2"/>
      <c r="F34" s="2"/>
      <c r="G34" s="2"/>
      <c r="I34" s="13">
        <v>420</v>
      </c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2"/>
      <c r="I35" s="13">
        <v>400</v>
      </c>
      <c r="L35" s="12"/>
    </row>
    <row r="36" spans="1:13" x14ac:dyDescent="0.25">
      <c r="A36" s="27"/>
      <c r="B36" s="30" t="s">
        <v>27</v>
      </c>
      <c r="C36" s="8">
        <f>SUM(C32:C35)</f>
        <v>805625.66</v>
      </c>
      <c r="D36" s="8">
        <f>SUM(D32:D35)</f>
        <v>758862.77</v>
      </c>
      <c r="E36" s="8">
        <f>SUM(E32:E35)</f>
        <v>716263.76</v>
      </c>
      <c r="F36" s="8">
        <f>SUM(F32:F35)</f>
        <v>5836.1199999999953</v>
      </c>
      <c r="G36" s="8">
        <f>SUM(G32:G35)</f>
        <v>5836.1199999999953</v>
      </c>
      <c r="I36" s="13">
        <v>70</v>
      </c>
      <c r="L36" s="12"/>
    </row>
    <row r="37" spans="1:13" x14ac:dyDescent="0.25">
      <c r="A37" s="27"/>
      <c r="B37" s="18"/>
      <c r="C37" s="2"/>
      <c r="D37" s="2"/>
      <c r="E37" s="2"/>
      <c r="F37" s="2"/>
      <c r="G37" s="2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2"/>
      <c r="I38" s="13">
        <f>SUM(I33:I37)</f>
        <v>990</v>
      </c>
      <c r="L38" s="12"/>
    </row>
    <row r="39" spans="1:13" x14ac:dyDescent="0.25">
      <c r="A39" s="27"/>
      <c r="B39" s="29" t="s">
        <v>11</v>
      </c>
      <c r="C39" s="2">
        <v>586690.76</v>
      </c>
      <c r="D39" s="2">
        <v>586690.76</v>
      </c>
      <c r="E39" s="2">
        <f>535945.5+35211+9700</f>
        <v>580856.5</v>
      </c>
      <c r="F39" s="2">
        <f>C39-E39</f>
        <v>5834.2600000000093</v>
      </c>
      <c r="G39" s="2">
        <f>D39-E39</f>
        <v>5834.2600000000093</v>
      </c>
      <c r="I39" s="13">
        <f>1600</f>
        <v>1600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f>C40/2</f>
        <v>39701.75</v>
      </c>
      <c r="E40" s="2"/>
      <c r="F40" s="2"/>
      <c r="G40" s="2"/>
      <c r="H40" s="13">
        <f>E40/C40</f>
        <v>0</v>
      </c>
      <c r="I40" s="13">
        <f>SUM(I38:I39)</f>
        <v>2590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2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2"/>
    </row>
    <row r="43" spans="1:13" x14ac:dyDescent="0.25">
      <c r="A43" s="27"/>
      <c r="B43" s="30" t="s">
        <v>27</v>
      </c>
      <c r="C43" s="8">
        <f>SUM(C39:C42)</f>
        <v>666094.26</v>
      </c>
      <c r="D43" s="8">
        <f>SUM(D39:D42)</f>
        <v>626392.51</v>
      </c>
      <c r="E43" s="8">
        <f>SUM(E39:E42)</f>
        <v>580856.5</v>
      </c>
      <c r="F43" s="8">
        <f>SUM(F39:F42)</f>
        <v>5834.2600000000093</v>
      </c>
      <c r="G43" s="8">
        <f>SUM(G39:G42)</f>
        <v>5834.2600000000093</v>
      </c>
    </row>
    <row r="44" spans="1:13" x14ac:dyDescent="0.25">
      <c r="A44" s="27"/>
      <c r="B44" s="18"/>
      <c r="C44" s="2"/>
      <c r="D44" s="2"/>
      <c r="E44" s="2"/>
      <c r="F44" s="2"/>
      <c r="G44" s="2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2"/>
    </row>
    <row r="46" spans="1:13" x14ac:dyDescent="0.25">
      <c r="A46" s="27"/>
      <c r="B46" s="29" t="s">
        <v>11</v>
      </c>
      <c r="C46" s="2">
        <v>1034977.08</v>
      </c>
      <c r="D46" s="2">
        <v>1034977.08</v>
      </c>
      <c r="E46" s="2">
        <f>512803.5+13700+27734.48</f>
        <v>554237.98</v>
      </c>
      <c r="F46" s="2">
        <f>C46-E46</f>
        <v>480739.1</v>
      </c>
      <c r="G46" s="2">
        <f>D46-E46</f>
        <v>480739.1</v>
      </c>
      <c r="I46" s="14">
        <f>G46-315000</f>
        <v>165739.09999999998</v>
      </c>
    </row>
    <row r="47" spans="1:13" x14ac:dyDescent="0.25">
      <c r="A47" s="27"/>
      <c r="B47" s="29" t="s">
        <v>12</v>
      </c>
      <c r="C47" s="2">
        <v>186370.25</v>
      </c>
      <c r="D47" s="2">
        <f>C47/2</f>
        <v>93185.125</v>
      </c>
      <c r="E47" s="2"/>
      <c r="F47" s="2"/>
      <c r="G47" s="2"/>
      <c r="H47" s="13">
        <f>E47/C47</f>
        <v>0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</row>
    <row r="49" spans="1:8" x14ac:dyDescent="0.25">
      <c r="A49" s="27"/>
      <c r="B49" s="29" t="s">
        <v>14</v>
      </c>
      <c r="C49" s="2"/>
      <c r="D49" s="2"/>
      <c r="E49" s="2"/>
      <c r="F49" s="2"/>
      <c r="G49" s="2"/>
      <c r="H49" s="12"/>
    </row>
    <row r="50" spans="1:8" x14ac:dyDescent="0.25">
      <c r="A50" s="27"/>
      <c r="B50" s="30" t="s">
        <v>27</v>
      </c>
      <c r="C50" s="8">
        <f>SUM(C46:C49)</f>
        <v>1221347.33</v>
      </c>
      <c r="D50" s="8">
        <f>SUM(D46:D49)</f>
        <v>1128162.2050000001</v>
      </c>
      <c r="E50" s="8">
        <f>SUM(E46:E49)</f>
        <v>554237.98</v>
      </c>
      <c r="F50" s="8">
        <f>SUM(F46:F49)</f>
        <v>480739.1</v>
      </c>
      <c r="G50" s="8">
        <f>SUM(G46:G49)</f>
        <v>480739.1</v>
      </c>
      <c r="H50" s="12"/>
    </row>
    <row r="51" spans="1:8" x14ac:dyDescent="0.25">
      <c r="A51" s="27"/>
      <c r="B51" s="18"/>
      <c r="C51" s="2"/>
      <c r="D51" s="2"/>
      <c r="E51" s="2"/>
      <c r="F51" s="2"/>
      <c r="G51" s="2"/>
      <c r="H51" s="12"/>
    </row>
    <row r="52" spans="1:8" x14ac:dyDescent="0.25">
      <c r="A52" s="27">
        <v>1091</v>
      </c>
      <c r="B52" s="28" t="s">
        <v>19</v>
      </c>
      <c r="C52" s="2"/>
      <c r="D52" s="2"/>
      <c r="E52" s="2"/>
      <c r="F52" s="2"/>
      <c r="G52" s="2"/>
      <c r="H52" s="12"/>
    </row>
    <row r="53" spans="1:8" x14ac:dyDescent="0.25">
      <c r="A53" s="27"/>
      <c r="B53" s="29" t="s">
        <v>11</v>
      </c>
      <c r="C53" s="2">
        <v>1544347.32</v>
      </c>
      <c r="D53" s="2">
        <v>1544347.32</v>
      </c>
      <c r="E53" s="2">
        <f>1428572.07+93770.86+21700</f>
        <v>1544042.9300000002</v>
      </c>
      <c r="F53" s="2">
        <f>C53-E53</f>
        <v>304.38999999989755</v>
      </c>
      <c r="G53" s="2">
        <f>D53-E53</f>
        <v>304.38999999989755</v>
      </c>
      <c r="H53" s="12"/>
    </row>
    <row r="54" spans="1:8" x14ac:dyDescent="0.25">
      <c r="A54" s="27"/>
      <c r="B54" s="29" t="s">
        <v>12</v>
      </c>
      <c r="C54" s="2">
        <v>291960.86</v>
      </c>
      <c r="D54" s="2">
        <f>C54/2</f>
        <v>145980.43</v>
      </c>
      <c r="E54" s="2"/>
      <c r="F54" s="2"/>
      <c r="G54" s="2"/>
      <c r="H54" s="13">
        <f>E54/C54</f>
        <v>0</v>
      </c>
    </row>
    <row r="55" spans="1:8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8" x14ac:dyDescent="0.25">
      <c r="A56" s="27"/>
      <c r="B56" s="29" t="s">
        <v>14</v>
      </c>
      <c r="C56" s="2"/>
      <c r="D56" s="2"/>
      <c r="E56" s="2"/>
      <c r="F56" s="2"/>
      <c r="G56" s="2"/>
      <c r="H56" s="12"/>
    </row>
    <row r="57" spans="1:8" x14ac:dyDescent="0.25">
      <c r="A57" s="31"/>
      <c r="B57" s="30" t="s">
        <v>27</v>
      </c>
      <c r="C57" s="8">
        <f>SUM(C53:C56)</f>
        <v>1836308.1800000002</v>
      </c>
      <c r="D57" s="8">
        <f>SUM(D53:D56)</f>
        <v>1690327.75</v>
      </c>
      <c r="E57" s="8">
        <f>SUM(E53:E56)</f>
        <v>1544042.9300000002</v>
      </c>
      <c r="F57" s="8">
        <f>SUM(F53:F56)</f>
        <v>304.38999999989755</v>
      </c>
      <c r="G57" s="8">
        <f>SUM(G53:G56)</f>
        <v>304.38999999989755</v>
      </c>
      <c r="H57" s="12"/>
    </row>
    <row r="58" spans="1:8" ht="15.75" thickBot="1" x14ac:dyDescent="0.3">
      <c r="A58" s="32"/>
      <c r="B58" s="33"/>
      <c r="C58" s="9"/>
      <c r="D58" s="9"/>
      <c r="E58" s="9"/>
      <c r="F58" s="9"/>
      <c r="G58" s="34"/>
      <c r="H58" s="12"/>
    </row>
    <row r="59" spans="1:8" x14ac:dyDescent="0.25">
      <c r="A59" s="35"/>
      <c r="B59" s="36"/>
      <c r="C59" s="10"/>
      <c r="D59" s="10"/>
      <c r="E59" s="10"/>
      <c r="F59" s="10"/>
      <c r="G59" s="10"/>
      <c r="H59" s="12"/>
    </row>
    <row r="60" spans="1:8" x14ac:dyDescent="0.25">
      <c r="A60" s="35"/>
      <c r="B60" s="36"/>
      <c r="C60" s="10"/>
      <c r="D60" s="10"/>
      <c r="E60" s="10"/>
      <c r="F60" s="10"/>
      <c r="G60" s="10">
        <f>G15+G22+G29+G36+G43+G50+G57</f>
        <v>1035356.8400000005</v>
      </c>
      <c r="H60" s="12"/>
    </row>
    <row r="61" spans="1:8" x14ac:dyDescent="0.25">
      <c r="A61" s="13" t="s">
        <v>0</v>
      </c>
      <c r="B61" s="36"/>
      <c r="C61" s="10"/>
      <c r="D61" s="10"/>
      <c r="E61" s="10"/>
      <c r="F61" s="10"/>
      <c r="H61" s="12"/>
    </row>
    <row r="62" spans="1:8" x14ac:dyDescent="0.25">
      <c r="A62" s="13" t="s">
        <v>1</v>
      </c>
      <c r="B62" s="36"/>
      <c r="C62" s="10"/>
      <c r="D62" s="10"/>
      <c r="E62" s="10"/>
      <c r="F62" s="10"/>
      <c r="G62" s="10"/>
      <c r="H62" s="12"/>
    </row>
    <row r="63" spans="1:8" x14ac:dyDescent="0.25">
      <c r="A63" s="13" t="s">
        <v>2</v>
      </c>
      <c r="B63" s="36"/>
      <c r="C63" s="10"/>
      <c r="D63" s="10"/>
      <c r="E63" s="10"/>
      <c r="F63" s="10"/>
      <c r="G63" s="10"/>
      <c r="H63" s="12"/>
    </row>
    <row r="64" spans="1:8" x14ac:dyDescent="0.25">
      <c r="A64" s="24" t="s">
        <v>165</v>
      </c>
      <c r="B64" s="36"/>
      <c r="C64" s="10"/>
      <c r="D64" s="10"/>
      <c r="E64" s="10"/>
      <c r="F64" s="10"/>
      <c r="G64" s="10"/>
      <c r="H64" s="12"/>
    </row>
    <row r="65" spans="1:8" x14ac:dyDescent="0.25">
      <c r="A65" s="35"/>
      <c r="B65" s="36"/>
      <c r="C65" s="10"/>
      <c r="D65" s="10"/>
      <c r="E65" s="10"/>
      <c r="F65" s="10"/>
      <c r="G65" s="10"/>
      <c r="H65" s="12"/>
    </row>
    <row r="66" spans="1:8" x14ac:dyDescent="0.25">
      <c r="A66" s="88" t="s">
        <v>3</v>
      </c>
      <c r="B66" s="88" t="s">
        <v>4</v>
      </c>
      <c r="C66" s="88" t="s">
        <v>5</v>
      </c>
      <c r="D66" s="88" t="s">
        <v>6</v>
      </c>
      <c r="E66" s="88" t="s">
        <v>7</v>
      </c>
      <c r="F66" s="15" t="s">
        <v>8</v>
      </c>
      <c r="G66" s="15" t="s">
        <v>8</v>
      </c>
      <c r="H66" s="12"/>
    </row>
    <row r="67" spans="1:8" x14ac:dyDescent="0.25">
      <c r="A67" s="89"/>
      <c r="B67" s="89"/>
      <c r="C67" s="89"/>
      <c r="D67" s="89"/>
      <c r="E67" s="89"/>
      <c r="F67" s="16" t="s">
        <v>5</v>
      </c>
      <c r="G67" s="16" t="s">
        <v>6</v>
      </c>
      <c r="H67" s="12"/>
    </row>
    <row r="68" spans="1:8" x14ac:dyDescent="0.25">
      <c r="A68" s="26"/>
      <c r="B68" s="17"/>
      <c r="C68" s="19"/>
      <c r="D68" s="19"/>
      <c r="E68" s="19"/>
      <c r="F68" s="19"/>
      <c r="G68" s="19"/>
      <c r="H68" s="12"/>
    </row>
    <row r="69" spans="1:8" x14ac:dyDescent="0.25">
      <c r="A69" s="27">
        <v>1101</v>
      </c>
      <c r="B69" s="28" t="s">
        <v>20</v>
      </c>
      <c r="C69" s="2"/>
      <c r="D69" s="2"/>
      <c r="E69" s="2"/>
      <c r="F69" s="2"/>
      <c r="G69" s="2"/>
      <c r="H69" s="12"/>
    </row>
    <row r="70" spans="1:8" x14ac:dyDescent="0.25">
      <c r="A70" s="27"/>
      <c r="B70" s="29" t="s">
        <v>11</v>
      </c>
      <c r="C70" s="2">
        <v>747618</v>
      </c>
      <c r="D70" s="2">
        <v>747618</v>
      </c>
      <c r="E70" s="2">
        <f>690465.02+11700+45447.25</f>
        <v>747612.27</v>
      </c>
      <c r="F70" s="2">
        <f>C70-E70</f>
        <v>5.7299999999813735</v>
      </c>
      <c r="G70" s="2">
        <f>D70-E70</f>
        <v>5.7299999999813735</v>
      </c>
      <c r="H70" s="12"/>
    </row>
    <row r="71" spans="1:8" x14ac:dyDescent="0.25">
      <c r="A71" s="27"/>
      <c r="B71" s="29" t="s">
        <v>12</v>
      </c>
      <c r="C71" s="2">
        <v>102010.7</v>
      </c>
      <c r="D71" s="2">
        <f>C71/2</f>
        <v>51005.35</v>
      </c>
      <c r="E71" s="2"/>
      <c r="F71" s="2"/>
      <c r="G71" s="2"/>
      <c r="H71" s="13">
        <f>E71/C71</f>
        <v>0</v>
      </c>
    </row>
    <row r="72" spans="1:8" x14ac:dyDescent="0.25">
      <c r="A72" s="27"/>
      <c r="B72" s="29" t="s">
        <v>13</v>
      </c>
      <c r="C72" s="2"/>
      <c r="D72" s="2"/>
      <c r="E72" s="2"/>
      <c r="F72" s="2">
        <f>C72-E72</f>
        <v>0</v>
      </c>
      <c r="G72" s="2">
        <f>D72-E72</f>
        <v>0</v>
      </c>
      <c r="H72" s="12"/>
    </row>
    <row r="73" spans="1:8" x14ac:dyDescent="0.25">
      <c r="A73" s="27"/>
      <c r="B73" s="29" t="s">
        <v>14</v>
      </c>
      <c r="C73" s="2"/>
      <c r="D73" s="2"/>
      <c r="E73" s="2"/>
      <c r="F73" s="2"/>
      <c r="G73" s="2"/>
      <c r="H73" s="12"/>
    </row>
    <row r="74" spans="1:8" x14ac:dyDescent="0.25">
      <c r="A74" s="18"/>
      <c r="B74" s="30" t="s">
        <v>27</v>
      </c>
      <c r="C74" s="8">
        <f>SUM(C70:C73)</f>
        <v>849628.7</v>
      </c>
      <c r="D74" s="8">
        <f>SUM(D70:D73)</f>
        <v>798623.35</v>
      </c>
      <c r="E74" s="8">
        <f>SUM(E70:E73)</f>
        <v>747612.27</v>
      </c>
      <c r="F74" s="8">
        <f>SUM(F70:F73)</f>
        <v>5.7299999999813735</v>
      </c>
      <c r="G74" s="8">
        <f>SUM(G70:G73)</f>
        <v>5.7299999999813735</v>
      </c>
      <c r="H74" s="12"/>
    </row>
    <row r="75" spans="1:8" x14ac:dyDescent="0.25">
      <c r="A75" s="27"/>
      <c r="B75" s="18"/>
      <c r="C75" s="2"/>
      <c r="D75" s="2"/>
      <c r="E75" s="2"/>
      <c r="F75" s="2"/>
      <c r="G75" s="2"/>
      <c r="H75" s="12"/>
    </row>
    <row r="76" spans="1:8" x14ac:dyDescent="0.25">
      <c r="A76" s="27">
        <v>6544</v>
      </c>
      <c r="B76" s="28" t="s">
        <v>21</v>
      </c>
      <c r="C76" s="18"/>
      <c r="D76" s="2"/>
      <c r="E76" s="2"/>
      <c r="F76" s="2"/>
      <c r="G76" s="2"/>
      <c r="H76" s="12"/>
    </row>
    <row r="77" spans="1:8" x14ac:dyDescent="0.25">
      <c r="A77" s="27"/>
      <c r="B77" s="29" t="s">
        <v>11</v>
      </c>
      <c r="C77" s="2">
        <v>1095974.48</v>
      </c>
      <c r="D77" s="2">
        <v>1095974.48</v>
      </c>
      <c r="E77" s="2">
        <v>903324.39</v>
      </c>
      <c r="F77" s="2">
        <f>C77-E77</f>
        <v>192650.08999999997</v>
      </c>
      <c r="G77" s="2">
        <f>D77-E77</f>
        <v>192650.08999999997</v>
      </c>
      <c r="H77" s="12"/>
    </row>
    <row r="78" spans="1:8" x14ac:dyDescent="0.25">
      <c r="A78" s="27"/>
      <c r="B78" s="29" t="s">
        <v>12</v>
      </c>
      <c r="C78" s="2">
        <v>680999</v>
      </c>
      <c r="D78" s="2">
        <v>680999</v>
      </c>
      <c r="E78" s="2"/>
      <c r="F78" s="2"/>
      <c r="G78" s="2"/>
      <c r="H78" s="13">
        <f>E78/C78</f>
        <v>0</v>
      </c>
    </row>
    <row r="79" spans="1:8" x14ac:dyDescent="0.25">
      <c r="A79" s="27"/>
      <c r="B79" s="29" t="s">
        <v>13</v>
      </c>
      <c r="C79" s="2"/>
      <c r="D79" s="2"/>
      <c r="E79" s="2"/>
      <c r="F79" s="2"/>
      <c r="G79" s="2"/>
      <c r="H79" s="12"/>
    </row>
    <row r="80" spans="1:8" x14ac:dyDescent="0.25">
      <c r="A80" s="27"/>
      <c r="B80" s="29" t="s">
        <v>14</v>
      </c>
      <c r="C80" s="2"/>
      <c r="D80" s="2"/>
      <c r="E80" s="2"/>
      <c r="F80" s="2"/>
      <c r="G80" s="2"/>
      <c r="H80" s="12"/>
    </row>
    <row r="81" spans="1:8" x14ac:dyDescent="0.25">
      <c r="A81" s="27"/>
      <c r="B81" s="30" t="s">
        <v>27</v>
      </c>
      <c r="C81" s="8">
        <f>SUM(C77:C80)</f>
        <v>1776973.48</v>
      </c>
      <c r="D81" s="8">
        <f>SUM(D77:D80)</f>
        <v>1776973.48</v>
      </c>
      <c r="E81" s="8">
        <f>SUM(E77:E80)</f>
        <v>903324.39</v>
      </c>
      <c r="F81" s="8">
        <f>SUM(F77:F80)</f>
        <v>192650.08999999997</v>
      </c>
      <c r="G81" s="8">
        <f>SUM(G77:G80)</f>
        <v>192650.08999999997</v>
      </c>
      <c r="H81" s="12"/>
    </row>
    <row r="82" spans="1:8" x14ac:dyDescent="0.25">
      <c r="A82" s="27"/>
      <c r="B82" s="18"/>
      <c r="C82" s="2"/>
      <c r="D82" s="2"/>
      <c r="E82" s="2"/>
      <c r="F82" s="2"/>
      <c r="G82" s="2"/>
      <c r="H82" s="12"/>
    </row>
    <row r="83" spans="1:8" x14ac:dyDescent="0.25">
      <c r="A83" s="27">
        <v>4411</v>
      </c>
      <c r="B83" s="28" t="s">
        <v>22</v>
      </c>
      <c r="C83" s="18"/>
      <c r="D83" s="2"/>
      <c r="E83" s="2"/>
      <c r="F83" s="2"/>
      <c r="G83" s="2"/>
      <c r="H83" s="12"/>
    </row>
    <row r="84" spans="1:8" x14ac:dyDescent="0.25">
      <c r="A84" s="27"/>
      <c r="B84" s="29" t="s">
        <v>11</v>
      </c>
      <c r="C84" s="2">
        <v>2875006</v>
      </c>
      <c r="D84" s="2">
        <v>2875006</v>
      </c>
      <c r="E84" s="2">
        <v>2832846.3</v>
      </c>
      <c r="F84" s="2">
        <f>C84-E84</f>
        <v>42159.700000000186</v>
      </c>
      <c r="G84" s="2">
        <f>D84-E84</f>
        <v>42159.700000000186</v>
      </c>
      <c r="H84" s="12"/>
    </row>
    <row r="85" spans="1:8" x14ac:dyDescent="0.25">
      <c r="A85" s="27"/>
      <c r="B85" s="29" t="s">
        <v>12</v>
      </c>
      <c r="C85" s="2">
        <v>158998.95000000001</v>
      </c>
      <c r="D85" s="2">
        <f>C85/2</f>
        <v>79499.475000000006</v>
      </c>
      <c r="E85" s="2"/>
      <c r="F85" s="2"/>
      <c r="G85" s="2"/>
      <c r="H85" s="13">
        <f>E85/C85</f>
        <v>0</v>
      </c>
    </row>
    <row r="86" spans="1:8" x14ac:dyDescent="0.25">
      <c r="A86" s="27"/>
      <c r="B86" s="29" t="s">
        <v>13</v>
      </c>
      <c r="C86" s="2"/>
      <c r="D86" s="2"/>
      <c r="E86" s="2"/>
      <c r="F86" s="2"/>
      <c r="G86" s="2"/>
      <c r="H86" s="12"/>
    </row>
    <row r="87" spans="1:8" x14ac:dyDescent="0.25">
      <c r="A87" s="27"/>
      <c r="B87" s="29" t="s">
        <v>14</v>
      </c>
      <c r="C87" s="2"/>
      <c r="D87" s="2"/>
      <c r="E87" s="2"/>
      <c r="F87" s="2"/>
      <c r="G87" s="2"/>
      <c r="H87" s="12"/>
    </row>
    <row r="88" spans="1:8" x14ac:dyDescent="0.25">
      <c r="A88" s="27"/>
      <c r="B88" s="30" t="s">
        <v>27</v>
      </c>
      <c r="C88" s="8">
        <f>SUM(C84:C87)</f>
        <v>3034004.95</v>
      </c>
      <c r="D88" s="8">
        <f>SUM(D84:D87)</f>
        <v>2954505.4750000001</v>
      </c>
      <c r="E88" s="8">
        <f>SUM(E84:E87)</f>
        <v>2832846.3</v>
      </c>
      <c r="F88" s="8">
        <f>SUM(F84:F87)</f>
        <v>42159.700000000186</v>
      </c>
      <c r="G88" s="8">
        <f>SUM(G84:G87)</f>
        <v>42159.700000000186</v>
      </c>
      <c r="H88" s="12"/>
    </row>
    <row r="89" spans="1:8" x14ac:dyDescent="0.25">
      <c r="A89" s="27"/>
      <c r="B89" s="18"/>
      <c r="C89" s="2"/>
      <c r="D89" s="2"/>
      <c r="E89" s="2"/>
      <c r="F89" s="2"/>
      <c r="G89" s="2"/>
      <c r="H89" s="12"/>
    </row>
    <row r="90" spans="1:8" x14ac:dyDescent="0.25">
      <c r="A90" s="27">
        <v>7611</v>
      </c>
      <c r="B90" s="28" t="s">
        <v>23</v>
      </c>
      <c r="C90" s="2"/>
      <c r="D90" s="2"/>
      <c r="E90" s="2"/>
      <c r="F90" s="2"/>
      <c r="G90" s="2"/>
      <c r="H90" s="12"/>
    </row>
    <row r="91" spans="1:8" x14ac:dyDescent="0.25">
      <c r="A91" s="27"/>
      <c r="B91" s="29" t="s">
        <v>11</v>
      </c>
      <c r="C91" s="2">
        <v>1095293.6399999999</v>
      </c>
      <c r="D91" s="2">
        <v>1095293.6399999999</v>
      </c>
      <c r="E91" s="2">
        <f>919905.42+1500+8000+67032.22</f>
        <v>996437.64</v>
      </c>
      <c r="F91" s="2">
        <f>C91-E91</f>
        <v>98855.999999999884</v>
      </c>
      <c r="G91" s="2">
        <f>D91-E91</f>
        <v>98855.999999999884</v>
      </c>
      <c r="H91" s="12"/>
    </row>
    <row r="92" spans="1:8" x14ac:dyDescent="0.25">
      <c r="A92" s="27"/>
      <c r="B92" s="29" t="s">
        <v>12</v>
      </c>
      <c r="C92" s="2">
        <v>172701.05</v>
      </c>
      <c r="D92" s="2">
        <f>C92/2</f>
        <v>86350.524999999994</v>
      </c>
      <c r="E92" s="2"/>
      <c r="F92" s="2"/>
      <c r="G92" s="2"/>
      <c r="H92" s="13">
        <f>E92/C92</f>
        <v>0</v>
      </c>
    </row>
    <row r="93" spans="1:8" x14ac:dyDescent="0.25">
      <c r="A93" s="27"/>
      <c r="B93" s="29" t="s">
        <v>13</v>
      </c>
      <c r="C93" s="2"/>
      <c r="D93" s="2"/>
      <c r="E93" s="2"/>
      <c r="F93" s="2"/>
      <c r="G93" s="2"/>
      <c r="H93" s="12"/>
    </row>
    <row r="94" spans="1:8" x14ac:dyDescent="0.25">
      <c r="A94" s="27"/>
      <c r="B94" s="29" t="s">
        <v>14</v>
      </c>
      <c r="C94" s="2"/>
      <c r="D94" s="2"/>
      <c r="E94" s="2"/>
      <c r="F94" s="2"/>
      <c r="G94" s="2"/>
      <c r="H94" s="12"/>
    </row>
    <row r="95" spans="1:8" x14ac:dyDescent="0.25">
      <c r="A95" s="27"/>
      <c r="B95" s="30" t="s">
        <v>27</v>
      </c>
      <c r="C95" s="8">
        <f>SUM(C91:C94)</f>
        <v>1267994.69</v>
      </c>
      <c r="D95" s="8">
        <f>SUM(D91:D94)</f>
        <v>1181644.1649999998</v>
      </c>
      <c r="E95" s="8">
        <f>SUM(E91:E94)</f>
        <v>996437.64</v>
      </c>
      <c r="F95" s="8">
        <f>SUM(F91:F94)</f>
        <v>98855.999999999884</v>
      </c>
      <c r="G95" s="8">
        <f>SUM(G91:G94)</f>
        <v>98855.999999999884</v>
      </c>
      <c r="H95" s="12"/>
    </row>
    <row r="96" spans="1:8" x14ac:dyDescent="0.25">
      <c r="A96" s="27"/>
      <c r="B96" s="18"/>
      <c r="C96" s="2"/>
      <c r="D96" s="2"/>
      <c r="E96" s="2"/>
      <c r="F96" s="2"/>
      <c r="G96" s="2"/>
      <c r="H96" s="12"/>
    </row>
    <row r="97" spans="1:8" x14ac:dyDescent="0.25">
      <c r="A97" s="27">
        <v>8711</v>
      </c>
      <c r="B97" s="28" t="s">
        <v>24</v>
      </c>
      <c r="C97" s="2"/>
      <c r="D97" s="2"/>
      <c r="E97" s="2"/>
      <c r="F97" s="2"/>
      <c r="G97" s="2"/>
      <c r="H97" s="12"/>
    </row>
    <row r="98" spans="1:8" x14ac:dyDescent="0.25">
      <c r="A98" s="27"/>
      <c r="B98" s="29" t="s">
        <v>11</v>
      </c>
      <c r="C98" s="2">
        <v>848210.96</v>
      </c>
      <c r="D98" s="2">
        <v>848210.96</v>
      </c>
      <c r="E98" s="2">
        <f>782721.38+10400+53548.08</f>
        <v>846669.46</v>
      </c>
      <c r="F98" s="2">
        <f>C98-E98</f>
        <v>1541.5</v>
      </c>
      <c r="G98" s="2">
        <f>D98-E98</f>
        <v>1541.5</v>
      </c>
      <c r="H98" s="12"/>
    </row>
    <row r="99" spans="1:8" x14ac:dyDescent="0.25">
      <c r="A99" s="27"/>
      <c r="B99" s="29" t="s">
        <v>12</v>
      </c>
      <c r="C99" s="2">
        <v>79793.45</v>
      </c>
      <c r="D99" s="2">
        <f>C99/2</f>
        <v>39896.724999999999</v>
      </c>
      <c r="E99" s="2"/>
      <c r="F99" s="2"/>
      <c r="G99" s="2"/>
      <c r="H99" s="13">
        <f>E99/C99</f>
        <v>0</v>
      </c>
    </row>
    <row r="100" spans="1:8" x14ac:dyDescent="0.25">
      <c r="A100" s="27"/>
      <c r="B100" s="29" t="s">
        <v>13</v>
      </c>
      <c r="C100" s="2">
        <v>35000</v>
      </c>
      <c r="D100" s="2"/>
      <c r="E100" s="2"/>
      <c r="F100" s="2"/>
      <c r="G100" s="2"/>
      <c r="H100" s="12"/>
    </row>
    <row r="101" spans="1:8" x14ac:dyDescent="0.25">
      <c r="A101" s="27"/>
      <c r="B101" s="29" t="s">
        <v>14</v>
      </c>
      <c r="C101" s="2"/>
      <c r="D101" s="2"/>
      <c r="E101" s="2"/>
      <c r="F101" s="2"/>
      <c r="G101" s="2"/>
      <c r="H101" s="12"/>
    </row>
    <row r="102" spans="1:8" x14ac:dyDescent="0.25">
      <c r="A102" s="27"/>
      <c r="B102" s="30" t="s">
        <v>27</v>
      </c>
      <c r="C102" s="8">
        <f>SUM(C98:C101)</f>
        <v>963004.40999999992</v>
      </c>
      <c r="D102" s="8">
        <f>SUM(D98:D101)</f>
        <v>888107.68499999994</v>
      </c>
      <c r="E102" s="8">
        <f>SUM(E98:E101)</f>
        <v>846669.46</v>
      </c>
      <c r="F102" s="8">
        <f>SUM(F98:F101)</f>
        <v>1541.5</v>
      </c>
      <c r="G102" s="8">
        <f>SUM(G98:G101)</f>
        <v>1541.5</v>
      </c>
      <c r="H102" s="12"/>
    </row>
    <row r="103" spans="1:8" x14ac:dyDescent="0.25">
      <c r="A103" s="27"/>
      <c r="B103" s="18"/>
      <c r="C103" s="2"/>
      <c r="D103" s="2"/>
      <c r="E103" s="2"/>
      <c r="F103" s="2"/>
      <c r="G103" s="2"/>
      <c r="H103" s="12"/>
    </row>
    <row r="104" spans="1:8" x14ac:dyDescent="0.25">
      <c r="A104" s="27">
        <v>8751</v>
      </c>
      <c r="B104" s="28" t="s">
        <v>25</v>
      </c>
      <c r="C104" s="2"/>
      <c r="D104" s="2"/>
      <c r="E104" s="2"/>
      <c r="F104" s="2"/>
      <c r="G104" s="2"/>
      <c r="H104" s="12"/>
    </row>
    <row r="105" spans="1:8" x14ac:dyDescent="0.25">
      <c r="A105" s="27"/>
      <c r="B105" s="29" t="s">
        <v>11</v>
      </c>
      <c r="C105" s="2">
        <v>994386.36</v>
      </c>
      <c r="D105" s="2">
        <v>994386.36</v>
      </c>
      <c r="E105" s="2">
        <f>916642.35+13700+61866.78</f>
        <v>992209.13</v>
      </c>
      <c r="F105" s="2">
        <f>C105-E105</f>
        <v>2177.2299999999814</v>
      </c>
      <c r="G105" s="2">
        <f>D105-E105</f>
        <v>2177.2299999999814</v>
      </c>
      <c r="H105" s="12"/>
    </row>
    <row r="106" spans="1:8" x14ac:dyDescent="0.25">
      <c r="A106" s="27"/>
      <c r="B106" s="29" t="s">
        <v>12</v>
      </c>
      <c r="C106" s="2">
        <v>55705</v>
      </c>
      <c r="D106" s="2">
        <f>C106/2</f>
        <v>27852.5</v>
      </c>
      <c r="E106" s="2"/>
      <c r="F106" s="2"/>
      <c r="G106" s="2"/>
      <c r="H106" s="13">
        <f>E106/C106</f>
        <v>0</v>
      </c>
    </row>
    <row r="107" spans="1:8" x14ac:dyDescent="0.25">
      <c r="A107" s="27"/>
      <c r="B107" s="29" t="s">
        <v>13</v>
      </c>
      <c r="C107" s="2"/>
      <c r="D107" s="2"/>
      <c r="E107" s="2"/>
      <c r="F107" s="2"/>
      <c r="G107" s="2"/>
      <c r="H107" s="12"/>
    </row>
    <row r="108" spans="1:8" x14ac:dyDescent="0.25">
      <c r="A108" s="27"/>
      <c r="B108" s="29" t="s">
        <v>14</v>
      </c>
      <c r="C108" s="2"/>
      <c r="D108" s="2"/>
      <c r="E108" s="2"/>
      <c r="F108" s="2"/>
      <c r="G108" s="2"/>
      <c r="H108" s="12"/>
    </row>
    <row r="109" spans="1:8" x14ac:dyDescent="0.25">
      <c r="A109" s="27"/>
      <c r="B109" s="30" t="s">
        <v>27</v>
      </c>
      <c r="C109" s="8">
        <f>SUM(C105:C108)</f>
        <v>1050091.3599999999</v>
      </c>
      <c r="D109" s="8">
        <f>SUM(D105:D108)</f>
        <v>1022238.86</v>
      </c>
      <c r="E109" s="8">
        <f>SUM(E105:E108)</f>
        <v>992209.13</v>
      </c>
      <c r="F109" s="8">
        <f>SUM(F105:F108)</f>
        <v>2177.2299999999814</v>
      </c>
      <c r="G109" s="8">
        <f>SUM(G105:G108)</f>
        <v>2177.2299999999814</v>
      </c>
      <c r="H109" s="12"/>
    </row>
    <row r="110" spans="1:8" x14ac:dyDescent="0.25">
      <c r="A110" s="27"/>
      <c r="B110" s="18"/>
      <c r="C110" s="2"/>
      <c r="D110" s="2"/>
      <c r="E110" s="2"/>
      <c r="F110" s="2"/>
      <c r="G110" s="2"/>
      <c r="H110" s="12"/>
    </row>
    <row r="111" spans="1:8" x14ac:dyDescent="0.25">
      <c r="A111" s="27">
        <v>8811</v>
      </c>
      <c r="B111" s="28" t="s">
        <v>26</v>
      </c>
      <c r="C111" s="2"/>
      <c r="D111" s="2"/>
      <c r="E111" s="2"/>
      <c r="F111" s="2"/>
      <c r="G111" s="2"/>
      <c r="H111" s="12"/>
    </row>
    <row r="112" spans="1:8" x14ac:dyDescent="0.25">
      <c r="A112" s="27"/>
      <c r="B112" s="29" t="s">
        <v>11</v>
      </c>
      <c r="C112" s="2"/>
      <c r="D112" s="2"/>
      <c r="E112" s="2"/>
      <c r="F112" s="2">
        <f>C112-E112</f>
        <v>0</v>
      </c>
      <c r="G112" s="2">
        <f>D112-E112</f>
        <v>0</v>
      </c>
      <c r="H112" s="12"/>
    </row>
    <row r="113" spans="1:9" x14ac:dyDescent="0.25">
      <c r="A113" s="27"/>
      <c r="B113" s="29" t="s">
        <v>12</v>
      </c>
      <c r="C113" s="2">
        <v>52119</v>
      </c>
      <c r="D113" s="2">
        <f>C113/2</f>
        <v>26059.5</v>
      </c>
      <c r="E113" s="2"/>
      <c r="F113" s="2"/>
      <c r="G113" s="2"/>
      <c r="H113" s="13">
        <f>E113/C113</f>
        <v>0</v>
      </c>
    </row>
    <row r="114" spans="1:9" x14ac:dyDescent="0.25">
      <c r="A114" s="27"/>
      <c r="B114" s="29" t="s">
        <v>13</v>
      </c>
      <c r="C114" s="2"/>
      <c r="D114" s="2"/>
      <c r="E114" s="2"/>
      <c r="F114" s="2"/>
      <c r="G114" s="2"/>
      <c r="H114" s="12"/>
    </row>
    <row r="115" spans="1:9" x14ac:dyDescent="0.25">
      <c r="A115" s="27"/>
      <c r="B115" s="29" t="s">
        <v>14</v>
      </c>
      <c r="C115" s="2"/>
      <c r="D115" s="2"/>
      <c r="E115" s="2"/>
      <c r="F115" s="2"/>
      <c r="G115" s="2"/>
      <c r="H115" s="12"/>
    </row>
    <row r="116" spans="1:9" x14ac:dyDescent="0.25">
      <c r="A116" s="31"/>
      <c r="B116" s="30" t="s">
        <v>27</v>
      </c>
      <c r="C116" s="8"/>
      <c r="D116" s="8">
        <f>SUM(D112:D115)</f>
        <v>26059.5</v>
      </c>
      <c r="E116" s="8">
        <f>SUM(E112:E115)</f>
        <v>0</v>
      </c>
      <c r="F116" s="8">
        <f>SUM(F112:F115)</f>
        <v>0</v>
      </c>
      <c r="G116" s="8">
        <f>SUM(G112:G115)</f>
        <v>0</v>
      </c>
      <c r="H116" s="12"/>
    </row>
    <row r="117" spans="1:9" ht="15.75" thickBot="1" x14ac:dyDescent="0.3">
      <c r="A117" s="37"/>
      <c r="B117" s="38"/>
      <c r="C117" s="9"/>
      <c r="D117" s="9"/>
      <c r="E117" s="9"/>
      <c r="F117" s="9"/>
      <c r="G117" s="34"/>
      <c r="H117" s="12"/>
      <c r="I117" s="13" t="s">
        <v>168</v>
      </c>
    </row>
    <row r="118" spans="1:9" x14ac:dyDescent="0.25">
      <c r="C118" s="12"/>
      <c r="D118" s="12"/>
      <c r="E118" s="12"/>
      <c r="F118" s="12"/>
      <c r="G118" s="12"/>
      <c r="H118" s="12"/>
    </row>
    <row r="119" spans="1:9" x14ac:dyDescent="0.25">
      <c r="C119" s="12"/>
      <c r="E119" s="12"/>
      <c r="F119" s="12"/>
      <c r="G119" s="12"/>
      <c r="H119" s="12"/>
    </row>
    <row r="120" spans="1:9" x14ac:dyDescent="0.25">
      <c r="C120" s="12"/>
      <c r="D120" s="12"/>
      <c r="E120" s="12"/>
      <c r="F120" s="10"/>
      <c r="G120" s="12"/>
      <c r="H120" s="12"/>
    </row>
    <row r="121" spans="1:9" x14ac:dyDescent="0.25">
      <c r="A121" s="13" t="s">
        <v>0</v>
      </c>
      <c r="B121" s="36"/>
      <c r="C121" s="10"/>
      <c r="D121" s="10"/>
      <c r="E121" s="10"/>
      <c r="F121" s="10"/>
      <c r="G121" s="10"/>
      <c r="H121" s="12"/>
    </row>
    <row r="122" spans="1:9" x14ac:dyDescent="0.25">
      <c r="A122" s="13" t="s">
        <v>1</v>
      </c>
      <c r="B122" s="36"/>
      <c r="C122" s="10"/>
      <c r="D122" s="10"/>
      <c r="F122" s="10"/>
      <c r="G122" s="10"/>
      <c r="H122" s="12"/>
    </row>
    <row r="123" spans="1:9" x14ac:dyDescent="0.25">
      <c r="A123" s="13" t="s">
        <v>2</v>
      </c>
      <c r="B123" s="36"/>
      <c r="C123" s="10"/>
      <c r="D123" s="10"/>
      <c r="E123" s="10"/>
      <c r="F123" s="10"/>
      <c r="G123" s="12"/>
      <c r="H123" s="12"/>
    </row>
    <row r="124" spans="1:9" x14ac:dyDescent="0.25">
      <c r="A124" s="24" t="s">
        <v>165</v>
      </c>
      <c r="B124" s="36"/>
      <c r="C124" s="10"/>
      <c r="D124" s="10"/>
      <c r="E124" s="10"/>
      <c r="F124" s="10"/>
      <c r="G124" s="10"/>
      <c r="H124" s="12"/>
    </row>
    <row r="125" spans="1:9" x14ac:dyDescent="0.25">
      <c r="A125" s="35"/>
      <c r="B125" s="36"/>
      <c r="C125" s="10"/>
      <c r="D125" s="10"/>
      <c r="E125" s="10"/>
      <c r="F125" s="10"/>
      <c r="G125" s="10"/>
      <c r="H125" s="12"/>
    </row>
    <row r="126" spans="1:9" x14ac:dyDescent="0.25">
      <c r="A126" s="88" t="s">
        <v>3</v>
      </c>
      <c r="B126" s="88" t="s">
        <v>4</v>
      </c>
      <c r="C126" s="88" t="s">
        <v>5</v>
      </c>
      <c r="D126" s="88" t="s">
        <v>6</v>
      </c>
      <c r="E126" s="88" t="s">
        <v>7</v>
      </c>
      <c r="F126" s="15" t="s">
        <v>8</v>
      </c>
      <c r="G126" s="15" t="s">
        <v>8</v>
      </c>
      <c r="H126" s="12"/>
    </row>
    <row r="127" spans="1:9" x14ac:dyDescent="0.25">
      <c r="A127" s="89"/>
      <c r="B127" s="89"/>
      <c r="C127" s="89"/>
      <c r="D127" s="89"/>
      <c r="E127" s="89"/>
      <c r="F127" s="16" t="s">
        <v>5</v>
      </c>
      <c r="G127" s="16" t="s">
        <v>6</v>
      </c>
      <c r="H127" s="12"/>
    </row>
    <row r="128" spans="1:9" x14ac:dyDescent="0.25">
      <c r="A128" s="17"/>
      <c r="B128" s="17"/>
      <c r="C128" s="19"/>
      <c r="D128" s="19"/>
      <c r="E128" s="19"/>
      <c r="F128" s="19"/>
      <c r="G128" s="19"/>
      <c r="H128" s="12"/>
    </row>
    <row r="129" spans="1:10" x14ac:dyDescent="0.25">
      <c r="A129" s="18" t="s">
        <v>29</v>
      </c>
      <c r="B129" s="18" t="s">
        <v>38</v>
      </c>
      <c r="C129" s="2">
        <v>33245.4</v>
      </c>
      <c r="D129" s="2">
        <v>33245.4</v>
      </c>
      <c r="E129" s="2">
        <v>15492</v>
      </c>
      <c r="F129" s="2">
        <f t="shared" ref="F129:F155" si="2">C129-E129</f>
        <v>17753.400000000001</v>
      </c>
      <c r="G129" s="2">
        <f t="shared" ref="G129:G156" si="3">D129-E129</f>
        <v>17753.400000000001</v>
      </c>
      <c r="H129" s="12"/>
    </row>
    <row r="130" spans="1:10" x14ac:dyDescent="0.25">
      <c r="A130" s="18"/>
      <c r="B130" s="18" t="s">
        <v>32</v>
      </c>
      <c r="C130" s="2">
        <v>250000</v>
      </c>
      <c r="D130" s="2">
        <v>250000</v>
      </c>
      <c r="E130" s="2">
        <v>18095.849999999999</v>
      </c>
      <c r="F130" s="2">
        <f t="shared" si="2"/>
        <v>231904.15</v>
      </c>
      <c r="G130" s="2">
        <f t="shared" si="3"/>
        <v>231904.15</v>
      </c>
      <c r="H130" s="12"/>
    </row>
    <row r="131" spans="1:10" x14ac:dyDescent="0.25">
      <c r="A131" s="18"/>
      <c r="B131" s="18" t="s">
        <v>35</v>
      </c>
      <c r="C131" s="2">
        <v>430000</v>
      </c>
      <c r="D131" s="2">
        <v>430000</v>
      </c>
      <c r="E131" s="2">
        <v>505231.54</v>
      </c>
      <c r="F131" s="2">
        <f t="shared" si="2"/>
        <v>-75231.539999999979</v>
      </c>
      <c r="G131" s="2">
        <f t="shared" si="3"/>
        <v>-75231.539999999979</v>
      </c>
      <c r="H131" s="12"/>
    </row>
    <row r="132" spans="1:10" x14ac:dyDescent="0.25">
      <c r="A132" s="18"/>
      <c r="B132" s="18" t="s">
        <v>96</v>
      </c>
      <c r="C132" s="2">
        <v>150000</v>
      </c>
      <c r="D132" s="2">
        <v>150000</v>
      </c>
      <c r="E132" s="2"/>
      <c r="F132" s="2">
        <f t="shared" si="2"/>
        <v>150000</v>
      </c>
      <c r="G132" s="2">
        <f t="shared" si="3"/>
        <v>150000</v>
      </c>
      <c r="H132" s="12"/>
    </row>
    <row r="133" spans="1:10" x14ac:dyDescent="0.25">
      <c r="A133" s="18"/>
      <c r="B133" s="18" t="s">
        <v>100</v>
      </c>
      <c r="C133" s="2">
        <v>300000</v>
      </c>
      <c r="D133" s="2">
        <v>300000</v>
      </c>
      <c r="E133" s="2">
        <v>244992</v>
      </c>
      <c r="F133" s="2">
        <f t="shared" si="2"/>
        <v>55008</v>
      </c>
      <c r="G133" s="2">
        <f t="shared" si="3"/>
        <v>55008</v>
      </c>
      <c r="H133" s="12"/>
    </row>
    <row r="134" spans="1:10" x14ac:dyDescent="0.25">
      <c r="A134" s="18"/>
      <c r="B134" s="18" t="s">
        <v>31</v>
      </c>
      <c r="C134" s="2"/>
      <c r="D134" s="2"/>
      <c r="E134" s="2"/>
      <c r="F134" s="2">
        <f t="shared" si="2"/>
        <v>0</v>
      </c>
      <c r="G134" s="2"/>
      <c r="H134" s="12"/>
    </row>
    <row r="135" spans="1:10" x14ac:dyDescent="0.25">
      <c r="A135" s="18"/>
      <c r="B135" s="55" t="s">
        <v>146</v>
      </c>
      <c r="C135" s="2">
        <v>300000</v>
      </c>
      <c r="D135" s="2">
        <v>300000</v>
      </c>
      <c r="E135" s="2">
        <v>238688</v>
      </c>
      <c r="F135" s="2">
        <f t="shared" si="2"/>
        <v>61312</v>
      </c>
      <c r="G135" s="2">
        <f t="shared" si="3"/>
        <v>61312</v>
      </c>
      <c r="H135" s="12"/>
    </row>
    <row r="136" spans="1:10" x14ac:dyDescent="0.25">
      <c r="A136" s="18"/>
      <c r="B136" s="55" t="s">
        <v>147</v>
      </c>
      <c r="C136" s="2">
        <v>400000</v>
      </c>
      <c r="D136" s="2">
        <v>400000</v>
      </c>
      <c r="E136" s="2">
        <v>432050</v>
      </c>
      <c r="F136" s="2">
        <f t="shared" si="2"/>
        <v>-32050</v>
      </c>
      <c r="G136" s="2">
        <f t="shared" si="3"/>
        <v>-32050</v>
      </c>
      <c r="H136" s="12"/>
    </row>
    <row r="137" spans="1:10" x14ac:dyDescent="0.25">
      <c r="A137" s="18"/>
      <c r="B137" s="55" t="s">
        <v>148</v>
      </c>
      <c r="C137" s="2">
        <v>200000</v>
      </c>
      <c r="D137" s="2">
        <v>200000</v>
      </c>
      <c r="E137" s="2"/>
      <c r="F137" s="2">
        <f t="shared" si="2"/>
        <v>200000</v>
      </c>
      <c r="G137" s="2">
        <f t="shared" si="3"/>
        <v>200000</v>
      </c>
      <c r="H137" s="12"/>
    </row>
    <row r="138" spans="1:10" x14ac:dyDescent="0.25">
      <c r="A138" s="18"/>
      <c r="B138" s="55" t="s">
        <v>149</v>
      </c>
      <c r="C138" s="2">
        <v>100000</v>
      </c>
      <c r="D138" s="2">
        <v>100000</v>
      </c>
      <c r="E138" s="2"/>
      <c r="F138" s="2">
        <f t="shared" si="2"/>
        <v>100000</v>
      </c>
      <c r="G138" s="2">
        <f t="shared" si="3"/>
        <v>100000</v>
      </c>
      <c r="H138" s="12"/>
    </row>
    <row r="139" spans="1:10" x14ac:dyDescent="0.25">
      <c r="A139" s="18"/>
      <c r="B139" s="18" t="s">
        <v>151</v>
      </c>
      <c r="C139" s="2">
        <v>125000</v>
      </c>
      <c r="D139" s="2">
        <v>125000</v>
      </c>
      <c r="E139" s="2">
        <f>7175+11965+25430</f>
        <v>44570</v>
      </c>
      <c r="F139" s="2">
        <f t="shared" si="2"/>
        <v>80430</v>
      </c>
      <c r="G139" s="2">
        <f t="shared" si="3"/>
        <v>80430</v>
      </c>
      <c r="H139" s="12"/>
      <c r="J139" s="12"/>
    </row>
    <row r="140" spans="1:10" x14ac:dyDescent="0.25">
      <c r="A140" s="18"/>
      <c r="B140" s="27" t="s">
        <v>150</v>
      </c>
      <c r="C140" s="2">
        <v>20000</v>
      </c>
      <c r="D140" s="2">
        <v>20000</v>
      </c>
      <c r="E140" s="2">
        <v>9500</v>
      </c>
      <c r="F140" s="2">
        <f t="shared" si="2"/>
        <v>10500</v>
      </c>
      <c r="G140" s="2">
        <f t="shared" si="3"/>
        <v>10500</v>
      </c>
      <c r="H140" s="12"/>
      <c r="J140" s="12">
        <v>857870</v>
      </c>
    </row>
    <row r="141" spans="1:10" x14ac:dyDescent="0.25">
      <c r="A141" s="18"/>
      <c r="B141" s="18" t="s">
        <v>98</v>
      </c>
      <c r="C141" s="2">
        <v>80000</v>
      </c>
      <c r="D141" s="2">
        <v>80000</v>
      </c>
      <c r="E141" s="2">
        <v>32933</v>
      </c>
      <c r="F141" s="2">
        <f t="shared" si="2"/>
        <v>47067</v>
      </c>
      <c r="G141" s="2">
        <f t="shared" si="3"/>
        <v>47067</v>
      </c>
      <c r="H141" s="12"/>
      <c r="J141" s="12"/>
    </row>
    <row r="142" spans="1:10" x14ac:dyDescent="0.25">
      <c r="A142" s="18"/>
      <c r="B142" s="18" t="s">
        <v>94</v>
      </c>
      <c r="C142" s="2">
        <v>50000</v>
      </c>
      <c r="D142" s="2">
        <v>50000</v>
      </c>
      <c r="E142" s="2">
        <v>7500</v>
      </c>
      <c r="F142" s="2">
        <f t="shared" si="2"/>
        <v>42500</v>
      </c>
      <c r="G142" s="2">
        <f t="shared" si="3"/>
        <v>42500</v>
      </c>
      <c r="H142" s="12"/>
      <c r="J142" s="12"/>
    </row>
    <row r="143" spans="1:10" x14ac:dyDescent="0.25">
      <c r="A143" s="18"/>
      <c r="B143" s="18" t="s">
        <v>110</v>
      </c>
      <c r="C143" s="2">
        <v>1200000</v>
      </c>
      <c r="D143" s="2">
        <v>1200000</v>
      </c>
      <c r="E143" s="2">
        <v>2038130</v>
      </c>
      <c r="F143" s="2">
        <f t="shared" si="2"/>
        <v>-838130</v>
      </c>
      <c r="G143" s="2">
        <f t="shared" si="3"/>
        <v>-838130</v>
      </c>
      <c r="H143" s="12"/>
      <c r="J143" s="12"/>
    </row>
    <row r="144" spans="1:10" x14ac:dyDescent="0.25">
      <c r="A144" s="18"/>
      <c r="B144" s="18" t="s">
        <v>49</v>
      </c>
      <c r="C144" s="2">
        <v>30000</v>
      </c>
      <c r="D144" s="2">
        <v>30000</v>
      </c>
      <c r="E144" s="2"/>
      <c r="F144" s="2">
        <f t="shared" si="2"/>
        <v>30000</v>
      </c>
      <c r="G144" s="2">
        <f t="shared" si="3"/>
        <v>30000</v>
      </c>
      <c r="H144" s="12"/>
      <c r="J144" s="12">
        <f>J140*55%</f>
        <v>471828.50000000006</v>
      </c>
    </row>
    <row r="145" spans="1:10" x14ac:dyDescent="0.25">
      <c r="A145" s="18"/>
      <c r="B145" s="18" t="s">
        <v>33</v>
      </c>
      <c r="C145" s="2">
        <v>150000</v>
      </c>
      <c r="D145" s="2">
        <v>150000</v>
      </c>
      <c r="E145" s="2">
        <v>157805</v>
      </c>
      <c r="F145" s="2">
        <f t="shared" si="2"/>
        <v>-7805</v>
      </c>
      <c r="G145" s="2">
        <f t="shared" si="3"/>
        <v>-7805</v>
      </c>
      <c r="H145" s="12"/>
      <c r="J145" s="12"/>
    </row>
    <row r="146" spans="1:10" x14ac:dyDescent="0.25">
      <c r="A146" s="18"/>
      <c r="B146" s="18" t="s">
        <v>152</v>
      </c>
      <c r="C146" s="2">
        <v>70000</v>
      </c>
      <c r="D146" s="2">
        <v>70000</v>
      </c>
      <c r="E146" s="2">
        <v>12774</v>
      </c>
      <c r="F146" s="2">
        <f t="shared" si="2"/>
        <v>57226</v>
      </c>
      <c r="G146" s="2">
        <f t="shared" si="3"/>
        <v>57226</v>
      </c>
      <c r="H146" s="12"/>
      <c r="J146" s="12"/>
    </row>
    <row r="147" spans="1:10" x14ac:dyDescent="0.25">
      <c r="A147" s="18"/>
      <c r="B147" s="18" t="s">
        <v>42</v>
      </c>
      <c r="C147" s="2">
        <v>15000</v>
      </c>
      <c r="D147" s="2">
        <v>15000</v>
      </c>
      <c r="E147" s="2"/>
      <c r="F147" s="2">
        <f t="shared" si="2"/>
        <v>15000</v>
      </c>
      <c r="G147" s="2">
        <f t="shared" si="3"/>
        <v>15000</v>
      </c>
      <c r="H147" s="12"/>
      <c r="J147" s="12"/>
    </row>
    <row r="148" spans="1:10" x14ac:dyDescent="0.25">
      <c r="A148" s="18"/>
      <c r="B148" s="18" t="s">
        <v>43</v>
      </c>
      <c r="C148" s="2">
        <v>10000</v>
      </c>
      <c r="D148" s="2">
        <v>10000</v>
      </c>
      <c r="E148" s="2">
        <v>2600</v>
      </c>
      <c r="F148" s="2">
        <f t="shared" si="2"/>
        <v>7400</v>
      </c>
      <c r="G148" s="2">
        <f t="shared" si="3"/>
        <v>7400</v>
      </c>
      <c r="H148" s="12"/>
      <c r="J148" s="12"/>
    </row>
    <row r="149" spans="1:10" x14ac:dyDescent="0.25">
      <c r="A149" s="18"/>
      <c r="B149" s="18" t="s">
        <v>153</v>
      </c>
      <c r="C149" s="2">
        <v>1000000</v>
      </c>
      <c r="D149" s="2">
        <v>1000000</v>
      </c>
      <c r="E149" s="2">
        <v>74305.5</v>
      </c>
      <c r="F149" s="2">
        <f t="shared" si="2"/>
        <v>925694.5</v>
      </c>
      <c r="G149" s="2">
        <f t="shared" si="3"/>
        <v>925694.5</v>
      </c>
      <c r="J149" s="12"/>
    </row>
    <row r="150" spans="1:10" x14ac:dyDescent="0.25">
      <c r="A150" s="18"/>
      <c r="B150" s="18" t="s">
        <v>154</v>
      </c>
      <c r="C150" s="2">
        <v>20000</v>
      </c>
      <c r="D150" s="2">
        <v>20000</v>
      </c>
      <c r="E150" s="2"/>
      <c r="F150" s="2">
        <f t="shared" si="2"/>
        <v>20000</v>
      </c>
      <c r="G150" s="2">
        <f t="shared" si="3"/>
        <v>20000</v>
      </c>
      <c r="J150" s="12"/>
    </row>
    <row r="151" spans="1:10" x14ac:dyDescent="0.25">
      <c r="A151" s="18"/>
      <c r="B151" s="18" t="s">
        <v>102</v>
      </c>
      <c r="C151" s="2">
        <v>15000</v>
      </c>
      <c r="D151" s="2">
        <v>15000</v>
      </c>
      <c r="E151" s="2">
        <v>850</v>
      </c>
      <c r="F151" s="2">
        <f t="shared" si="2"/>
        <v>14150</v>
      </c>
      <c r="G151" s="2">
        <f t="shared" si="3"/>
        <v>14150</v>
      </c>
      <c r="J151" s="12"/>
    </row>
    <row r="152" spans="1:10" x14ac:dyDescent="0.25">
      <c r="A152" s="18"/>
      <c r="B152" s="18" t="s">
        <v>51</v>
      </c>
      <c r="C152" s="2">
        <v>750000</v>
      </c>
      <c r="D152" s="2">
        <v>750000</v>
      </c>
      <c r="E152" s="2">
        <v>192944.93</v>
      </c>
      <c r="F152" s="2">
        <f t="shared" si="2"/>
        <v>557055.07000000007</v>
      </c>
      <c r="G152" s="2">
        <f t="shared" si="3"/>
        <v>557055.07000000007</v>
      </c>
      <c r="J152" s="12"/>
    </row>
    <row r="153" spans="1:10" x14ac:dyDescent="0.25">
      <c r="A153" s="18"/>
      <c r="B153" s="18" t="s">
        <v>52</v>
      </c>
      <c r="C153" s="2">
        <v>50000</v>
      </c>
      <c r="D153" s="2">
        <v>50000</v>
      </c>
      <c r="E153" s="2">
        <v>17250</v>
      </c>
      <c r="F153" s="2">
        <f t="shared" si="2"/>
        <v>32750</v>
      </c>
      <c r="G153" s="2">
        <f t="shared" si="3"/>
        <v>32750</v>
      </c>
    </row>
    <row r="154" spans="1:10" x14ac:dyDescent="0.25">
      <c r="A154" s="18"/>
      <c r="B154" s="18" t="s">
        <v>155</v>
      </c>
      <c r="C154" s="2">
        <v>30000</v>
      </c>
      <c r="D154" s="2">
        <v>30000</v>
      </c>
      <c r="E154" s="2">
        <v>4000</v>
      </c>
      <c r="F154" s="2">
        <f t="shared" si="2"/>
        <v>26000</v>
      </c>
      <c r="G154" s="2">
        <f t="shared" si="3"/>
        <v>26000</v>
      </c>
    </row>
    <row r="155" spans="1:10" x14ac:dyDescent="0.25">
      <c r="A155" s="18"/>
      <c r="B155" s="18" t="s">
        <v>104</v>
      </c>
      <c r="C155" s="2">
        <v>700000</v>
      </c>
      <c r="D155" s="2">
        <v>700000</v>
      </c>
      <c r="E155" s="2">
        <f>194101*4</f>
        <v>776404</v>
      </c>
      <c r="F155" s="2">
        <f t="shared" si="2"/>
        <v>-76404</v>
      </c>
      <c r="G155" s="2">
        <f t="shared" si="3"/>
        <v>-76404</v>
      </c>
    </row>
    <row r="156" spans="1:10" x14ac:dyDescent="0.25">
      <c r="A156" s="39"/>
      <c r="B156" s="39"/>
      <c r="C156" s="6"/>
      <c r="D156" s="6"/>
      <c r="E156" s="6"/>
      <c r="F156" s="2"/>
      <c r="G156" s="2">
        <f t="shared" si="3"/>
        <v>0</v>
      </c>
    </row>
    <row r="157" spans="1:10" x14ac:dyDescent="0.25">
      <c r="A157" s="40"/>
      <c r="B157" s="30" t="s">
        <v>27</v>
      </c>
      <c r="C157" s="8">
        <f>SUM(C129:C156)</f>
        <v>6478245.4000000004</v>
      </c>
      <c r="D157" s="8">
        <f>SUM(D129:D156)</f>
        <v>6478245.4000000004</v>
      </c>
      <c r="E157" s="8">
        <f>SUM(E129:E156)</f>
        <v>4826115.82</v>
      </c>
      <c r="F157" s="8">
        <f>SUM(F129:F156)</f>
        <v>1652129.58</v>
      </c>
      <c r="G157" s="8">
        <f>SUM(G129:G156)</f>
        <v>1652129.58</v>
      </c>
      <c r="H157" s="2">
        <f>E157/C157</f>
        <v>0.7449726773240174</v>
      </c>
    </row>
    <row r="158" spans="1:10" x14ac:dyDescent="0.25">
      <c r="C158" s="7"/>
    </row>
    <row r="159" spans="1:10" x14ac:dyDescent="0.25">
      <c r="C159" s="14"/>
      <c r="E159" s="14"/>
    </row>
    <row r="160" spans="1:10" x14ac:dyDescent="0.25">
      <c r="C160" s="14"/>
    </row>
    <row r="162" spans="1:10" x14ac:dyDescent="0.25">
      <c r="A162" s="13" t="s">
        <v>0</v>
      </c>
      <c r="B162" s="36"/>
      <c r="C162" s="10"/>
      <c r="D162" s="10"/>
      <c r="E162" s="10">
        <f>E159-E161</f>
        <v>0</v>
      </c>
      <c r="F162" s="10"/>
      <c r="G162" s="10"/>
    </row>
    <row r="163" spans="1:10" x14ac:dyDescent="0.25">
      <c r="A163" s="13" t="s">
        <v>1</v>
      </c>
      <c r="B163" s="36"/>
      <c r="C163" s="10"/>
      <c r="D163" s="10"/>
      <c r="E163" s="10"/>
      <c r="F163" s="10"/>
      <c r="G163" s="10"/>
    </row>
    <row r="164" spans="1:10" x14ac:dyDescent="0.25">
      <c r="A164" s="13" t="s">
        <v>2</v>
      </c>
      <c r="B164" s="36"/>
      <c r="C164" s="10"/>
      <c r="D164" s="10"/>
      <c r="E164" s="10"/>
      <c r="F164" s="10"/>
      <c r="G164" s="10"/>
    </row>
    <row r="165" spans="1:10" x14ac:dyDescent="0.25">
      <c r="A165" s="24" t="s">
        <v>165</v>
      </c>
      <c r="B165" s="36"/>
      <c r="C165" s="10"/>
      <c r="D165" s="10"/>
      <c r="E165" s="10"/>
      <c r="F165" s="10"/>
      <c r="G165" s="10"/>
    </row>
    <row r="166" spans="1:10" x14ac:dyDescent="0.25">
      <c r="A166" s="35"/>
      <c r="B166" s="36"/>
      <c r="C166" s="10"/>
      <c r="D166" s="10"/>
      <c r="E166" s="10"/>
      <c r="F166" s="10"/>
      <c r="G166" s="10"/>
    </row>
    <row r="167" spans="1:10" x14ac:dyDescent="0.25">
      <c r="A167" s="88" t="s">
        <v>3</v>
      </c>
      <c r="B167" s="88" t="s">
        <v>4</v>
      </c>
      <c r="C167" s="88" t="s">
        <v>5</v>
      </c>
      <c r="D167" s="88" t="s">
        <v>6</v>
      </c>
      <c r="E167" s="88" t="s">
        <v>7</v>
      </c>
      <c r="F167" s="15" t="s">
        <v>8</v>
      </c>
      <c r="G167" s="15" t="s">
        <v>8</v>
      </c>
    </row>
    <row r="168" spans="1:10" x14ac:dyDescent="0.25">
      <c r="A168" s="89"/>
      <c r="B168" s="89"/>
      <c r="C168" s="89"/>
      <c r="D168" s="89"/>
      <c r="E168" s="89"/>
      <c r="F168" s="16" t="s">
        <v>5</v>
      </c>
      <c r="G168" s="16" t="s">
        <v>6</v>
      </c>
    </row>
    <row r="169" spans="1:10" x14ac:dyDescent="0.25">
      <c r="A169" s="17"/>
      <c r="B169" s="17"/>
      <c r="C169" s="17"/>
      <c r="D169" s="17"/>
      <c r="E169" s="17"/>
      <c r="F169" s="17"/>
      <c r="G169" s="17"/>
    </row>
    <row r="170" spans="1:10" x14ac:dyDescent="0.25">
      <c r="A170" s="18"/>
      <c r="B170" s="28" t="s">
        <v>53</v>
      </c>
      <c r="C170" s="18"/>
      <c r="D170" s="18"/>
      <c r="E170" s="18"/>
      <c r="F170" s="18"/>
      <c r="G170" s="18"/>
    </row>
    <row r="171" spans="1:10" x14ac:dyDescent="0.25">
      <c r="A171" s="18"/>
      <c r="B171" s="29" t="s">
        <v>11</v>
      </c>
      <c r="C171" s="2"/>
      <c r="D171" s="2"/>
      <c r="E171" s="2"/>
      <c r="F171" s="2"/>
      <c r="G171" s="2"/>
    </row>
    <row r="172" spans="1:10" x14ac:dyDescent="0.25">
      <c r="A172" s="18"/>
      <c r="B172" s="4" t="s">
        <v>58</v>
      </c>
      <c r="C172" s="2">
        <v>200000</v>
      </c>
      <c r="D172" s="2">
        <v>200000</v>
      </c>
      <c r="E172" s="2">
        <v>272284.25</v>
      </c>
      <c r="F172" s="2">
        <f t="shared" ref="F172:F186" si="4">C172-E172</f>
        <v>-72284.25</v>
      </c>
      <c r="G172" s="2">
        <f t="shared" ref="G172:G186" si="5">D172-E172</f>
        <v>-72284.25</v>
      </c>
      <c r="J172" s="12">
        <v>72284.25</v>
      </c>
    </row>
    <row r="173" spans="1:10" x14ac:dyDescent="0.25">
      <c r="A173" s="18"/>
      <c r="B173" s="4" t="s">
        <v>59</v>
      </c>
      <c r="C173" s="2">
        <v>500000</v>
      </c>
      <c r="D173" s="2">
        <v>500000</v>
      </c>
      <c r="E173" s="2">
        <v>1137000</v>
      </c>
      <c r="F173" s="2">
        <f t="shared" si="4"/>
        <v>-637000</v>
      </c>
      <c r="G173" s="2">
        <f t="shared" si="5"/>
        <v>-637000</v>
      </c>
      <c r="I173" s="14">
        <f>E173*12</f>
        <v>13644000</v>
      </c>
      <c r="J173" s="12">
        <v>637000</v>
      </c>
    </row>
    <row r="174" spans="1:10" x14ac:dyDescent="0.25">
      <c r="A174" s="18"/>
      <c r="B174" s="29" t="s">
        <v>12</v>
      </c>
      <c r="C174" s="2"/>
      <c r="D174" s="2"/>
      <c r="E174" s="2"/>
      <c r="F174" s="2">
        <f t="shared" si="4"/>
        <v>0</v>
      </c>
      <c r="G174" s="2">
        <f t="shared" si="5"/>
        <v>0</v>
      </c>
      <c r="J174" s="12"/>
    </row>
    <row r="175" spans="1:10" x14ac:dyDescent="0.25">
      <c r="A175" s="18"/>
      <c r="B175" s="4" t="s">
        <v>54</v>
      </c>
      <c r="C175" s="2">
        <v>1966869.98</v>
      </c>
      <c r="D175" s="2">
        <v>1400000</v>
      </c>
      <c r="E175" s="2">
        <v>148513.76999999999</v>
      </c>
      <c r="F175" s="2">
        <f t="shared" si="4"/>
        <v>1818356.21</v>
      </c>
      <c r="G175" s="2">
        <f t="shared" si="5"/>
        <v>1251486.23</v>
      </c>
      <c r="I175" s="14">
        <f>C175/4</f>
        <v>491717.495</v>
      </c>
      <c r="J175" s="12">
        <f>SUM(J172:J174)</f>
        <v>709284.25</v>
      </c>
    </row>
    <row r="176" spans="1:10" x14ac:dyDescent="0.25">
      <c r="A176" s="18"/>
      <c r="B176" s="4" t="s">
        <v>55</v>
      </c>
      <c r="C176" s="2">
        <v>15000</v>
      </c>
      <c r="D176" s="2">
        <v>15000</v>
      </c>
      <c r="E176" s="2"/>
      <c r="F176" s="2">
        <f t="shared" si="4"/>
        <v>15000</v>
      </c>
      <c r="G176" s="2">
        <f t="shared" si="5"/>
        <v>15000</v>
      </c>
    </row>
    <row r="177" spans="1:8" x14ac:dyDescent="0.25">
      <c r="A177" s="18"/>
      <c r="B177" s="4" t="s">
        <v>56</v>
      </c>
      <c r="C177" s="2">
        <v>20000</v>
      </c>
      <c r="D177" s="2">
        <v>20000</v>
      </c>
      <c r="E177" s="2">
        <v>10000</v>
      </c>
      <c r="F177" s="2">
        <f t="shared" si="4"/>
        <v>10000</v>
      </c>
      <c r="G177" s="2">
        <f t="shared" si="5"/>
        <v>10000</v>
      </c>
    </row>
    <row r="178" spans="1:8" x14ac:dyDescent="0.25">
      <c r="A178" s="18"/>
      <c r="B178" s="4" t="s">
        <v>57</v>
      </c>
      <c r="C178" s="2">
        <v>1200000</v>
      </c>
      <c r="D178" s="2">
        <v>500000</v>
      </c>
      <c r="E178" s="2">
        <v>207505</v>
      </c>
      <c r="F178" s="2">
        <f t="shared" si="4"/>
        <v>992495</v>
      </c>
      <c r="G178" s="2">
        <f t="shared" si="5"/>
        <v>292495</v>
      </c>
    </row>
    <row r="179" spans="1:8" x14ac:dyDescent="0.25">
      <c r="A179" s="18"/>
      <c r="B179" s="4" t="s">
        <v>60</v>
      </c>
      <c r="C179" s="2">
        <v>400000</v>
      </c>
      <c r="D179" s="2">
        <v>400000</v>
      </c>
      <c r="E179" s="2">
        <v>564680</v>
      </c>
      <c r="F179" s="2">
        <f t="shared" si="4"/>
        <v>-164680</v>
      </c>
      <c r="G179" s="2">
        <f t="shared" si="5"/>
        <v>-164680</v>
      </c>
    </row>
    <row r="180" spans="1:8" x14ac:dyDescent="0.25">
      <c r="A180" s="18"/>
      <c r="B180" s="4" t="s">
        <v>157</v>
      </c>
      <c r="C180" s="2">
        <v>500000</v>
      </c>
      <c r="D180" s="2">
        <v>500000</v>
      </c>
      <c r="E180" s="2">
        <v>121753.55</v>
      </c>
      <c r="F180" s="2">
        <f t="shared" si="4"/>
        <v>378246.45</v>
      </c>
      <c r="G180" s="2">
        <f t="shared" si="5"/>
        <v>378246.45</v>
      </c>
    </row>
    <row r="181" spans="1:8" x14ac:dyDescent="0.25">
      <c r="A181" s="18"/>
      <c r="B181" s="4" t="s">
        <v>158</v>
      </c>
      <c r="C181" s="2">
        <v>50000</v>
      </c>
      <c r="D181" s="2"/>
      <c r="E181" s="2"/>
      <c r="F181" s="2">
        <f t="shared" si="4"/>
        <v>50000</v>
      </c>
      <c r="G181" s="2">
        <f t="shared" si="5"/>
        <v>0</v>
      </c>
    </row>
    <row r="182" spans="1:8" x14ac:dyDescent="0.25">
      <c r="A182" s="18"/>
      <c r="B182" s="4" t="s">
        <v>113</v>
      </c>
      <c r="C182" s="2">
        <v>150000</v>
      </c>
      <c r="D182" s="2">
        <v>150000</v>
      </c>
      <c r="E182" s="2">
        <v>67173</v>
      </c>
      <c r="F182" s="2">
        <f t="shared" si="4"/>
        <v>82827</v>
      </c>
      <c r="G182" s="2">
        <f t="shared" si="5"/>
        <v>82827</v>
      </c>
    </row>
    <row r="183" spans="1:8" x14ac:dyDescent="0.25">
      <c r="A183" s="18"/>
      <c r="B183" s="29" t="s">
        <v>13</v>
      </c>
      <c r="C183" s="2"/>
      <c r="D183" s="2"/>
      <c r="E183" s="2"/>
      <c r="F183" s="2">
        <f t="shared" si="4"/>
        <v>0</v>
      </c>
      <c r="G183" s="2">
        <f t="shared" si="5"/>
        <v>0</v>
      </c>
    </row>
    <row r="184" spans="1:8" x14ac:dyDescent="0.25">
      <c r="A184" s="18"/>
      <c r="B184" s="4" t="s">
        <v>159</v>
      </c>
      <c r="C184" s="2">
        <v>500000</v>
      </c>
      <c r="D184" s="2">
        <v>500000</v>
      </c>
      <c r="E184" s="2">
        <v>466092</v>
      </c>
      <c r="F184" s="2">
        <f t="shared" si="4"/>
        <v>33908</v>
      </c>
      <c r="G184" s="2">
        <f t="shared" si="5"/>
        <v>33908</v>
      </c>
    </row>
    <row r="185" spans="1:8" x14ac:dyDescent="0.25">
      <c r="A185" s="18"/>
      <c r="B185" s="4" t="s">
        <v>62</v>
      </c>
      <c r="C185" s="2"/>
      <c r="D185" s="2"/>
      <c r="E185" s="2"/>
      <c r="F185" s="2">
        <f t="shared" si="4"/>
        <v>0</v>
      </c>
      <c r="G185" s="2">
        <f t="shared" si="5"/>
        <v>0</v>
      </c>
    </row>
    <row r="186" spans="1:8" x14ac:dyDescent="0.25">
      <c r="A186" s="18"/>
      <c r="B186" s="5" t="s">
        <v>63</v>
      </c>
      <c r="C186" s="2">
        <v>2000000</v>
      </c>
      <c r="D186" s="2">
        <v>2000000</v>
      </c>
      <c r="E186" s="2">
        <v>1999994.01</v>
      </c>
      <c r="F186" s="2">
        <f t="shared" si="4"/>
        <v>5.9899999999906868</v>
      </c>
      <c r="G186" s="2">
        <f t="shared" si="5"/>
        <v>5.9899999999906868</v>
      </c>
    </row>
    <row r="187" spans="1:8" x14ac:dyDescent="0.25">
      <c r="A187" s="18"/>
      <c r="B187" s="4"/>
      <c r="C187" s="2"/>
      <c r="D187" s="2"/>
      <c r="E187" s="2"/>
      <c r="F187" s="2"/>
      <c r="G187" s="2"/>
    </row>
    <row r="188" spans="1:8" x14ac:dyDescent="0.25">
      <c r="A188" s="18"/>
      <c r="B188" s="41" t="s">
        <v>27</v>
      </c>
      <c r="C188" s="8">
        <f>SUM(C172:C187)</f>
        <v>7501869.9800000004</v>
      </c>
      <c r="D188" s="8">
        <f>SUM(D172:D187)</f>
        <v>6185000</v>
      </c>
      <c r="E188" s="8">
        <f>SUM(E172:E187)</f>
        <v>4994995.58</v>
      </c>
      <c r="F188" s="8">
        <f>SUM(F172:F187)</f>
        <v>2506874.4000000004</v>
      </c>
      <c r="G188" s="8">
        <f>SUM(G172:G187)</f>
        <v>1190004.42</v>
      </c>
      <c r="H188" s="2">
        <f>E188/C188</f>
        <v>0.66583339798165897</v>
      </c>
    </row>
    <row r="189" spans="1:8" ht="15.75" thickBot="1" x14ac:dyDescent="0.3">
      <c r="A189" s="42"/>
      <c r="B189" s="43" t="s">
        <v>64</v>
      </c>
      <c r="C189" s="20">
        <f>C188+C157+C116+C109+C102+C95+C88+C81+C74+C57+C50+C43+C36+C29+C22+C15</f>
        <v>39424991.260000005</v>
      </c>
      <c r="D189" s="20">
        <f>D188+D157+D116+D109+D102+D95+D88+D81+D74+D57+D50+D43+D36+D29+D22+D15</f>
        <v>36887369.38000001</v>
      </c>
      <c r="E189" s="20">
        <f>E188+E157+E116+E109+E102+E95+E88+E81+E74+E57+E50+E43+E36+E29+E22+E15</f>
        <v>29815454.190000001</v>
      </c>
      <c r="F189" s="20">
        <f>F188+F157+F116+F109+F102+F95+F88+F81+F74+F57+F50+F43+F36+F29+F22+F15</f>
        <v>5546751.0700000003</v>
      </c>
      <c r="G189" s="20">
        <f>G188+G157+G116+G109+G102+G95+G88+G81+G74+G57+G50+G43+G36+G29+G22+G15</f>
        <v>4214881.0900000008</v>
      </c>
      <c r="H189" s="2">
        <f>E189/C189</f>
        <v>0.75625772478611319</v>
      </c>
    </row>
    <row r="190" spans="1:8" ht="15.75" thickTop="1" x14ac:dyDescent="0.25">
      <c r="C190" s="12"/>
      <c r="D190" s="12"/>
      <c r="E190" s="12"/>
      <c r="F190" s="12"/>
      <c r="G190" s="12"/>
    </row>
    <row r="191" spans="1:8" x14ac:dyDescent="0.25">
      <c r="B191" s="13" t="s">
        <v>65</v>
      </c>
      <c r="C191" s="12"/>
      <c r="D191" s="12"/>
      <c r="E191" s="12"/>
      <c r="F191" s="12"/>
      <c r="G191" s="12"/>
    </row>
    <row r="192" spans="1:8" x14ac:dyDescent="0.25">
      <c r="C192" s="12"/>
      <c r="D192" s="12"/>
      <c r="E192" s="12">
        <v>29879000</v>
      </c>
      <c r="F192" s="12" t="s">
        <v>166</v>
      </c>
      <c r="G192" s="12"/>
    </row>
    <row r="193" spans="2:12" ht="15.75" thickBot="1" x14ac:dyDescent="0.3">
      <c r="C193" s="12"/>
      <c r="D193" s="12"/>
      <c r="E193" s="25">
        <f>E192-E189</f>
        <v>63545.809999998659</v>
      </c>
      <c r="F193" s="12" t="s">
        <v>167</v>
      </c>
      <c r="G193" s="12"/>
    </row>
    <row r="194" spans="2:12" ht="15.75" thickTop="1" x14ac:dyDescent="0.25">
      <c r="B194" s="44" t="s">
        <v>66</v>
      </c>
      <c r="C194" s="12"/>
      <c r="D194" s="12"/>
      <c r="E194" s="12">
        <v>800000</v>
      </c>
      <c r="F194" s="12"/>
      <c r="G194" s="12"/>
    </row>
    <row r="195" spans="2:12" x14ac:dyDescent="0.25">
      <c r="B195" s="13" t="s">
        <v>67</v>
      </c>
      <c r="E195" s="14">
        <f>E193-E194</f>
        <v>-736454.19000000134</v>
      </c>
    </row>
    <row r="198" spans="2:12" x14ac:dyDescent="0.25">
      <c r="C198" s="12"/>
    </row>
    <row r="199" spans="2:12" x14ac:dyDescent="0.25">
      <c r="C199" s="14"/>
    </row>
    <row r="200" spans="2:12" x14ac:dyDescent="0.25">
      <c r="C200" s="12"/>
      <c r="D200" s="90" t="s">
        <v>164</v>
      </c>
      <c r="E200" s="90"/>
      <c r="F200" s="12"/>
      <c r="G200" s="12"/>
    </row>
    <row r="201" spans="2:12" x14ac:dyDescent="0.25">
      <c r="C201" s="12"/>
      <c r="D201" s="12" t="s">
        <v>162</v>
      </c>
      <c r="E201" s="12" t="s">
        <v>163</v>
      </c>
      <c r="F201" s="12"/>
      <c r="G201" s="12"/>
      <c r="H201" s="57">
        <v>0.8</v>
      </c>
      <c r="I201" s="12">
        <v>2159415</v>
      </c>
      <c r="L201" s="13">
        <f>20*20</f>
        <v>400</v>
      </c>
    </row>
    <row r="202" spans="2:12" x14ac:dyDescent="0.25">
      <c r="C202" s="12" t="s">
        <v>160</v>
      </c>
      <c r="D202" s="12">
        <f>5518028.2+D46</f>
        <v>6553005.2800000003</v>
      </c>
      <c r="E202" s="12">
        <v>1646631.99</v>
      </c>
      <c r="F202" s="12"/>
      <c r="G202" s="12"/>
      <c r="H202" s="57">
        <v>0.2</v>
      </c>
      <c r="I202" s="12">
        <v>539854</v>
      </c>
      <c r="L202" s="13">
        <f>15*20</f>
        <v>300</v>
      </c>
    </row>
    <row r="203" spans="2:12" x14ac:dyDescent="0.25">
      <c r="C203" s="12" t="s">
        <v>161</v>
      </c>
      <c r="D203" s="12">
        <f>D189-D202</f>
        <v>30334364.100000009</v>
      </c>
      <c r="E203" s="12">
        <v>130701.19</v>
      </c>
      <c r="F203" s="12"/>
      <c r="G203" s="12"/>
      <c r="I203" s="12"/>
    </row>
    <row r="204" spans="2:12" x14ac:dyDescent="0.25">
      <c r="C204" s="56">
        <v>0.2</v>
      </c>
      <c r="D204" s="12"/>
      <c r="E204" s="12">
        <v>133869.85</v>
      </c>
      <c r="F204" s="12"/>
      <c r="G204" s="12"/>
      <c r="I204" s="12"/>
      <c r="L204" s="13">
        <f>SUM(L201:L203)</f>
        <v>700</v>
      </c>
    </row>
    <row r="205" spans="2:12" x14ac:dyDescent="0.25">
      <c r="C205" s="56">
        <v>0.05</v>
      </c>
      <c r="D205" s="12">
        <v>404890.34</v>
      </c>
      <c r="E205" s="12">
        <v>14850</v>
      </c>
      <c r="F205" s="12"/>
      <c r="G205" s="12"/>
      <c r="I205" s="12">
        <f>SUM(I201:I204)</f>
        <v>2699269</v>
      </c>
    </row>
    <row r="206" spans="2:12" x14ac:dyDescent="0.25">
      <c r="C206" s="12" t="s">
        <v>120</v>
      </c>
      <c r="D206" s="12"/>
      <c r="E206" s="12">
        <v>7200</v>
      </c>
      <c r="F206" s="12"/>
      <c r="G206" s="12">
        <f>I205-E189</f>
        <v>-27116185.190000001</v>
      </c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E208" s="12"/>
      <c r="F208" s="12"/>
      <c r="G208" s="12"/>
      <c r="I208" s="12"/>
    </row>
    <row r="209" spans="3:9" x14ac:dyDescent="0.25">
      <c r="C209" s="12" t="s">
        <v>143</v>
      </c>
      <c r="D209" s="12">
        <f>SUM(D202:D208)</f>
        <v>37292259.720000014</v>
      </c>
      <c r="E209" s="12">
        <f>SUM(E202:E208)</f>
        <v>1933253.03</v>
      </c>
      <c r="F209" s="12"/>
      <c r="G209" s="12"/>
      <c r="I209" s="12"/>
    </row>
    <row r="210" spans="3:9" x14ac:dyDescent="0.25">
      <c r="C210" s="12"/>
      <c r="D210" s="12"/>
      <c r="E210" s="12">
        <f>E189-E209</f>
        <v>27882201.16</v>
      </c>
      <c r="F210" s="12"/>
      <c r="G210" s="12"/>
      <c r="I210" s="12"/>
    </row>
    <row r="211" spans="3:9" x14ac:dyDescent="0.25">
      <c r="C211" s="12"/>
      <c r="D211" s="12">
        <f>32391227</f>
        <v>32391227</v>
      </c>
      <c r="E211" s="12">
        <f>E209-E189</f>
        <v>-27882201.16</v>
      </c>
      <c r="F211" s="12"/>
      <c r="G211" s="12"/>
      <c r="I211" s="12"/>
    </row>
    <row r="212" spans="3:9" x14ac:dyDescent="0.25">
      <c r="C212" s="12"/>
      <c r="D212" s="12">
        <f>D211*5%</f>
        <v>1619561.35</v>
      </c>
      <c r="E212" s="12"/>
      <c r="F212" s="12"/>
      <c r="G212" s="12"/>
    </row>
    <row r="213" spans="3:9" x14ac:dyDescent="0.25">
      <c r="C213" s="12"/>
      <c r="D213" s="12">
        <f>D212/4</f>
        <v>404890.33750000002</v>
      </c>
      <c r="E213" s="12">
        <f>E172+E173</f>
        <v>1409284.25</v>
      </c>
      <c r="F213" s="12"/>
      <c r="G213" s="12"/>
    </row>
    <row r="214" spans="3:9" x14ac:dyDescent="0.25">
      <c r="C214" s="12"/>
      <c r="D214" s="12"/>
      <c r="E214" s="12"/>
      <c r="F214" s="12"/>
      <c r="G214" s="12"/>
    </row>
    <row r="215" spans="3:9" x14ac:dyDescent="0.25">
      <c r="C215" s="12"/>
      <c r="D215" s="12"/>
      <c r="E215" s="12">
        <f>E202+E203</f>
        <v>1777333.18</v>
      </c>
      <c r="F215" s="12"/>
      <c r="G215" s="12"/>
    </row>
    <row r="216" spans="3:9" x14ac:dyDescent="0.25">
      <c r="C216" s="12"/>
      <c r="D216" s="12"/>
      <c r="E216" s="12"/>
      <c r="F216" s="12"/>
      <c r="G216" s="12"/>
    </row>
    <row r="217" spans="3:9" x14ac:dyDescent="0.25">
      <c r="C217" s="12"/>
      <c r="D217" s="12"/>
      <c r="E217" s="12"/>
      <c r="F217" s="12"/>
      <c r="G217" s="12"/>
    </row>
    <row r="218" spans="3:9" x14ac:dyDescent="0.25">
      <c r="C218" s="12"/>
      <c r="D218" s="12"/>
      <c r="E218" s="12"/>
      <c r="F218" s="12"/>
      <c r="G218" s="12"/>
    </row>
    <row r="219" spans="3:9" x14ac:dyDescent="0.25">
      <c r="C219" s="12"/>
      <c r="D219" s="12"/>
      <c r="E219" s="12"/>
      <c r="F219" s="12"/>
      <c r="G219" s="12"/>
    </row>
    <row r="220" spans="3:9" x14ac:dyDescent="0.25">
      <c r="C220" s="12"/>
      <c r="D220" s="12"/>
      <c r="E220" s="12"/>
      <c r="F220" s="12"/>
      <c r="G220" s="12"/>
    </row>
    <row r="221" spans="3:9" x14ac:dyDescent="0.25">
      <c r="C221" s="12"/>
      <c r="D221" s="12"/>
      <c r="E221" s="12"/>
      <c r="F221" s="12"/>
      <c r="G221" s="12"/>
    </row>
    <row r="222" spans="3:9" x14ac:dyDescent="0.25">
      <c r="C222" s="12"/>
      <c r="D222" s="12"/>
      <c r="E222" s="12"/>
      <c r="F222" s="12"/>
      <c r="G222" s="12"/>
    </row>
    <row r="223" spans="3:9" x14ac:dyDescent="0.25">
      <c r="C223" s="12"/>
      <c r="D223" s="12"/>
      <c r="E223" s="12"/>
      <c r="F223" s="12"/>
      <c r="G223" s="12"/>
    </row>
    <row r="224" spans="3:9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</sheetData>
  <mergeCells count="21">
    <mergeCell ref="D200:E200"/>
    <mergeCell ref="A167:A168"/>
    <mergeCell ref="B167:B168"/>
    <mergeCell ref="C167:C168"/>
    <mergeCell ref="D167:D168"/>
    <mergeCell ref="E167:E168"/>
    <mergeCell ref="A126:A127"/>
    <mergeCell ref="B126:B127"/>
    <mergeCell ref="C126:C127"/>
    <mergeCell ref="D126:D127"/>
    <mergeCell ref="E126:E127"/>
    <mergeCell ref="A66:A67"/>
    <mergeCell ref="B66:B67"/>
    <mergeCell ref="C66:C67"/>
    <mergeCell ref="D66:D67"/>
    <mergeCell ref="E66:E67"/>
    <mergeCell ref="A6:A7"/>
    <mergeCell ref="B6:B7"/>
    <mergeCell ref="C6:C7"/>
    <mergeCell ref="D6:D7"/>
    <mergeCell ref="E6:E7"/>
  </mergeCells>
  <pageMargins left="0.18" right="0.11" top="0.42" bottom="0.33" header="0.4" footer="0.3"/>
  <pageSetup scale="8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abSelected="1" topLeftCell="A156" zoomScale="130" zoomScaleNormal="130" workbookViewId="0">
      <selection activeCell="B160" sqref="B160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5.85546875" style="13" customWidth="1"/>
    <col min="6" max="6" width="16.28515625" style="13" customWidth="1"/>
    <col min="7" max="7" width="15" style="13" customWidth="1"/>
    <col min="8" max="8" width="9.140625" style="13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225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v>1729926.98</v>
      </c>
      <c r="E11" s="2">
        <v>1729926.98</v>
      </c>
      <c r="F11" s="2">
        <f>C11-E11</f>
        <v>0</v>
      </c>
      <c r="G11" s="2">
        <f>D11-E11</f>
        <v>0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>
        <v>1097980.6200000001</v>
      </c>
      <c r="E12" s="2">
        <v>1054639.02</v>
      </c>
      <c r="F12" s="2">
        <f t="shared" ref="F12:F13" si="0">C12-E12</f>
        <v>43341.600000000093</v>
      </c>
      <c r="G12" s="2">
        <f t="shared" ref="G12:G13" si="1">D12-E12</f>
        <v>43341.600000000093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>
        <v>0</v>
      </c>
      <c r="F13" s="2">
        <f t="shared" si="0"/>
        <v>0</v>
      </c>
      <c r="G13" s="2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2827907.6</v>
      </c>
      <c r="E15" s="8">
        <f>SUM(E11:E14)</f>
        <v>2784566</v>
      </c>
      <c r="F15" s="8">
        <f>SUM(F11:F14)</f>
        <v>43341.600000000093</v>
      </c>
      <c r="G15" s="8">
        <f>SUM(G11:G14)</f>
        <v>43341.600000000093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v>8408321.4000000004</v>
      </c>
      <c r="E18" s="2">
        <v>8408321.4000000004</v>
      </c>
      <c r="F18" s="2">
        <f>C18-E18</f>
        <v>0</v>
      </c>
      <c r="G18" s="2">
        <f>D18-E18</f>
        <v>0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>
        <v>1075936.3600000001</v>
      </c>
      <c r="E19" s="2">
        <v>874603.25</v>
      </c>
      <c r="F19" s="2">
        <f>C19-E19</f>
        <v>201333.1100000001</v>
      </c>
      <c r="G19" s="2">
        <f>D19-E19</f>
        <v>201333.1100000001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9484257.7599999998</v>
      </c>
      <c r="E22" s="8">
        <f>SUM(E18:E21)</f>
        <v>9282924.6500000004</v>
      </c>
      <c r="F22" s="8">
        <f>SUM(F18:F21)</f>
        <v>201333.1100000001</v>
      </c>
      <c r="G22" s="8">
        <f>SUM(G18:G21)</f>
        <v>201333.1100000001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v>964222.84</v>
      </c>
      <c r="E25" s="2">
        <v>964222.84</v>
      </c>
      <c r="F25" s="2">
        <f>C25-E25</f>
        <v>0</v>
      </c>
      <c r="G25" s="2">
        <f>D25-E25</f>
        <v>0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v>137532.23000000001</v>
      </c>
      <c r="E26" s="2">
        <v>50013.98</v>
      </c>
      <c r="F26" s="2">
        <f>C26-E26</f>
        <v>87518.25</v>
      </c>
      <c r="G26" s="2">
        <f>D26-E26</f>
        <v>87518.25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1101755.07</v>
      </c>
      <c r="E29" s="8">
        <f>SUM(E25:E28)</f>
        <v>1014236.82</v>
      </c>
      <c r="F29" s="8">
        <f>SUM(F25:F28)</f>
        <v>87518.25</v>
      </c>
      <c r="G29" s="8">
        <f>SUM(G25:G28)</f>
        <v>87518.25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v>732880.38</v>
      </c>
      <c r="E32" s="2">
        <v>732880.38</v>
      </c>
      <c r="F32" s="2">
        <f>C32-E32</f>
        <v>0</v>
      </c>
      <c r="G32" s="2">
        <f>D32-E32</f>
        <v>0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v>80878.36</v>
      </c>
      <c r="E33" s="2">
        <v>26193.5</v>
      </c>
      <c r="F33" s="2">
        <f>C33-E33</f>
        <v>54684.86</v>
      </c>
      <c r="G33" s="2">
        <f>D33-E33</f>
        <v>54684.86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2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2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813758.74</v>
      </c>
      <c r="E36" s="8">
        <f>SUM(E32:E35)</f>
        <v>759073.88</v>
      </c>
      <c r="F36" s="8">
        <f>SUM(F32:F35)</f>
        <v>54684.86</v>
      </c>
      <c r="G36" s="8">
        <f>SUM(G32:G35)</f>
        <v>54684.86</v>
      </c>
      <c r="L36" s="12"/>
    </row>
    <row r="37" spans="1:13" x14ac:dyDescent="0.25">
      <c r="A37" s="27"/>
      <c r="B37" s="18"/>
      <c r="C37" s="2"/>
      <c r="D37" s="2"/>
      <c r="E37" s="2"/>
      <c r="F37" s="2"/>
      <c r="G37" s="2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2"/>
      <c r="L38" s="12"/>
    </row>
    <row r="39" spans="1:13" x14ac:dyDescent="0.25">
      <c r="A39" s="27"/>
      <c r="B39" s="29" t="s">
        <v>11</v>
      </c>
      <c r="C39" s="2">
        <v>591829.98</v>
      </c>
      <c r="D39" s="2">
        <v>591829.98</v>
      </c>
      <c r="E39" s="2">
        <v>591829.98</v>
      </c>
      <c r="F39" s="2">
        <f>C39-E39</f>
        <v>0</v>
      </c>
      <c r="G39" s="2">
        <f>D39-E39</f>
        <v>0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v>79403.5</v>
      </c>
      <c r="E40" s="2">
        <v>41702</v>
      </c>
      <c r="F40" s="2">
        <f>C40-E40</f>
        <v>37701.5</v>
      </c>
      <c r="G40" s="2">
        <f>D40-E40</f>
        <v>37701.5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2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2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671233.48</v>
      </c>
      <c r="E43" s="8">
        <f>SUM(E39:E42)</f>
        <v>633531.98</v>
      </c>
      <c r="F43" s="8">
        <f>SUM(F39:F42)</f>
        <v>37701.5</v>
      </c>
      <c r="G43" s="8">
        <f>SUM(G39:G42)</f>
        <v>37701.5</v>
      </c>
    </row>
    <row r="44" spans="1:13" x14ac:dyDescent="0.25">
      <c r="A44" s="27"/>
      <c r="B44" s="18"/>
      <c r="C44" s="2"/>
      <c r="D44" s="2"/>
      <c r="E44" s="2"/>
      <c r="F44" s="2"/>
      <c r="G44" s="2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2"/>
    </row>
    <row r="46" spans="1:13" x14ac:dyDescent="0.25">
      <c r="A46" s="27"/>
      <c r="B46" s="29" t="s">
        <v>11</v>
      </c>
      <c r="C46" s="2">
        <v>1053344.46</v>
      </c>
      <c r="D46" s="2">
        <v>1053344.46</v>
      </c>
      <c r="E46" s="2">
        <v>1053344.46</v>
      </c>
      <c r="F46" s="2">
        <f>C46-E46</f>
        <v>0</v>
      </c>
      <c r="G46" s="2">
        <f>D46-E46</f>
        <v>0</v>
      </c>
    </row>
    <row r="47" spans="1:13" x14ac:dyDescent="0.25">
      <c r="A47" s="27"/>
      <c r="B47" s="29" t="s">
        <v>12</v>
      </c>
      <c r="C47" s="2">
        <v>205007.27</v>
      </c>
      <c r="D47" s="2">
        <v>205007.27</v>
      </c>
      <c r="E47" s="2">
        <v>72103</v>
      </c>
      <c r="F47" s="2">
        <f>C47-E47</f>
        <v>132904.26999999999</v>
      </c>
      <c r="G47" s="2">
        <f>D47-E47</f>
        <v>132904.26999999999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</row>
    <row r="49" spans="1:8" x14ac:dyDescent="0.25">
      <c r="A49" s="27"/>
      <c r="B49" s="29" t="s">
        <v>14</v>
      </c>
      <c r="C49" s="2"/>
      <c r="D49" s="2"/>
      <c r="E49" s="2"/>
      <c r="F49" s="2"/>
      <c r="G49" s="2"/>
      <c r="H49" s="12"/>
    </row>
    <row r="50" spans="1:8" x14ac:dyDescent="0.25">
      <c r="A50" s="27"/>
      <c r="B50" s="30" t="s">
        <v>27</v>
      </c>
      <c r="C50" s="8">
        <f>SUM(C46:C49)</f>
        <v>1258351.73</v>
      </c>
      <c r="D50" s="8">
        <f>SUM(D46:D49)</f>
        <v>1258351.73</v>
      </c>
      <c r="E50" s="8">
        <f>SUM(E46:E49)</f>
        <v>1125447.46</v>
      </c>
      <c r="F50" s="8">
        <f>SUM(F46:F49)</f>
        <v>132904.26999999999</v>
      </c>
      <c r="G50" s="8">
        <f>SUM(G46:G49)</f>
        <v>132904.26999999999</v>
      </c>
      <c r="H50" s="12"/>
    </row>
    <row r="51" spans="1:8" x14ac:dyDescent="0.25">
      <c r="A51" s="27"/>
      <c r="B51" s="18"/>
      <c r="C51" s="2"/>
      <c r="D51" s="2"/>
      <c r="E51" s="2"/>
      <c r="F51" s="2"/>
      <c r="G51" s="2"/>
      <c r="H51" s="12"/>
    </row>
    <row r="52" spans="1:8" x14ac:dyDescent="0.25">
      <c r="A52" s="27">
        <v>1091</v>
      </c>
      <c r="B52" s="28" t="s">
        <v>19</v>
      </c>
      <c r="C52" s="2"/>
      <c r="D52" s="2"/>
      <c r="E52" s="2"/>
      <c r="F52" s="2"/>
      <c r="G52" s="2"/>
      <c r="H52" s="12"/>
    </row>
    <row r="53" spans="1:8" x14ac:dyDescent="0.25">
      <c r="A53" s="27"/>
      <c r="B53" s="29" t="s">
        <v>11</v>
      </c>
      <c r="C53" s="2">
        <v>1583456.4</v>
      </c>
      <c r="D53" s="2">
        <v>1583456.4</v>
      </c>
      <c r="E53" s="2">
        <v>1583456.4</v>
      </c>
      <c r="F53" s="2">
        <f>C53-E53</f>
        <v>0</v>
      </c>
      <c r="G53" s="2">
        <f>D53-E53</f>
        <v>0</v>
      </c>
      <c r="H53" s="12"/>
    </row>
    <row r="54" spans="1:8" x14ac:dyDescent="0.25">
      <c r="A54" s="27"/>
      <c r="B54" s="29" t="s">
        <v>12</v>
      </c>
      <c r="C54" s="2">
        <v>321156.95</v>
      </c>
      <c r="D54" s="2">
        <v>321156.95</v>
      </c>
      <c r="E54" s="2">
        <v>209040</v>
      </c>
      <c r="F54" s="2">
        <f>C54-E54</f>
        <v>112116.95000000001</v>
      </c>
      <c r="G54" s="2">
        <f>D54-E54</f>
        <v>112116.95000000001</v>
      </c>
      <c r="H54" s="12"/>
    </row>
    <row r="55" spans="1:8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8" x14ac:dyDescent="0.25">
      <c r="A56" s="27"/>
      <c r="B56" s="29" t="s">
        <v>14</v>
      </c>
      <c r="C56" s="2"/>
      <c r="D56" s="2"/>
      <c r="E56" s="2"/>
      <c r="F56" s="2"/>
      <c r="G56" s="2"/>
      <c r="H56" s="12"/>
    </row>
    <row r="57" spans="1:8" x14ac:dyDescent="0.25">
      <c r="A57" s="31"/>
      <c r="B57" s="30" t="s">
        <v>27</v>
      </c>
      <c r="C57" s="8">
        <f>SUM(C53:C56)</f>
        <v>1904613.3499999999</v>
      </c>
      <c r="D57" s="8">
        <f>SUM(D53:D56)</f>
        <v>1904613.3499999999</v>
      </c>
      <c r="E57" s="8">
        <f>SUM(E53:E56)</f>
        <v>1792496.4</v>
      </c>
      <c r="F57" s="8">
        <f>SUM(F53:F56)</f>
        <v>112116.95000000001</v>
      </c>
      <c r="G57" s="8">
        <f>SUM(G53:G56)</f>
        <v>112116.95000000001</v>
      </c>
      <c r="H57" s="12"/>
    </row>
    <row r="58" spans="1:8" ht="15.75" thickBot="1" x14ac:dyDescent="0.3">
      <c r="A58" s="32"/>
      <c r="B58" s="33"/>
      <c r="C58" s="9"/>
      <c r="D58" s="9"/>
      <c r="E58" s="9"/>
      <c r="F58" s="9"/>
      <c r="G58" s="34"/>
      <c r="H58" s="12"/>
    </row>
    <row r="59" spans="1:8" x14ac:dyDescent="0.25">
      <c r="A59" s="35"/>
      <c r="B59" s="36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6"/>
      <c r="C62" s="10"/>
      <c r="D62" s="10"/>
      <c r="E62" s="10"/>
      <c r="F62" s="10"/>
      <c r="G62" s="10"/>
      <c r="H62" s="12"/>
    </row>
    <row r="63" spans="1:8" x14ac:dyDescent="0.25">
      <c r="A63" s="24" t="s">
        <v>225</v>
      </c>
      <c r="B63" s="36"/>
      <c r="C63" s="10"/>
      <c r="D63" s="10"/>
      <c r="E63" s="10"/>
      <c r="F63" s="10"/>
      <c r="G63" s="10"/>
      <c r="H63" s="12"/>
    </row>
    <row r="64" spans="1:8" x14ac:dyDescent="0.25">
      <c r="A64" s="35"/>
      <c r="B64" s="36"/>
      <c r="C64" s="10"/>
      <c r="D64" s="10"/>
      <c r="E64" s="10"/>
      <c r="F64" s="10"/>
      <c r="G64" s="10"/>
      <c r="H64" s="12"/>
    </row>
    <row r="65" spans="1:8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</row>
    <row r="66" spans="1:8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</row>
    <row r="67" spans="1:8" x14ac:dyDescent="0.25">
      <c r="A67" s="26"/>
      <c r="B67" s="17"/>
      <c r="C67" s="19"/>
      <c r="D67" s="19"/>
      <c r="E67" s="19"/>
      <c r="F67" s="19"/>
      <c r="G67" s="19"/>
      <c r="H67" s="12"/>
    </row>
    <row r="68" spans="1:8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</row>
    <row r="69" spans="1:8" x14ac:dyDescent="0.25">
      <c r="A69" s="27"/>
      <c r="B69" s="29" t="s">
        <v>11</v>
      </c>
      <c r="C69" s="2">
        <v>757496.84</v>
      </c>
      <c r="D69" s="2">
        <v>757496.84</v>
      </c>
      <c r="E69" s="2">
        <v>757496.84</v>
      </c>
      <c r="F69" s="2">
        <f>C69-E69</f>
        <v>0</v>
      </c>
      <c r="G69" s="2">
        <f>D69-E69</f>
        <v>0</v>
      </c>
      <c r="H69" s="12"/>
    </row>
    <row r="70" spans="1:8" x14ac:dyDescent="0.25">
      <c r="A70" s="27"/>
      <c r="B70" s="29" t="s">
        <v>12</v>
      </c>
      <c r="C70" s="2">
        <v>112211.77</v>
      </c>
      <c r="D70" s="2">
        <v>112211.77</v>
      </c>
      <c r="E70" s="2">
        <v>62706</v>
      </c>
      <c r="F70" s="2">
        <f>C70-E70</f>
        <v>49505.770000000004</v>
      </c>
      <c r="G70" s="2">
        <f>D70-E70</f>
        <v>49505.770000000004</v>
      </c>
      <c r="H70" s="12"/>
    </row>
    <row r="71" spans="1:8" x14ac:dyDescent="0.25">
      <c r="A71" s="27"/>
      <c r="B71" s="29" t="s">
        <v>13</v>
      </c>
      <c r="C71" s="2">
        <v>10000</v>
      </c>
      <c r="D71" s="2">
        <v>10000</v>
      </c>
      <c r="E71" s="2"/>
      <c r="F71" s="2">
        <f>C71-E71</f>
        <v>10000</v>
      </c>
      <c r="G71" s="2">
        <f>D71-E71</f>
        <v>10000</v>
      </c>
      <c r="H71" s="12"/>
    </row>
    <row r="72" spans="1:8" x14ac:dyDescent="0.25">
      <c r="A72" s="27"/>
      <c r="B72" s="29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30" t="s">
        <v>27</v>
      </c>
      <c r="C73" s="8">
        <f>SUM(C69:C72)</f>
        <v>879708.61</v>
      </c>
      <c r="D73" s="8">
        <f>SUM(D69:D72)</f>
        <v>879708.61</v>
      </c>
      <c r="E73" s="8">
        <f>SUM(E69:E72)</f>
        <v>820202.84</v>
      </c>
      <c r="F73" s="8">
        <f>SUM(F69:F72)</f>
        <v>59505.770000000004</v>
      </c>
      <c r="G73" s="8">
        <f>SUM(G69:G72)</f>
        <v>59505.770000000004</v>
      </c>
      <c r="H73" s="12"/>
    </row>
    <row r="74" spans="1:8" x14ac:dyDescent="0.25">
      <c r="A74" s="27"/>
      <c r="B74" s="18"/>
      <c r="C74" s="2"/>
      <c r="D74" s="2"/>
      <c r="E74" s="2"/>
      <c r="F74" s="2"/>
      <c r="G74" s="2"/>
      <c r="H74" s="12"/>
    </row>
    <row r="75" spans="1:8" x14ac:dyDescent="0.25">
      <c r="A75" s="27">
        <v>6544</v>
      </c>
      <c r="B75" s="28" t="s">
        <v>21</v>
      </c>
      <c r="C75" s="18"/>
      <c r="D75" s="2"/>
      <c r="E75" s="2"/>
      <c r="F75" s="2"/>
      <c r="G75" s="2"/>
      <c r="H75" s="12"/>
    </row>
    <row r="76" spans="1:8" x14ac:dyDescent="0.25">
      <c r="A76" s="27"/>
      <c r="B76" s="29" t="s">
        <v>11</v>
      </c>
      <c r="C76" s="2">
        <v>1136593.6000000001</v>
      </c>
      <c r="D76" s="2">
        <v>1136593.6000000001</v>
      </c>
      <c r="E76" s="2">
        <v>1136593.6000000001</v>
      </c>
      <c r="F76" s="2">
        <f>C76-E76</f>
        <v>0</v>
      </c>
      <c r="G76" s="2">
        <f>D76-E76</f>
        <v>0</v>
      </c>
      <c r="H76" s="12"/>
    </row>
    <row r="77" spans="1:8" x14ac:dyDescent="0.25">
      <c r="A77" s="27"/>
      <c r="B77" s="29" t="s">
        <v>12</v>
      </c>
      <c r="C77" s="2">
        <v>749098.9</v>
      </c>
      <c r="D77" s="2">
        <v>749098.9</v>
      </c>
      <c r="E77" s="2">
        <v>609700.14</v>
      </c>
      <c r="F77" s="2">
        <f>C77-E77</f>
        <v>139398.76</v>
      </c>
      <c r="G77" s="2">
        <f>D77-E77</f>
        <v>139398.76</v>
      </c>
      <c r="H77" s="12"/>
    </row>
    <row r="78" spans="1:8" x14ac:dyDescent="0.25">
      <c r="A78" s="27"/>
      <c r="B78" s="29" t="s">
        <v>13</v>
      </c>
      <c r="C78" s="2"/>
      <c r="D78" s="2"/>
      <c r="E78" s="2"/>
      <c r="F78" s="2"/>
      <c r="G78" s="2"/>
      <c r="H78" s="12"/>
    </row>
    <row r="79" spans="1:8" x14ac:dyDescent="0.25">
      <c r="A79" s="27"/>
      <c r="B79" s="29" t="s">
        <v>14</v>
      </c>
      <c r="C79" s="2"/>
      <c r="D79" s="2"/>
      <c r="E79" s="2"/>
      <c r="F79" s="2"/>
      <c r="G79" s="2"/>
      <c r="H79" s="12"/>
    </row>
    <row r="80" spans="1:8" x14ac:dyDescent="0.25">
      <c r="A80" s="27"/>
      <c r="B80" s="30" t="s">
        <v>27</v>
      </c>
      <c r="C80" s="8">
        <f>SUM(C76:C79)</f>
        <v>1885692.5</v>
      </c>
      <c r="D80" s="8">
        <f>SUM(D76:D79)</f>
        <v>1885692.5</v>
      </c>
      <c r="E80" s="8">
        <f>SUM(E76:E79)</f>
        <v>1746293.7400000002</v>
      </c>
      <c r="F80" s="8">
        <f>SUM(F76:F79)</f>
        <v>139398.76</v>
      </c>
      <c r="G80" s="8">
        <f>SUM(G76:G79)</f>
        <v>139398.76</v>
      </c>
      <c r="H80" s="12"/>
    </row>
    <row r="81" spans="1:8" x14ac:dyDescent="0.25">
      <c r="A81" s="27"/>
      <c r="B81" s="18"/>
      <c r="C81" s="2"/>
      <c r="D81" s="2"/>
      <c r="E81" s="2"/>
      <c r="F81" s="2"/>
      <c r="G81" s="2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2"/>
      <c r="H82" s="12"/>
    </row>
    <row r="83" spans="1:8" x14ac:dyDescent="0.25">
      <c r="A83" s="27"/>
      <c r="B83" s="29" t="s">
        <v>11</v>
      </c>
      <c r="C83" s="2">
        <v>2920190.6</v>
      </c>
      <c r="D83" s="2">
        <v>2920190.6</v>
      </c>
      <c r="E83" s="2">
        <v>2920190.6</v>
      </c>
      <c r="F83" s="2">
        <f>C83-E83</f>
        <v>0</v>
      </c>
      <c r="G83" s="2">
        <f>D83-E83</f>
        <v>0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v>174898.85</v>
      </c>
      <c r="E84" s="2">
        <v>124957.16</v>
      </c>
      <c r="F84" s="2">
        <f>C84-E84</f>
        <v>49941.69</v>
      </c>
      <c r="G84" s="2">
        <f>D84-E84</f>
        <v>49941.69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2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2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3095089.45</v>
      </c>
      <c r="E87" s="8">
        <f>SUM(E83:E86)</f>
        <v>3045147.7600000002</v>
      </c>
      <c r="F87" s="8">
        <f>SUM(F83:F86)</f>
        <v>49941.69</v>
      </c>
      <c r="G87" s="8">
        <f>SUM(G83:G86)</f>
        <v>49941.69</v>
      </c>
      <c r="H87" s="12"/>
    </row>
    <row r="88" spans="1:8" x14ac:dyDescent="0.25">
      <c r="A88" s="27"/>
      <c r="B88" s="18"/>
      <c r="C88" s="2"/>
      <c r="D88" s="2"/>
      <c r="E88" s="2"/>
      <c r="F88" s="2"/>
      <c r="G88" s="2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2"/>
      <c r="H89" s="12"/>
    </row>
    <row r="90" spans="1:8" x14ac:dyDescent="0.25">
      <c r="A90" s="27"/>
      <c r="B90" s="29" t="s">
        <v>11</v>
      </c>
      <c r="C90" s="2">
        <v>1120789.58</v>
      </c>
      <c r="D90" s="2">
        <v>1120789.58</v>
      </c>
      <c r="E90" s="2">
        <v>1120789.58</v>
      </c>
      <c r="F90" s="2">
        <f>C90-E90</f>
        <v>0</v>
      </c>
      <c r="G90" s="2">
        <f>D90-E90</f>
        <v>0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v>189971.15</v>
      </c>
      <c r="E91" s="2">
        <v>166043.5</v>
      </c>
      <c r="F91" s="2">
        <f>C91-E91</f>
        <v>23927.649999999994</v>
      </c>
      <c r="G91" s="2">
        <f>D91-E91</f>
        <v>23927.649999999994</v>
      </c>
      <c r="H91" s="12"/>
    </row>
    <row r="92" spans="1:8" x14ac:dyDescent="0.25">
      <c r="A92" s="27"/>
      <c r="B92" s="29" t="s">
        <v>13</v>
      </c>
      <c r="C92" s="2">
        <v>25000</v>
      </c>
      <c r="D92" s="2">
        <v>25000</v>
      </c>
      <c r="E92" s="2"/>
      <c r="F92" s="2">
        <f t="shared" ref="F92" si="2">C92-E92</f>
        <v>25000</v>
      </c>
      <c r="G92" s="2">
        <f t="shared" ref="G92" si="3">D92-E92</f>
        <v>25000</v>
      </c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2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1335760.73</v>
      </c>
      <c r="E94" s="8">
        <f>SUM(E90:E93)</f>
        <v>1286833.08</v>
      </c>
      <c r="F94" s="8">
        <f>SUM(F90:F93)</f>
        <v>48927.649999999994</v>
      </c>
      <c r="G94" s="8">
        <f>SUM(G90:G93)</f>
        <v>48927.649999999994</v>
      </c>
      <c r="H94" s="12"/>
    </row>
    <row r="95" spans="1:8" x14ac:dyDescent="0.25">
      <c r="A95" s="27"/>
      <c r="B95" s="18"/>
      <c r="C95" s="2"/>
      <c r="D95" s="2"/>
      <c r="E95" s="2"/>
      <c r="F95" s="2"/>
      <c r="G95" s="2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2"/>
      <c r="H96" s="12"/>
    </row>
    <row r="97" spans="1:8" x14ac:dyDescent="0.25">
      <c r="A97" s="27"/>
      <c r="B97" s="29" t="s">
        <v>11</v>
      </c>
      <c r="C97" s="2">
        <v>860982.08</v>
      </c>
      <c r="D97" s="2">
        <v>860982.08</v>
      </c>
      <c r="E97" s="2">
        <v>860982.08</v>
      </c>
      <c r="F97" s="2">
        <f>C97-E97</f>
        <v>0</v>
      </c>
      <c r="G97" s="2">
        <f>D97-E97</f>
        <v>0</v>
      </c>
      <c r="H97" s="12"/>
    </row>
    <row r="98" spans="1:8" x14ac:dyDescent="0.25">
      <c r="A98" s="27"/>
      <c r="B98" s="29" t="s">
        <v>12</v>
      </c>
      <c r="C98" s="2">
        <v>87772.800000000003</v>
      </c>
      <c r="D98" s="2">
        <v>87772.800000000003</v>
      </c>
      <c r="E98" s="2">
        <v>61302.75</v>
      </c>
      <c r="F98" s="2">
        <f>C98-E98</f>
        <v>26470.050000000003</v>
      </c>
      <c r="G98" s="2">
        <f>D98-E98</f>
        <v>26470.050000000003</v>
      </c>
      <c r="H98" s="12"/>
    </row>
    <row r="99" spans="1:8" x14ac:dyDescent="0.25">
      <c r="A99" s="27"/>
      <c r="B99" s="29" t="s">
        <v>13</v>
      </c>
      <c r="C99" s="2"/>
      <c r="D99" s="2"/>
      <c r="E99" s="2"/>
      <c r="F99" s="2"/>
      <c r="G99" s="2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7"/>
      <c r="B101" s="30" t="s">
        <v>27</v>
      </c>
      <c r="C101" s="8">
        <f>SUM(C97:C100)</f>
        <v>948754.88</v>
      </c>
      <c r="D101" s="8">
        <f>SUM(D97:D100)</f>
        <v>948754.88</v>
      </c>
      <c r="E101" s="8">
        <f>SUM(E97:E100)</f>
        <v>922284.83</v>
      </c>
      <c r="F101" s="8">
        <f>SUM(F97:F100)</f>
        <v>26470.050000000003</v>
      </c>
      <c r="G101" s="8">
        <f>SUM(G97:G100)</f>
        <v>26470.050000000003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2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7"/>
      <c r="B104" s="29" t="s">
        <v>11</v>
      </c>
      <c r="C104" s="2">
        <v>1008030.66</v>
      </c>
      <c r="D104" s="2">
        <v>1008030.66</v>
      </c>
      <c r="E104" s="2">
        <v>1008030.66</v>
      </c>
      <c r="F104" s="2">
        <f>C104-E104</f>
        <v>0</v>
      </c>
      <c r="G104" s="2">
        <f>D104-E104</f>
        <v>0</v>
      </c>
      <c r="H104" s="12"/>
    </row>
    <row r="105" spans="1:8" x14ac:dyDescent="0.25">
      <c r="A105" s="27"/>
      <c r="B105" s="29" t="s">
        <v>12</v>
      </c>
      <c r="C105" s="2">
        <v>61275.5</v>
      </c>
      <c r="D105" s="2">
        <v>61275.5</v>
      </c>
      <c r="E105" s="2">
        <v>47661</v>
      </c>
      <c r="F105" s="2">
        <f>C105-E105</f>
        <v>13614.5</v>
      </c>
      <c r="G105" s="2">
        <f>D105-E105</f>
        <v>13614.5</v>
      </c>
      <c r="H105" s="12"/>
    </row>
    <row r="106" spans="1:8" x14ac:dyDescent="0.25">
      <c r="A106" s="27"/>
      <c r="B106" s="29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1069306.1600000001</v>
      </c>
      <c r="E108" s="8">
        <f>SUM(E104:E107)</f>
        <v>1055691.6600000001</v>
      </c>
      <c r="F108" s="8">
        <f>SUM(F104:F107)</f>
        <v>13614.5</v>
      </c>
      <c r="G108" s="8">
        <f>SUM(G104:G107)</f>
        <v>13614.5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2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7"/>
      <c r="B112" s="29" t="s">
        <v>12</v>
      </c>
      <c r="C112" s="2">
        <v>66400</v>
      </c>
      <c r="D112" s="2">
        <v>66400</v>
      </c>
      <c r="E112" s="2"/>
      <c r="F112" s="2">
        <f>C112-E112</f>
        <v>66400</v>
      </c>
      <c r="G112" s="2">
        <f>D112-E112</f>
        <v>66400</v>
      </c>
      <c r="H112" s="12"/>
    </row>
    <row r="113" spans="1:8" x14ac:dyDescent="0.25">
      <c r="A113" s="27"/>
      <c r="B113" s="29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31"/>
      <c r="B115" s="30" t="s">
        <v>27</v>
      </c>
      <c r="C115" s="8">
        <f>SUM(C111:C114)</f>
        <v>66400</v>
      </c>
      <c r="D115" s="8">
        <f>SUM(D111:D114)</f>
        <v>66400</v>
      </c>
      <c r="E115" s="8">
        <f>SUM(E111:E114)</f>
        <v>0</v>
      </c>
      <c r="F115" s="8">
        <f>SUM(F111:F114)</f>
        <v>66400</v>
      </c>
      <c r="G115" s="8">
        <f>SUM(G111:G114)</f>
        <v>66400</v>
      </c>
      <c r="H115" s="12"/>
    </row>
    <row r="116" spans="1:8" ht="15.75" thickBot="1" x14ac:dyDescent="0.3">
      <c r="A116" s="37"/>
      <c r="B116" s="38"/>
      <c r="C116" s="9"/>
      <c r="D116" s="9"/>
      <c r="E116" s="9"/>
      <c r="F116" s="9"/>
      <c r="G116" s="34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E15+E22+E29+E36+E43+E50+E57+E73+E80+E87+E94+E101+E108+E115+E174+E175</f>
        <v>27709960.830000006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6"/>
      <c r="C120" s="10"/>
      <c r="D120" s="10"/>
      <c r="E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225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88" t="s">
        <v>3</v>
      </c>
      <c r="B125" s="88" t="s">
        <v>4</v>
      </c>
      <c r="C125" s="88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89"/>
      <c r="B126" s="89"/>
      <c r="C126" s="89"/>
      <c r="D126" s="89"/>
      <c r="E126" s="89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35000</v>
      </c>
      <c r="D128" s="2">
        <v>35000</v>
      </c>
      <c r="E128" s="2"/>
      <c r="F128" s="2">
        <f t="shared" ref="F128:F157" si="4">C128-E128</f>
        <v>35000</v>
      </c>
      <c r="G128" s="2">
        <f t="shared" ref="G128:G158" si="5">D128-E128</f>
        <v>35000</v>
      </c>
      <c r="H128" s="12"/>
    </row>
    <row r="129" spans="1:10" x14ac:dyDescent="0.25">
      <c r="A129" s="18"/>
      <c r="B129" s="18" t="s">
        <v>32</v>
      </c>
      <c r="C129" s="2">
        <v>250000</v>
      </c>
      <c r="D129" s="2">
        <v>250000</v>
      </c>
      <c r="E129" s="2">
        <v>38250.17</v>
      </c>
      <c r="F129" s="2">
        <f t="shared" si="4"/>
        <v>211749.83000000002</v>
      </c>
      <c r="G129" s="2">
        <f t="shared" si="5"/>
        <v>211749.83000000002</v>
      </c>
      <c r="H129" s="12"/>
    </row>
    <row r="130" spans="1:10" x14ac:dyDescent="0.25">
      <c r="A130" s="18"/>
      <c r="B130" s="18" t="s">
        <v>35</v>
      </c>
      <c r="C130" s="2">
        <v>430000</v>
      </c>
      <c r="D130" s="2">
        <v>430000</v>
      </c>
      <c r="E130" s="2">
        <v>518571</v>
      </c>
      <c r="F130" s="2">
        <f t="shared" si="4"/>
        <v>-88571</v>
      </c>
      <c r="G130" s="2">
        <f t="shared" si="5"/>
        <v>-88571</v>
      </c>
      <c r="H130" s="12"/>
    </row>
    <row r="131" spans="1:10" x14ac:dyDescent="0.25">
      <c r="A131" s="18"/>
      <c r="B131" s="18" t="s">
        <v>96</v>
      </c>
      <c r="C131" s="2">
        <v>200000</v>
      </c>
      <c r="D131" s="2">
        <v>200000</v>
      </c>
      <c r="E131" s="2">
        <v>29072.080000000002</v>
      </c>
      <c r="F131" s="2">
        <f t="shared" si="4"/>
        <v>170927.91999999998</v>
      </c>
      <c r="G131" s="2">
        <f t="shared" si="5"/>
        <v>170927.91999999998</v>
      </c>
      <c r="H131" s="12"/>
    </row>
    <row r="132" spans="1:10" x14ac:dyDescent="0.25">
      <c r="A132" s="18"/>
      <c r="B132" s="18" t="s">
        <v>100</v>
      </c>
      <c r="C132" s="2">
        <v>300000</v>
      </c>
      <c r="D132" s="2">
        <v>300000</v>
      </c>
      <c r="E132" s="2"/>
      <c r="F132" s="2">
        <f t="shared" si="4"/>
        <v>300000</v>
      </c>
      <c r="G132" s="2">
        <f t="shared" si="5"/>
        <v>300000</v>
      </c>
      <c r="H132" s="12"/>
    </row>
    <row r="133" spans="1:10" x14ac:dyDescent="0.25">
      <c r="A133" s="18"/>
      <c r="B133" s="18" t="s">
        <v>181</v>
      </c>
      <c r="C133" s="2">
        <v>180000</v>
      </c>
      <c r="D133" s="2">
        <v>180000</v>
      </c>
      <c r="E133" s="2">
        <v>1212</v>
      </c>
      <c r="F133" s="2">
        <f t="shared" si="4"/>
        <v>178788</v>
      </c>
      <c r="G133" s="2">
        <f t="shared" si="5"/>
        <v>178788</v>
      </c>
      <c r="H133" s="12"/>
    </row>
    <row r="134" spans="1:10" x14ac:dyDescent="0.25">
      <c r="A134" s="18"/>
      <c r="B134" s="18" t="s">
        <v>31</v>
      </c>
      <c r="C134" s="2"/>
      <c r="D134" s="2"/>
      <c r="E134" s="2"/>
      <c r="F134" s="2"/>
      <c r="G134" s="2"/>
      <c r="H134" s="12"/>
    </row>
    <row r="135" spans="1:10" x14ac:dyDescent="0.25">
      <c r="A135" s="18"/>
      <c r="B135" s="55" t="s">
        <v>146</v>
      </c>
      <c r="C135" s="2">
        <v>300000</v>
      </c>
      <c r="D135" s="2">
        <v>300000</v>
      </c>
      <c r="E135" s="2">
        <v>369187.5</v>
      </c>
      <c r="F135" s="2">
        <f t="shared" si="4"/>
        <v>-69187.5</v>
      </c>
      <c r="G135" s="2">
        <f t="shared" si="5"/>
        <v>-69187.5</v>
      </c>
      <c r="H135" s="12"/>
    </row>
    <row r="136" spans="1:10" x14ac:dyDescent="0.25">
      <c r="A136" s="18"/>
      <c r="B136" s="55" t="s">
        <v>147</v>
      </c>
      <c r="C136" s="2">
        <v>400000</v>
      </c>
      <c r="D136" s="2">
        <v>400000</v>
      </c>
      <c r="E136" s="2">
        <v>500000</v>
      </c>
      <c r="F136" s="2">
        <f t="shared" si="4"/>
        <v>-100000</v>
      </c>
      <c r="G136" s="2">
        <f t="shared" si="5"/>
        <v>-100000</v>
      </c>
      <c r="H136" s="12"/>
    </row>
    <row r="137" spans="1:10" x14ac:dyDescent="0.25">
      <c r="A137" s="18"/>
      <c r="B137" s="55" t="s">
        <v>148</v>
      </c>
      <c r="C137" s="2">
        <v>200000</v>
      </c>
      <c r="D137" s="2">
        <v>200000</v>
      </c>
      <c r="E137" s="2"/>
      <c r="F137" s="2">
        <f t="shared" si="4"/>
        <v>200000</v>
      </c>
      <c r="G137" s="2">
        <f t="shared" si="5"/>
        <v>200000</v>
      </c>
      <c r="H137" s="12"/>
    </row>
    <row r="138" spans="1:10" x14ac:dyDescent="0.25">
      <c r="A138" s="18"/>
      <c r="B138" s="55" t="s">
        <v>149</v>
      </c>
      <c r="C138" s="2">
        <v>100000</v>
      </c>
      <c r="D138" s="2">
        <v>100000</v>
      </c>
      <c r="E138" s="2"/>
      <c r="F138" s="2">
        <f t="shared" si="4"/>
        <v>100000</v>
      </c>
      <c r="G138" s="2">
        <f t="shared" si="5"/>
        <v>100000</v>
      </c>
      <c r="H138" s="12"/>
    </row>
    <row r="139" spans="1:10" x14ac:dyDescent="0.25">
      <c r="A139" s="18"/>
      <c r="B139" s="18" t="s">
        <v>151</v>
      </c>
      <c r="C139" s="2">
        <v>125000</v>
      </c>
      <c r="D139" s="2">
        <v>125000</v>
      </c>
      <c r="E139" s="2">
        <f>41725+8000</f>
        <v>49725</v>
      </c>
      <c r="F139" s="2">
        <f t="shared" si="4"/>
        <v>75275</v>
      </c>
      <c r="G139" s="2">
        <f t="shared" si="5"/>
        <v>75275</v>
      </c>
      <c r="H139" s="12"/>
      <c r="J139" s="12"/>
    </row>
    <row r="140" spans="1:10" x14ac:dyDescent="0.25">
      <c r="A140" s="18"/>
      <c r="B140" s="27" t="s">
        <v>150</v>
      </c>
      <c r="C140" s="2">
        <v>20000</v>
      </c>
      <c r="D140" s="2">
        <v>20000</v>
      </c>
      <c r="E140" s="2">
        <v>8719</v>
      </c>
      <c r="F140" s="2">
        <f t="shared" si="4"/>
        <v>11281</v>
      </c>
      <c r="G140" s="2">
        <f t="shared" si="5"/>
        <v>11281</v>
      </c>
      <c r="H140" s="12"/>
      <c r="J140" s="12">
        <v>857870</v>
      </c>
    </row>
    <row r="141" spans="1:10" x14ac:dyDescent="0.25">
      <c r="A141" s="18"/>
      <c r="B141" s="18" t="s">
        <v>98</v>
      </c>
      <c r="C141" s="2">
        <v>80000</v>
      </c>
      <c r="D141" s="2">
        <v>80000</v>
      </c>
      <c r="E141" s="2"/>
      <c r="F141" s="2">
        <f t="shared" si="4"/>
        <v>80000</v>
      </c>
      <c r="G141" s="2">
        <f t="shared" si="5"/>
        <v>80000</v>
      </c>
      <c r="H141" s="12"/>
      <c r="J141" s="12"/>
    </row>
    <row r="142" spans="1:10" x14ac:dyDescent="0.25">
      <c r="A142" s="18"/>
      <c r="B142" s="18" t="s">
        <v>94</v>
      </c>
      <c r="C142" s="2">
        <v>75000</v>
      </c>
      <c r="D142" s="2">
        <v>75000</v>
      </c>
      <c r="E142" s="2">
        <v>32000</v>
      </c>
      <c r="F142" s="2">
        <f t="shared" si="4"/>
        <v>43000</v>
      </c>
      <c r="G142" s="2">
        <f t="shared" si="5"/>
        <v>43000</v>
      </c>
      <c r="H142" s="12"/>
      <c r="J142" s="12"/>
    </row>
    <row r="143" spans="1:10" x14ac:dyDescent="0.25">
      <c r="A143" s="18"/>
      <c r="B143" s="18" t="s">
        <v>179</v>
      </c>
      <c r="C143" s="2">
        <v>50000</v>
      </c>
      <c r="D143" s="2">
        <v>50000</v>
      </c>
      <c r="E143" s="2"/>
      <c r="F143" s="2">
        <f t="shared" si="4"/>
        <v>50000</v>
      </c>
      <c r="G143" s="2">
        <f t="shared" si="5"/>
        <v>50000</v>
      </c>
      <c r="H143" s="12"/>
      <c r="J143" s="12"/>
    </row>
    <row r="144" spans="1:10" x14ac:dyDescent="0.25">
      <c r="A144" s="18"/>
      <c r="B144" s="18" t="s">
        <v>110</v>
      </c>
      <c r="C144" s="2">
        <v>1200000</v>
      </c>
      <c r="D144" s="2">
        <v>1200000</v>
      </c>
      <c r="E144" s="2">
        <v>1848327.5</v>
      </c>
      <c r="F144" s="2">
        <f t="shared" si="4"/>
        <v>-648327.5</v>
      </c>
      <c r="G144" s="2">
        <f t="shared" si="5"/>
        <v>-648327.5</v>
      </c>
      <c r="H144" s="12"/>
      <c r="J144" s="12"/>
    </row>
    <row r="145" spans="1:10" x14ac:dyDescent="0.25">
      <c r="A145" s="18"/>
      <c r="B145" s="18" t="s">
        <v>49</v>
      </c>
      <c r="C145" s="2">
        <v>100000</v>
      </c>
      <c r="D145" s="2">
        <v>100000</v>
      </c>
      <c r="E145" s="2">
        <v>100000</v>
      </c>
      <c r="F145" s="2">
        <f t="shared" si="4"/>
        <v>0</v>
      </c>
      <c r="G145" s="2">
        <f t="shared" si="5"/>
        <v>0</v>
      </c>
      <c r="H145" s="12"/>
      <c r="J145" s="12">
        <f>J140*55%</f>
        <v>471828.50000000006</v>
      </c>
    </row>
    <row r="146" spans="1:10" x14ac:dyDescent="0.25">
      <c r="A146" s="18"/>
      <c r="B146" s="18" t="s">
        <v>33</v>
      </c>
      <c r="C146" s="2">
        <v>150000</v>
      </c>
      <c r="D146" s="2">
        <v>150000</v>
      </c>
      <c r="E146" s="2">
        <v>157300</v>
      </c>
      <c r="F146" s="2">
        <f t="shared" si="4"/>
        <v>-7300</v>
      </c>
      <c r="G146" s="2">
        <f t="shared" si="5"/>
        <v>-7300</v>
      </c>
      <c r="H146" s="12"/>
      <c r="J146" s="12"/>
    </row>
    <row r="147" spans="1:10" x14ac:dyDescent="0.25">
      <c r="A147" s="18"/>
      <c r="B147" s="18" t="s">
        <v>152</v>
      </c>
      <c r="C147" s="2">
        <v>70000</v>
      </c>
      <c r="D147" s="2">
        <v>70000</v>
      </c>
      <c r="E147" s="2"/>
      <c r="F147" s="2">
        <f t="shared" si="4"/>
        <v>70000</v>
      </c>
      <c r="G147" s="2">
        <f t="shared" si="5"/>
        <v>70000</v>
      </c>
      <c r="H147" s="12"/>
      <c r="J147" s="12"/>
    </row>
    <row r="148" spans="1:10" x14ac:dyDescent="0.25">
      <c r="A148" s="18"/>
      <c r="B148" s="18" t="s">
        <v>42</v>
      </c>
      <c r="C148" s="2">
        <v>15000</v>
      </c>
      <c r="D148" s="2">
        <v>15000</v>
      </c>
      <c r="E148" s="2"/>
      <c r="F148" s="2">
        <f t="shared" si="4"/>
        <v>15000</v>
      </c>
      <c r="G148" s="2">
        <f t="shared" si="5"/>
        <v>15000</v>
      </c>
      <c r="H148" s="12"/>
      <c r="J148" s="12"/>
    </row>
    <row r="149" spans="1:10" x14ac:dyDescent="0.25">
      <c r="A149" s="18"/>
      <c r="B149" s="18" t="s">
        <v>43</v>
      </c>
      <c r="C149" s="2">
        <v>10000</v>
      </c>
      <c r="D149" s="2">
        <v>10000</v>
      </c>
      <c r="E149" s="2"/>
      <c r="F149" s="2">
        <f t="shared" si="4"/>
        <v>10000</v>
      </c>
      <c r="G149" s="2">
        <f t="shared" si="5"/>
        <v>10000</v>
      </c>
      <c r="H149" s="12"/>
      <c r="J149" s="12"/>
    </row>
    <row r="150" spans="1:10" x14ac:dyDescent="0.25">
      <c r="A150" s="18"/>
      <c r="B150" s="18" t="s">
        <v>153</v>
      </c>
      <c r="C150" s="2">
        <v>1000000</v>
      </c>
      <c r="D150" s="2">
        <v>1000000</v>
      </c>
      <c r="E150" s="2">
        <v>288981.34999999998</v>
      </c>
      <c r="F150" s="2">
        <f t="shared" si="4"/>
        <v>711018.65</v>
      </c>
      <c r="G150" s="2">
        <f t="shared" si="5"/>
        <v>711018.65</v>
      </c>
      <c r="J150" s="12"/>
    </row>
    <row r="151" spans="1:10" x14ac:dyDescent="0.25">
      <c r="A151" s="18"/>
      <c r="B151" s="18" t="s">
        <v>154</v>
      </c>
      <c r="C151" s="2">
        <v>20000</v>
      </c>
      <c r="D151" s="2">
        <v>20000</v>
      </c>
      <c r="E151" s="2"/>
      <c r="F151" s="2">
        <f t="shared" si="4"/>
        <v>20000</v>
      </c>
      <c r="G151" s="2">
        <f t="shared" si="5"/>
        <v>20000</v>
      </c>
      <c r="J151" s="12"/>
    </row>
    <row r="152" spans="1:10" x14ac:dyDescent="0.25">
      <c r="A152" s="18"/>
      <c r="B152" s="18" t="s">
        <v>102</v>
      </c>
      <c r="C152" s="2">
        <v>15000</v>
      </c>
      <c r="D152" s="2">
        <v>15000</v>
      </c>
      <c r="E152" s="2">
        <v>9233.5</v>
      </c>
      <c r="F152" s="2">
        <f t="shared" si="4"/>
        <v>5766.5</v>
      </c>
      <c r="G152" s="2">
        <f t="shared" si="5"/>
        <v>5766.5</v>
      </c>
      <c r="J152" s="12"/>
    </row>
    <row r="153" spans="1:10" x14ac:dyDescent="0.25">
      <c r="A153" s="18"/>
      <c r="B153" s="18" t="s">
        <v>51</v>
      </c>
      <c r="C153" s="2">
        <v>750000</v>
      </c>
      <c r="D153" s="2">
        <v>750000</v>
      </c>
      <c r="E153" s="2">
        <v>161919</v>
      </c>
      <c r="F153" s="2">
        <f t="shared" si="4"/>
        <v>588081</v>
      </c>
      <c r="G153" s="2">
        <f t="shared" si="5"/>
        <v>588081</v>
      </c>
      <c r="J153" s="12"/>
    </row>
    <row r="154" spans="1:10" x14ac:dyDescent="0.25">
      <c r="A154" s="18"/>
      <c r="B154" s="18" t="s">
        <v>52</v>
      </c>
      <c r="C154" s="2">
        <v>50000</v>
      </c>
      <c r="D154" s="2">
        <v>50000</v>
      </c>
      <c r="E154" s="2">
        <v>411</v>
      </c>
      <c r="F154" s="2">
        <f t="shared" si="4"/>
        <v>49589</v>
      </c>
      <c r="G154" s="2">
        <f t="shared" si="5"/>
        <v>49589</v>
      </c>
    </row>
    <row r="155" spans="1:10" x14ac:dyDescent="0.25">
      <c r="A155" s="18"/>
      <c r="B155" s="18" t="s">
        <v>155</v>
      </c>
      <c r="C155" s="2">
        <v>40247.599999999999</v>
      </c>
      <c r="D155" s="2">
        <v>40247.599999999999</v>
      </c>
      <c r="E155" s="2"/>
      <c r="F155" s="2">
        <f t="shared" si="4"/>
        <v>40247.599999999999</v>
      </c>
      <c r="G155" s="2">
        <f t="shared" si="5"/>
        <v>40247.599999999999</v>
      </c>
    </row>
    <row r="156" spans="1:10" x14ac:dyDescent="0.25">
      <c r="A156" s="18"/>
      <c r="B156" s="18" t="s">
        <v>180</v>
      </c>
      <c r="C156" s="2">
        <v>400000</v>
      </c>
      <c r="D156" s="2">
        <v>400000</v>
      </c>
      <c r="E156" s="2"/>
      <c r="F156" s="2">
        <f t="shared" si="4"/>
        <v>400000</v>
      </c>
      <c r="G156" s="2">
        <f t="shared" si="5"/>
        <v>400000</v>
      </c>
    </row>
    <row r="157" spans="1:10" x14ac:dyDescent="0.25">
      <c r="A157" s="18"/>
      <c r="B157" s="18" t="s">
        <v>104</v>
      </c>
      <c r="C157" s="2">
        <v>700000</v>
      </c>
      <c r="D157" s="2">
        <v>700000</v>
      </c>
      <c r="E157" s="2">
        <v>582303</v>
      </c>
      <c r="F157" s="2">
        <f t="shared" si="4"/>
        <v>117697</v>
      </c>
      <c r="G157" s="2">
        <f t="shared" si="5"/>
        <v>117697</v>
      </c>
    </row>
    <row r="158" spans="1:10" x14ac:dyDescent="0.25">
      <c r="A158" s="39"/>
      <c r="B158" s="39"/>
      <c r="C158" s="6"/>
      <c r="D158" s="6"/>
      <c r="E158" s="6"/>
      <c r="F158" s="2"/>
      <c r="G158" s="2">
        <f t="shared" si="5"/>
        <v>0</v>
      </c>
    </row>
    <row r="159" spans="1:10" x14ac:dyDescent="0.25">
      <c r="A159" s="40"/>
      <c r="B159" s="30" t="s">
        <v>27</v>
      </c>
      <c r="C159" s="8">
        <f>SUM(C128:C158)</f>
        <v>7265247.5999999996</v>
      </c>
      <c r="D159" s="8">
        <f>SUM(D128:D158)</f>
        <v>7265247.5999999996</v>
      </c>
      <c r="E159" s="8">
        <f>SUM(E128:E158)</f>
        <v>4695212.0999999996</v>
      </c>
      <c r="F159" s="8">
        <f>SUM(F128:F158)</f>
        <v>2570035.5</v>
      </c>
      <c r="G159" s="8">
        <f>SUM(G128:G158)</f>
        <v>2570035.5</v>
      </c>
    </row>
    <row r="160" spans="1:10" x14ac:dyDescent="0.25">
      <c r="C160" s="7"/>
    </row>
    <row r="161" spans="1:9" x14ac:dyDescent="0.25">
      <c r="C161" s="14"/>
      <c r="E161" s="14"/>
      <c r="F161" s="14">
        <f>E159+F159</f>
        <v>7265247.5999999996</v>
      </c>
    </row>
    <row r="162" spans="1:9" x14ac:dyDescent="0.25">
      <c r="C162" s="14" t="s">
        <v>230</v>
      </c>
    </row>
    <row r="164" spans="1:9" x14ac:dyDescent="0.25">
      <c r="A164" s="13" t="s">
        <v>0</v>
      </c>
      <c r="B164" s="36"/>
      <c r="C164" s="10"/>
      <c r="D164" s="10"/>
      <c r="E164" s="10">
        <f>E161-E163</f>
        <v>0</v>
      </c>
      <c r="F164" s="10"/>
      <c r="G164" s="10"/>
    </row>
    <row r="165" spans="1:9" x14ac:dyDescent="0.25">
      <c r="A165" s="13" t="s">
        <v>1</v>
      </c>
      <c r="B165" s="36"/>
      <c r="C165" s="10"/>
      <c r="D165" s="10"/>
      <c r="E165" s="10"/>
      <c r="F165" s="10"/>
      <c r="G165" s="10"/>
    </row>
    <row r="166" spans="1:9" x14ac:dyDescent="0.25">
      <c r="A166" s="13" t="s">
        <v>2</v>
      </c>
      <c r="B166" s="36"/>
      <c r="C166" s="10"/>
      <c r="D166" s="10"/>
      <c r="E166" s="10"/>
      <c r="F166" s="10"/>
      <c r="G166" s="10"/>
    </row>
    <row r="167" spans="1:9" x14ac:dyDescent="0.25">
      <c r="A167" s="24" t="s">
        <v>225</v>
      </c>
      <c r="B167" s="36"/>
      <c r="C167" s="10"/>
      <c r="D167" s="10"/>
      <c r="E167" s="10"/>
      <c r="F167" s="10"/>
      <c r="G167" s="10"/>
    </row>
    <row r="168" spans="1:9" x14ac:dyDescent="0.25">
      <c r="A168" s="35"/>
      <c r="B168" s="36"/>
      <c r="C168" s="10"/>
      <c r="D168" s="10"/>
      <c r="E168" s="10"/>
      <c r="F168" s="10"/>
      <c r="G168" s="10"/>
    </row>
    <row r="169" spans="1:9" x14ac:dyDescent="0.25">
      <c r="A169" s="88" t="s">
        <v>3</v>
      </c>
      <c r="B169" s="88" t="s">
        <v>4</v>
      </c>
      <c r="C169" s="88" t="s">
        <v>5</v>
      </c>
      <c r="D169" s="88" t="s">
        <v>6</v>
      </c>
      <c r="E169" s="88" t="s">
        <v>7</v>
      </c>
      <c r="F169" s="15" t="s">
        <v>8</v>
      </c>
      <c r="G169" s="15" t="s">
        <v>8</v>
      </c>
    </row>
    <row r="170" spans="1:9" x14ac:dyDescent="0.25">
      <c r="A170" s="89"/>
      <c r="B170" s="89"/>
      <c r="C170" s="89"/>
      <c r="D170" s="89"/>
      <c r="E170" s="89"/>
      <c r="F170" s="16" t="s">
        <v>5</v>
      </c>
      <c r="G170" s="16" t="s">
        <v>6</v>
      </c>
    </row>
    <row r="171" spans="1:9" x14ac:dyDescent="0.25">
      <c r="A171" s="17"/>
      <c r="B171" s="17"/>
      <c r="C171" s="17"/>
      <c r="D171" s="17"/>
      <c r="E171" s="17"/>
      <c r="F171" s="17"/>
      <c r="G171" s="17"/>
    </row>
    <row r="172" spans="1:9" x14ac:dyDescent="0.25">
      <c r="A172" s="18"/>
      <c r="B172" s="28" t="s">
        <v>53</v>
      </c>
      <c r="C172" s="18"/>
      <c r="D172" s="18"/>
      <c r="E172" s="18"/>
      <c r="F172" s="18"/>
      <c r="G172" s="18"/>
    </row>
    <row r="173" spans="1:9" x14ac:dyDescent="0.25">
      <c r="A173" s="18"/>
      <c r="B173" s="29" t="s">
        <v>11</v>
      </c>
      <c r="C173" s="2"/>
      <c r="D173" s="2"/>
      <c r="E173" s="2"/>
      <c r="F173" s="2"/>
      <c r="G173" s="2"/>
    </row>
    <row r="174" spans="1:9" x14ac:dyDescent="0.25">
      <c r="A174" s="18"/>
      <c r="B174" s="4" t="s">
        <v>58</v>
      </c>
      <c r="C174" s="2">
        <v>320000</v>
      </c>
      <c r="D174" s="2">
        <v>320000</v>
      </c>
      <c r="E174" s="2">
        <v>291229.73</v>
      </c>
      <c r="F174" s="2">
        <f t="shared" ref="F174:F188" si="6">C174-E174</f>
        <v>28770.270000000019</v>
      </c>
      <c r="G174" s="2">
        <f t="shared" ref="G174:G188" si="7">D174-E174</f>
        <v>28770.270000000019</v>
      </c>
    </row>
    <row r="175" spans="1:9" x14ac:dyDescent="0.25">
      <c r="A175" s="18"/>
      <c r="B175" s="4" t="s">
        <v>59</v>
      </c>
      <c r="C175" s="2">
        <v>1060000</v>
      </c>
      <c r="D175" s="2">
        <v>1060000</v>
      </c>
      <c r="E175" s="2">
        <v>1150000</v>
      </c>
      <c r="F175" s="2">
        <f t="shared" si="6"/>
        <v>-90000</v>
      </c>
      <c r="G175" s="2">
        <f t="shared" si="7"/>
        <v>-90000</v>
      </c>
      <c r="I175" s="14">
        <f>E175*12</f>
        <v>13800000</v>
      </c>
    </row>
    <row r="176" spans="1:9" x14ac:dyDescent="0.25">
      <c r="A176" s="18"/>
      <c r="B176" s="29" t="s">
        <v>12</v>
      </c>
      <c r="C176" s="2"/>
      <c r="D176" s="2"/>
      <c r="E176" s="2"/>
      <c r="F176" s="2">
        <f t="shared" si="6"/>
        <v>0</v>
      </c>
      <c r="G176" s="2">
        <f t="shared" si="7"/>
        <v>0</v>
      </c>
    </row>
    <row r="177" spans="1:9" x14ac:dyDescent="0.25">
      <c r="A177" s="18"/>
      <c r="B177" s="4" t="s">
        <v>54</v>
      </c>
      <c r="C177" s="2">
        <v>2176195.09</v>
      </c>
      <c r="D177" s="2">
        <v>2176195.09</v>
      </c>
      <c r="E177" s="2">
        <v>695761.26</v>
      </c>
      <c r="F177" s="2">
        <f t="shared" si="6"/>
        <v>1480433.8299999998</v>
      </c>
      <c r="G177" s="2">
        <f t="shared" si="7"/>
        <v>1480433.8299999998</v>
      </c>
      <c r="I177" s="14">
        <f>C177/4</f>
        <v>544048.77249999996</v>
      </c>
    </row>
    <row r="178" spans="1:9" x14ac:dyDescent="0.25">
      <c r="A178" s="18"/>
      <c r="B178" s="4" t="s">
        <v>55</v>
      </c>
      <c r="C178" s="2">
        <v>15000</v>
      </c>
      <c r="D178" s="2">
        <v>15000</v>
      </c>
      <c r="E178" s="2"/>
      <c r="F178" s="2">
        <f t="shared" si="6"/>
        <v>15000</v>
      </c>
      <c r="G178" s="2">
        <f t="shared" si="7"/>
        <v>15000</v>
      </c>
    </row>
    <row r="179" spans="1:9" x14ac:dyDescent="0.25">
      <c r="A179" s="18"/>
      <c r="B179" s="4" t="s">
        <v>56</v>
      </c>
      <c r="C179" s="2">
        <v>20000</v>
      </c>
      <c r="D179" s="2">
        <v>20000</v>
      </c>
      <c r="E179" s="2">
        <v>5000</v>
      </c>
      <c r="F179" s="2">
        <f t="shared" si="6"/>
        <v>15000</v>
      </c>
      <c r="G179" s="2">
        <f t="shared" si="7"/>
        <v>15000</v>
      </c>
    </row>
    <row r="180" spans="1:9" x14ac:dyDescent="0.25">
      <c r="A180" s="18"/>
      <c r="B180" s="4" t="s">
        <v>175</v>
      </c>
      <c r="C180" s="2">
        <v>2176195.09</v>
      </c>
      <c r="D180" s="2">
        <v>2176195.09</v>
      </c>
      <c r="E180" s="2">
        <v>1170391.3799999999</v>
      </c>
      <c r="F180" s="2">
        <f t="shared" si="6"/>
        <v>1005803.71</v>
      </c>
      <c r="G180" s="2">
        <f t="shared" si="7"/>
        <v>1005803.71</v>
      </c>
    </row>
    <row r="181" spans="1:9" x14ac:dyDescent="0.25">
      <c r="A181" s="18"/>
      <c r="B181" s="4" t="s">
        <v>176</v>
      </c>
      <c r="C181" s="2">
        <v>435239.01</v>
      </c>
      <c r="D181" s="2">
        <v>435239.01</v>
      </c>
      <c r="E181" s="2">
        <v>59720</v>
      </c>
      <c r="F181" s="2">
        <f t="shared" si="6"/>
        <v>375519.01</v>
      </c>
      <c r="G181" s="2">
        <f t="shared" si="7"/>
        <v>375519.01</v>
      </c>
    </row>
    <row r="182" spans="1:9" x14ac:dyDescent="0.25">
      <c r="A182" s="18"/>
      <c r="B182" s="58" t="s">
        <v>177</v>
      </c>
      <c r="C182" s="2">
        <v>363262.38</v>
      </c>
      <c r="D182" s="2">
        <v>363262.38</v>
      </c>
      <c r="E182" s="2">
        <v>286634</v>
      </c>
      <c r="F182" s="2">
        <f t="shared" si="6"/>
        <v>76628.38</v>
      </c>
      <c r="G182" s="2">
        <f t="shared" si="7"/>
        <v>76628.38</v>
      </c>
    </row>
    <row r="183" spans="1:9" x14ac:dyDescent="0.25">
      <c r="A183" s="18"/>
      <c r="B183" s="4" t="s">
        <v>178</v>
      </c>
      <c r="C183" s="2">
        <v>100172.48</v>
      </c>
      <c r="D183" s="2">
        <v>100172.48</v>
      </c>
      <c r="E183" s="2">
        <v>67160</v>
      </c>
      <c r="F183" s="2">
        <f t="shared" si="6"/>
        <v>33012.479999999996</v>
      </c>
      <c r="G183" s="2">
        <f t="shared" si="7"/>
        <v>33012.479999999996</v>
      </c>
    </row>
    <row r="184" spans="1:9" x14ac:dyDescent="0.25">
      <c r="A184" s="18"/>
      <c r="B184" s="4" t="s">
        <v>113</v>
      </c>
      <c r="C184" s="2">
        <v>150000</v>
      </c>
      <c r="D184" s="2">
        <v>150000</v>
      </c>
      <c r="E184" s="2">
        <v>237155</v>
      </c>
      <c r="F184" s="2">
        <f t="shared" ref="F184" si="8">C184-E184</f>
        <v>-87155</v>
      </c>
      <c r="G184" s="2">
        <f t="shared" ref="G184" si="9">D184-E184</f>
        <v>-87155</v>
      </c>
    </row>
    <row r="185" spans="1:9" x14ac:dyDescent="0.25">
      <c r="A185" s="18"/>
      <c r="B185" s="29" t="s">
        <v>13</v>
      </c>
      <c r="C185" s="2"/>
      <c r="D185" s="2"/>
      <c r="E185" s="2"/>
      <c r="F185" s="2">
        <f t="shared" si="6"/>
        <v>0</v>
      </c>
      <c r="G185" s="2">
        <f t="shared" si="7"/>
        <v>0</v>
      </c>
    </row>
    <row r="186" spans="1:9" x14ac:dyDescent="0.25">
      <c r="A186" s="18"/>
      <c r="B186" s="4" t="s">
        <v>159</v>
      </c>
      <c r="C186" s="2">
        <v>500000</v>
      </c>
      <c r="D186" s="2">
        <v>500000</v>
      </c>
      <c r="E186" s="2">
        <v>388839.22</v>
      </c>
      <c r="F186" s="2">
        <f t="shared" si="6"/>
        <v>111160.78000000003</v>
      </c>
      <c r="G186" s="2">
        <f t="shared" si="7"/>
        <v>111160.78000000003</v>
      </c>
    </row>
    <row r="187" spans="1:9" x14ac:dyDescent="0.25">
      <c r="A187" s="18"/>
      <c r="B187" s="4" t="s">
        <v>62</v>
      </c>
      <c r="C187" s="2"/>
      <c r="D187" s="2"/>
      <c r="E187" s="2"/>
      <c r="F187" s="2">
        <f t="shared" si="6"/>
        <v>0</v>
      </c>
      <c r="G187" s="2">
        <f t="shared" si="7"/>
        <v>0</v>
      </c>
    </row>
    <row r="188" spans="1:9" x14ac:dyDescent="0.25">
      <c r="A188" s="18"/>
      <c r="B188" s="5" t="s">
        <v>63</v>
      </c>
      <c r="C188" s="2">
        <v>1600000</v>
      </c>
      <c r="D188" s="2">
        <v>1600000</v>
      </c>
      <c r="E188" s="2">
        <v>1564814.07</v>
      </c>
      <c r="F188" s="2">
        <f t="shared" si="6"/>
        <v>35185.929999999935</v>
      </c>
      <c r="G188" s="2">
        <f t="shared" si="7"/>
        <v>35185.929999999935</v>
      </c>
    </row>
    <row r="189" spans="1:9" x14ac:dyDescent="0.25">
      <c r="A189" s="18"/>
      <c r="B189" s="4"/>
      <c r="C189" s="2"/>
      <c r="D189" s="2"/>
      <c r="E189" s="2"/>
      <c r="F189" s="2"/>
      <c r="G189" s="2"/>
    </row>
    <row r="190" spans="1:9" x14ac:dyDescent="0.25">
      <c r="A190" s="18"/>
      <c r="B190" s="41" t="s">
        <v>27</v>
      </c>
      <c r="C190" s="8">
        <f>SUM(C174:C189)</f>
        <v>8916064.0500000007</v>
      </c>
      <c r="D190" s="8">
        <f>SUM(D174:D189)</f>
        <v>8916064.0500000007</v>
      </c>
      <c r="E190" s="8">
        <f>SUM(E174:E189)</f>
        <v>5916704.6600000001</v>
      </c>
      <c r="F190" s="8">
        <f>SUM(F174:F189)</f>
        <v>2999359.3899999987</v>
      </c>
      <c r="G190" s="8">
        <f>SUM(G174:G189)</f>
        <v>2999359.3899999987</v>
      </c>
    </row>
    <row r="191" spans="1:9" ht="15.75" thickBot="1" x14ac:dyDescent="0.3">
      <c r="A191" s="42"/>
      <c r="B191" s="43" t="s">
        <v>64</v>
      </c>
      <c r="C191" s="20">
        <f>C190+C159+C115+C108+C101+C94+C87+C80+C73+C57+C50+C43+C36+C29+C22+C15</f>
        <v>43523901.710000001</v>
      </c>
      <c r="D191" s="20">
        <f>D190+D159+D115+D108+D101+D94+D87+D80+D73+D57+D50+D43+D36+D29+D22+D15</f>
        <v>43523901.710000001</v>
      </c>
      <c r="E191" s="20">
        <f>E190+E159+E115+E108+E101+E94+E87+E80+E73+E57+E50+E43+E36+E29+E22+E15</f>
        <v>36880647.859999999</v>
      </c>
      <c r="F191" s="20">
        <f>F190+F159+F115+F108+F101+F94+F87+F80+F73+F57+F50+F43+F36+F29+F22+F15</f>
        <v>6643253.8499999996</v>
      </c>
      <c r="G191" s="20">
        <f>G190+G159+G115+G108+G101+G94+G87+G80+G73+G57+G50+G43+G36+G29+G22+G15</f>
        <v>6643253.8499999996</v>
      </c>
    </row>
    <row r="192" spans="1:9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2"/>
      <c r="F193" s="12"/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C195" s="12"/>
      <c r="D195" s="12"/>
      <c r="E195" s="12"/>
      <c r="F195" s="12"/>
      <c r="G195" s="12"/>
    </row>
    <row r="196" spans="2:12" x14ac:dyDescent="0.25">
      <c r="B196" s="44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90"/>
      <c r="E197" s="90"/>
      <c r="F197" s="12"/>
      <c r="G197" s="12"/>
    </row>
    <row r="198" spans="2:12" x14ac:dyDescent="0.25">
      <c r="C198" s="12"/>
      <c r="D198" s="12"/>
      <c r="E198" s="12"/>
      <c r="F198" s="12"/>
      <c r="G198" s="12"/>
      <c r="H198" s="57">
        <v>0.8</v>
      </c>
      <c r="I198" s="12">
        <v>2159415</v>
      </c>
      <c r="L198" s="13">
        <f>20*20</f>
        <v>400</v>
      </c>
    </row>
    <row r="199" spans="2:12" x14ac:dyDescent="0.25">
      <c r="C199" s="12"/>
      <c r="D199" s="12"/>
      <c r="E199" s="12"/>
      <c r="F199" s="12"/>
      <c r="G199" s="12"/>
      <c r="H199" s="57">
        <v>0.2</v>
      </c>
      <c r="I199" s="12">
        <v>539854</v>
      </c>
      <c r="L199" s="13">
        <f>15*20</f>
        <v>300</v>
      </c>
    </row>
    <row r="200" spans="2:12" x14ac:dyDescent="0.25">
      <c r="C200" s="45" t="s">
        <v>226</v>
      </c>
      <c r="D200" s="45"/>
      <c r="E200" s="12">
        <f>E15+E22+E29+E36+E43+E50+E57+E73+E80+E129+E130+E131+E133+E135+E136+E139+E140+E142+E144+E145</f>
        <v>23453838.020000003</v>
      </c>
      <c r="F200" s="12"/>
      <c r="G200" s="12"/>
      <c r="I200" s="12"/>
    </row>
    <row r="201" spans="2:12" x14ac:dyDescent="0.25">
      <c r="C201" s="45" t="s">
        <v>227</v>
      </c>
      <c r="D201" s="45"/>
      <c r="E201" s="12">
        <f>E101+E108+E115+E150+E152+E153+E154</f>
        <v>2438521.3400000003</v>
      </c>
      <c r="F201" s="12"/>
      <c r="G201" s="12"/>
      <c r="I201" s="12"/>
      <c r="L201" s="13">
        <f>SUM(L198:L200)</f>
        <v>700</v>
      </c>
    </row>
    <row r="202" spans="2:12" x14ac:dyDescent="0.25">
      <c r="C202" s="45" t="s">
        <v>228</v>
      </c>
      <c r="D202" s="45"/>
      <c r="E202" s="12">
        <f>E87+E94+E146</f>
        <v>4489280.84</v>
      </c>
      <c r="F202" s="12"/>
      <c r="G202" s="12"/>
      <c r="I202" s="12">
        <f>SUM(I198:I201)</f>
        <v>2699269</v>
      </c>
    </row>
    <row r="203" spans="2:12" x14ac:dyDescent="0.25">
      <c r="C203" s="81" t="s">
        <v>229</v>
      </c>
      <c r="D203" s="81"/>
      <c r="E203" s="12">
        <f>E157+E190</f>
        <v>6499007.6600000001</v>
      </c>
      <c r="F203" s="12"/>
      <c r="G203" s="12">
        <f>I202-E191</f>
        <v>-34181378.859999999</v>
      </c>
      <c r="I203" s="12"/>
    </row>
    <row r="204" spans="2:12" x14ac:dyDescent="0.25">
      <c r="C204" s="12"/>
      <c r="D204" s="12"/>
      <c r="E204" s="12">
        <f>SUM(E200:E203)</f>
        <v>36880647.859999999</v>
      </c>
      <c r="F204" s="12"/>
      <c r="G204" s="12"/>
      <c r="I204" s="12"/>
    </row>
    <row r="205" spans="2:12" x14ac:dyDescent="0.25">
      <c r="C205" s="12"/>
      <c r="D205" s="12"/>
      <c r="E205" s="12"/>
      <c r="F205" s="12"/>
      <c r="G205" s="12"/>
      <c r="I205" s="12"/>
    </row>
    <row r="206" spans="2:12" x14ac:dyDescent="0.25">
      <c r="C206" s="12"/>
      <c r="D206" s="12"/>
      <c r="E206" s="12"/>
      <c r="F206" s="12"/>
      <c r="G206" s="12"/>
      <c r="I206" s="12"/>
    </row>
    <row r="207" spans="2:12" x14ac:dyDescent="0.25">
      <c r="F207" s="12"/>
      <c r="G207" s="12"/>
      <c r="I207" s="12"/>
    </row>
    <row r="208" spans="2:12" x14ac:dyDescent="0.25">
      <c r="F208" s="12"/>
      <c r="G208" s="12"/>
      <c r="I208" s="12"/>
    </row>
    <row r="209" spans="3:7" x14ac:dyDescent="0.25">
      <c r="F209" s="12"/>
      <c r="G209" s="12"/>
    </row>
    <row r="210" spans="3:7" x14ac:dyDescent="0.25">
      <c r="F210" s="12"/>
      <c r="G210" s="12"/>
    </row>
    <row r="211" spans="3:7" x14ac:dyDescent="0.25">
      <c r="F211" s="12"/>
      <c r="G211" s="12"/>
    </row>
    <row r="212" spans="3:7" x14ac:dyDescent="0.25"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D197:E197"/>
    <mergeCell ref="A169:A170"/>
    <mergeCell ref="B169:B170"/>
    <mergeCell ref="C169:C170"/>
    <mergeCell ref="D169:D170"/>
    <mergeCell ref="E169:E170"/>
    <mergeCell ref="A125:A126"/>
    <mergeCell ref="B125:B126"/>
    <mergeCell ref="C125:C126"/>
    <mergeCell ref="D125:D126"/>
    <mergeCell ref="E125:E126"/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</mergeCells>
  <pageMargins left="0.18" right="0.12" top="0.36" bottom="0.14000000000000001" header="0.3" footer="0.3"/>
  <pageSetup scale="8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40" zoomScaleNormal="140" workbookViewId="0">
      <selection activeCell="E1" sqref="E1"/>
    </sheetView>
  </sheetViews>
  <sheetFormatPr defaultRowHeight="15" x14ac:dyDescent="0.25"/>
  <cols>
    <col min="1" max="1" width="10.42578125" customWidth="1"/>
    <col min="2" max="2" width="5.85546875" customWidth="1"/>
    <col min="3" max="3" width="10.7109375" bestFit="1" customWidth="1"/>
    <col min="4" max="4" width="11.7109375" bestFit="1" customWidth="1"/>
    <col min="5" max="5" width="13.28515625" bestFit="1" customWidth="1"/>
    <col min="6" max="6" width="11.7109375" customWidth="1"/>
    <col min="7" max="7" width="13.28515625" bestFit="1" customWidth="1"/>
  </cols>
  <sheetData>
    <row r="1" spans="1:11" x14ac:dyDescent="0.25">
      <c r="A1" s="1">
        <v>200</v>
      </c>
      <c r="B1" s="21">
        <v>9</v>
      </c>
      <c r="C1" s="3">
        <f>A1*B1</f>
        <v>1800</v>
      </c>
      <c r="D1" s="3">
        <f>C1*22</f>
        <v>39600</v>
      </c>
      <c r="E1" s="3">
        <f>D1*12</f>
        <v>475200</v>
      </c>
      <c r="I1">
        <v>8000</v>
      </c>
      <c r="K1">
        <v>500</v>
      </c>
    </row>
    <row r="2" spans="1:11" x14ac:dyDescent="0.25">
      <c r="A2" s="1">
        <v>100</v>
      </c>
      <c r="B2" s="21">
        <f>74-9</f>
        <v>65</v>
      </c>
      <c r="C2" s="3">
        <f t="shared" ref="C2:C5" si="0">A2*B2</f>
        <v>6500</v>
      </c>
      <c r="D2" s="3">
        <f>C2*22</f>
        <v>143000</v>
      </c>
      <c r="E2" s="3">
        <f>D2*12</f>
        <v>1716000</v>
      </c>
      <c r="G2" s="3"/>
      <c r="I2">
        <v>500</v>
      </c>
      <c r="K2">
        <v>2000</v>
      </c>
    </row>
    <row r="3" spans="1:11" x14ac:dyDescent="0.25">
      <c r="A3" s="1">
        <v>150</v>
      </c>
      <c r="B3" s="21">
        <v>1</v>
      </c>
      <c r="C3" s="3">
        <f t="shared" si="0"/>
        <v>150</v>
      </c>
      <c r="D3" s="3">
        <f>C3*22</f>
        <v>3300</v>
      </c>
      <c r="E3" s="3">
        <f>D3*12</f>
        <v>39600</v>
      </c>
      <c r="I3">
        <v>1800</v>
      </c>
      <c r="K3">
        <v>2000</v>
      </c>
    </row>
    <row r="4" spans="1:11" x14ac:dyDescent="0.25">
      <c r="A4" s="1">
        <v>1750</v>
      </c>
      <c r="B4" s="21">
        <v>15</v>
      </c>
      <c r="C4" s="3">
        <f t="shared" si="0"/>
        <v>26250</v>
      </c>
      <c r="D4" s="3">
        <f>C4</f>
        <v>26250</v>
      </c>
      <c r="E4" s="3">
        <f>D4*12</f>
        <v>315000</v>
      </c>
      <c r="I4">
        <v>1000</v>
      </c>
      <c r="K4">
        <v>2000</v>
      </c>
    </row>
    <row r="5" spans="1:11" x14ac:dyDescent="0.25">
      <c r="A5" s="1">
        <v>500</v>
      </c>
      <c r="B5" s="21">
        <v>1</v>
      </c>
      <c r="C5" s="3">
        <f t="shared" si="0"/>
        <v>500</v>
      </c>
      <c r="D5" s="3">
        <f>C5</f>
        <v>500</v>
      </c>
      <c r="E5" s="3">
        <f>D5*12</f>
        <v>6000</v>
      </c>
      <c r="I5">
        <f>SUM(I1:I4)</f>
        <v>11300</v>
      </c>
      <c r="K5">
        <v>2000</v>
      </c>
    </row>
    <row r="6" spans="1:11" x14ac:dyDescent="0.25">
      <c r="A6" s="1"/>
      <c r="B6" s="21"/>
      <c r="E6" s="3">
        <f>SUM(E1:E5)</f>
        <v>2551800</v>
      </c>
      <c r="K6">
        <f>SUM(K1:K5)</f>
        <v>8500</v>
      </c>
    </row>
    <row r="7" spans="1:11" x14ac:dyDescent="0.25">
      <c r="A7" s="1"/>
      <c r="F7" s="22">
        <v>40558</v>
      </c>
    </row>
    <row r="8" spans="1:11" x14ac:dyDescent="0.25">
      <c r="A8" s="1" t="s">
        <v>72</v>
      </c>
      <c r="E8" s="1">
        <v>300000</v>
      </c>
      <c r="F8" s="1">
        <v>96350</v>
      </c>
      <c r="G8" s="3"/>
    </row>
    <row r="9" spans="1:11" x14ac:dyDescent="0.25">
      <c r="A9" t="s">
        <v>68</v>
      </c>
      <c r="E9" s="1">
        <v>1200000</v>
      </c>
      <c r="F9" s="1">
        <f>245450+17939.5</f>
        <v>263389.5</v>
      </c>
      <c r="K9">
        <f>I5-K6</f>
        <v>2800</v>
      </c>
    </row>
    <row r="10" spans="1:11" x14ac:dyDescent="0.25">
      <c r="A10" t="s">
        <v>69</v>
      </c>
      <c r="E10" s="1">
        <v>180000</v>
      </c>
      <c r="F10" s="1">
        <v>61203.5</v>
      </c>
    </row>
    <row r="11" spans="1:11" x14ac:dyDescent="0.25">
      <c r="A11" t="s">
        <v>70</v>
      </c>
      <c r="E11" s="1">
        <v>55000</v>
      </c>
      <c r="F11" s="1">
        <v>7600</v>
      </c>
    </row>
    <row r="12" spans="1:11" x14ac:dyDescent="0.25">
      <c r="A12" t="s">
        <v>71</v>
      </c>
      <c r="E12" s="1"/>
      <c r="F12" s="1"/>
    </row>
    <row r="13" spans="1:11" x14ac:dyDescent="0.25">
      <c r="A13" t="s">
        <v>73</v>
      </c>
      <c r="E13" s="1">
        <v>60000</v>
      </c>
      <c r="F13" s="1">
        <v>59528</v>
      </c>
    </row>
    <row r="14" spans="1:11" x14ac:dyDescent="0.25">
      <c r="A14" t="s">
        <v>74</v>
      </c>
      <c r="E14" s="3">
        <v>30000</v>
      </c>
      <c r="F14" s="1"/>
      <c r="G14" s="1"/>
    </row>
    <row r="15" spans="1:11" x14ac:dyDescent="0.25">
      <c r="A15" t="s">
        <v>75</v>
      </c>
      <c r="E15" s="3">
        <v>50000</v>
      </c>
      <c r="F15" s="1">
        <v>6693</v>
      </c>
      <c r="G15" s="1"/>
    </row>
    <row r="16" spans="1:11" x14ac:dyDescent="0.25">
      <c r="F16" s="1">
        <f>SUM(F8:F15)</f>
        <v>494764</v>
      </c>
      <c r="G16" s="1"/>
    </row>
    <row r="17" spans="5:7" x14ac:dyDescent="0.25">
      <c r="F17" s="1"/>
      <c r="G17" s="1"/>
    </row>
    <row r="18" spans="5:7" x14ac:dyDescent="0.25">
      <c r="E18" s="3">
        <f>SUM(E8:E17)</f>
        <v>1875000</v>
      </c>
      <c r="F18" s="1"/>
      <c r="G18" s="1"/>
    </row>
    <row r="19" spans="5:7" x14ac:dyDescent="0.25">
      <c r="E19" s="3">
        <f>E6-E18</f>
        <v>676800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4"/>
  <sheetViews>
    <sheetView topLeftCell="A136" zoomScale="140" zoomScaleNormal="140" workbookViewId="0">
      <selection activeCell="B151" sqref="B151"/>
    </sheetView>
  </sheetViews>
  <sheetFormatPr defaultRowHeight="15" x14ac:dyDescent="0.25"/>
  <cols>
    <col min="1" max="1" width="43.140625" style="13" customWidth="1"/>
    <col min="2" max="2" width="18" style="13" customWidth="1"/>
    <col min="3" max="3" width="17.85546875" style="13" customWidth="1"/>
    <col min="4" max="4" width="17.28515625" style="13" customWidth="1"/>
    <col min="5" max="5" width="12.28515625" style="13" bestFit="1" customWidth="1"/>
    <col min="6" max="6" width="13.42578125" style="13" bestFit="1" customWidth="1"/>
    <col min="7" max="7" width="13.85546875" style="13" bestFit="1" customWidth="1"/>
    <col min="8" max="8" width="9.140625" style="13"/>
    <col min="9" max="9" width="11" style="13" bestFit="1" customWidth="1"/>
    <col min="10" max="10" width="15.42578125" style="13" bestFit="1" customWidth="1"/>
    <col min="11" max="11" width="11.7109375" style="13" customWidth="1"/>
    <col min="12" max="12" width="9.85546875" style="13" customWidth="1"/>
    <col min="13" max="14" width="9.140625" style="13"/>
    <col min="15" max="16" width="12" style="13" bestFit="1" customWidth="1"/>
    <col min="17" max="16384" width="9.140625" style="13"/>
  </cols>
  <sheetData>
    <row r="2" spans="1:16" x14ac:dyDescent="0.25">
      <c r="G2" s="12">
        <v>50000</v>
      </c>
      <c r="H2" s="13" t="s">
        <v>76</v>
      </c>
      <c r="J2" s="12">
        <v>33000</v>
      </c>
      <c r="K2" s="13" t="s">
        <v>81</v>
      </c>
    </row>
    <row r="3" spans="1:16" x14ac:dyDescent="0.25">
      <c r="G3" s="12">
        <v>24000</v>
      </c>
      <c r="H3" s="13" t="s">
        <v>78</v>
      </c>
      <c r="J3" s="12">
        <v>46000</v>
      </c>
      <c r="K3" s="13" t="s">
        <v>82</v>
      </c>
    </row>
    <row r="4" spans="1:16" x14ac:dyDescent="0.25">
      <c r="D4" s="24"/>
      <c r="G4" s="12">
        <v>70000</v>
      </c>
      <c r="J4" s="12">
        <v>52000</v>
      </c>
      <c r="K4" s="13" t="s">
        <v>83</v>
      </c>
      <c r="O4" s="12">
        <v>52000</v>
      </c>
      <c r="P4" s="12">
        <v>45000</v>
      </c>
    </row>
    <row r="5" spans="1:16" x14ac:dyDescent="0.25">
      <c r="G5" s="12"/>
      <c r="J5" s="12">
        <v>28000</v>
      </c>
      <c r="K5" s="13" t="s">
        <v>84</v>
      </c>
      <c r="P5" s="12">
        <v>15000</v>
      </c>
    </row>
    <row r="6" spans="1:16" x14ac:dyDescent="0.25">
      <c r="A6" s="88" t="s">
        <v>4</v>
      </c>
      <c r="B6" s="88" t="s">
        <v>5</v>
      </c>
      <c r="C6" s="88" t="s">
        <v>7</v>
      </c>
      <c r="D6" s="15" t="s">
        <v>8</v>
      </c>
      <c r="F6" s="12"/>
      <c r="G6" s="12"/>
      <c r="J6" s="12"/>
      <c r="O6" s="12">
        <v>10000</v>
      </c>
      <c r="P6" s="12">
        <v>40000</v>
      </c>
    </row>
    <row r="7" spans="1:16" ht="15.75" thickBot="1" x14ac:dyDescent="0.3">
      <c r="A7" s="89"/>
      <c r="B7" s="89"/>
      <c r="C7" s="89"/>
      <c r="D7" s="16" t="s">
        <v>5</v>
      </c>
      <c r="F7" s="12"/>
      <c r="G7" s="12">
        <v>130000</v>
      </c>
      <c r="H7" s="13" t="s">
        <v>77</v>
      </c>
      <c r="J7" s="25">
        <f>SUM(J2:J6)</f>
        <v>159000</v>
      </c>
      <c r="O7" s="12">
        <v>2000</v>
      </c>
      <c r="P7" s="12">
        <v>45000</v>
      </c>
    </row>
    <row r="8" spans="1:16" ht="15.75" thickTop="1" x14ac:dyDescent="0.25">
      <c r="A8" s="17" t="s">
        <v>9</v>
      </c>
      <c r="B8" s="17"/>
      <c r="C8" s="17"/>
      <c r="D8" s="17"/>
      <c r="F8" s="12"/>
      <c r="G8" s="12">
        <v>54000</v>
      </c>
      <c r="H8" s="13" t="s">
        <v>79</v>
      </c>
      <c r="J8" s="12"/>
      <c r="O8" s="12">
        <v>45000</v>
      </c>
      <c r="P8" s="12">
        <v>40000</v>
      </c>
    </row>
    <row r="9" spans="1:16" x14ac:dyDescent="0.25">
      <c r="A9" s="18"/>
      <c r="B9" s="18"/>
      <c r="C9" s="18"/>
      <c r="D9" s="18"/>
      <c r="F9" s="12"/>
      <c r="G9" s="12"/>
      <c r="H9" s="13" t="s">
        <v>80</v>
      </c>
      <c r="J9" s="12"/>
      <c r="O9" s="12">
        <v>10000</v>
      </c>
      <c r="P9" s="12">
        <v>25000</v>
      </c>
    </row>
    <row r="10" spans="1:16" x14ac:dyDescent="0.25">
      <c r="A10" s="28" t="s">
        <v>10</v>
      </c>
      <c r="B10" s="18"/>
      <c r="C10" s="2"/>
      <c r="D10" s="2"/>
      <c r="F10" s="12"/>
      <c r="G10" s="12"/>
      <c r="J10" s="12">
        <v>16000</v>
      </c>
      <c r="K10" s="13" t="s">
        <v>85</v>
      </c>
      <c r="P10" s="12">
        <v>14000</v>
      </c>
    </row>
    <row r="11" spans="1:16" x14ac:dyDescent="0.25">
      <c r="A11" s="29" t="s">
        <v>11</v>
      </c>
      <c r="B11" s="2">
        <v>1278616.72</v>
      </c>
      <c r="C11" s="11">
        <f>117372.31+97372.31+97372.31+104872.31+144446.38+100372.31+98872.31+98872.31+101871.43+98871.88+78072.31+28574.5</f>
        <v>1166942.67</v>
      </c>
      <c r="D11" s="2">
        <f>B11-C11</f>
        <v>111674.05000000005</v>
      </c>
      <c r="F11" s="14"/>
      <c r="G11" s="12">
        <v>2000</v>
      </c>
      <c r="J11" s="12">
        <v>9000</v>
      </c>
      <c r="O11" s="12"/>
      <c r="P11" s="12"/>
    </row>
    <row r="12" spans="1:16" x14ac:dyDescent="0.25">
      <c r="A12" s="29" t="s">
        <v>12</v>
      </c>
      <c r="B12" s="2">
        <f>907422+251536</f>
        <v>1158958</v>
      </c>
      <c r="C12" s="49">
        <f>1659227.6+63020+50808</f>
        <v>1773055.6</v>
      </c>
      <c r="D12" s="2">
        <f>B12-C12</f>
        <v>-614097.60000000009</v>
      </c>
      <c r="F12" s="12">
        <v>63020</v>
      </c>
      <c r="G12" s="12">
        <v>2000</v>
      </c>
      <c r="I12" s="12"/>
      <c r="J12" s="12">
        <v>10000</v>
      </c>
      <c r="O12" s="12"/>
      <c r="P12" s="12"/>
    </row>
    <row r="13" spans="1:16" x14ac:dyDescent="0.25">
      <c r="A13" s="29" t="s">
        <v>13</v>
      </c>
      <c r="B13" s="2">
        <f>15000+46200</f>
        <v>61200</v>
      </c>
      <c r="C13" s="2"/>
      <c r="D13" s="2">
        <f>B13-C13</f>
        <v>61200</v>
      </c>
      <c r="F13" s="12">
        <v>50808</v>
      </c>
      <c r="G13" s="12">
        <v>500</v>
      </c>
      <c r="I13" s="12"/>
      <c r="J13" s="12"/>
      <c r="O13" s="12"/>
      <c r="P13" s="12"/>
    </row>
    <row r="14" spans="1:16" x14ac:dyDescent="0.25">
      <c r="A14" s="29" t="s">
        <v>14</v>
      </c>
      <c r="B14" s="2"/>
      <c r="C14" s="2"/>
      <c r="D14" s="2"/>
      <c r="F14" s="12"/>
      <c r="G14" s="12">
        <v>25000</v>
      </c>
      <c r="I14" s="12">
        <v>15</v>
      </c>
      <c r="O14" s="12"/>
      <c r="P14" s="12"/>
    </row>
    <row r="15" spans="1:16" x14ac:dyDescent="0.25">
      <c r="A15" s="30" t="s">
        <v>27</v>
      </c>
      <c r="B15" s="8">
        <f>SUM(B11:B14)</f>
        <v>2498774.7199999997</v>
      </c>
      <c r="C15" s="8">
        <f>SUM(C11:C14)</f>
        <v>2939998.27</v>
      </c>
      <c r="D15" s="8">
        <f>SUM(D11:D14)</f>
        <v>-441223.55000000005</v>
      </c>
      <c r="F15" s="12"/>
      <c r="G15" s="12">
        <v>1500</v>
      </c>
      <c r="I15" s="12">
        <v>49</v>
      </c>
      <c r="J15" s="14">
        <f>SUM(J10:J14)</f>
        <v>35000</v>
      </c>
      <c r="O15" s="12">
        <f>SUM(O4:O14)</f>
        <v>119000</v>
      </c>
      <c r="P15" s="12">
        <f>SUM(P4:P14)</f>
        <v>224000</v>
      </c>
    </row>
    <row r="16" spans="1:16" x14ac:dyDescent="0.25">
      <c r="A16" s="18"/>
      <c r="B16" s="2"/>
      <c r="C16" s="2"/>
      <c r="D16" s="2"/>
      <c r="F16" s="12"/>
      <c r="G16" s="12">
        <v>500</v>
      </c>
      <c r="I16" s="12">
        <v>27</v>
      </c>
      <c r="O16" s="12">
        <f>O15-54000</f>
        <v>65000</v>
      </c>
      <c r="P16" s="14">
        <f>P15-130000</f>
        <v>94000</v>
      </c>
    </row>
    <row r="17" spans="1:16" x14ac:dyDescent="0.25">
      <c r="A17" s="28" t="s">
        <v>28</v>
      </c>
      <c r="B17" s="2"/>
      <c r="C17" s="2"/>
      <c r="D17" s="2"/>
      <c r="F17" s="12"/>
      <c r="G17" s="12">
        <v>10000</v>
      </c>
      <c r="I17" s="12"/>
      <c r="J17" s="14">
        <v>2000</v>
      </c>
      <c r="K17" s="13" t="s">
        <v>92</v>
      </c>
      <c r="O17" s="12"/>
      <c r="P17" s="14">
        <f>O16+P16</f>
        <v>159000</v>
      </c>
    </row>
    <row r="18" spans="1:16" x14ac:dyDescent="0.25">
      <c r="A18" s="29" t="s">
        <v>11</v>
      </c>
      <c r="B18" s="2">
        <v>5826344.4400000004</v>
      </c>
      <c r="C18" s="11">
        <f>507164.54+447164.54+447164.54+455164.54+627512.04+447164.54+447164.54+447164.54+447164.54+447164.54+517179.04</f>
        <v>5237171.9400000004</v>
      </c>
      <c r="D18" s="2">
        <f>B18-C18</f>
        <v>589172.5</v>
      </c>
      <c r="F18" s="12"/>
      <c r="G18" s="12">
        <v>5000</v>
      </c>
      <c r="I18" s="12">
        <f>SUM(I14:I17)</f>
        <v>91</v>
      </c>
      <c r="J18" s="12">
        <v>8000</v>
      </c>
      <c r="O18" s="12"/>
    </row>
    <row r="19" spans="1:16" x14ac:dyDescent="0.25">
      <c r="A19" s="29" t="s">
        <v>12</v>
      </c>
      <c r="B19" s="2">
        <v>889203.6</v>
      </c>
      <c r="C19" s="49">
        <v>855805.53</v>
      </c>
      <c r="D19" s="2">
        <f>B19-C19</f>
        <v>33398.069999999949</v>
      </c>
      <c r="F19" s="12"/>
      <c r="G19" s="12">
        <v>3000</v>
      </c>
      <c r="I19" s="14">
        <f>I18-58</f>
        <v>33</v>
      </c>
      <c r="J19" s="12">
        <v>40000</v>
      </c>
      <c r="K19" s="13" t="s">
        <v>90</v>
      </c>
      <c r="O19" s="12"/>
    </row>
    <row r="20" spans="1:16" x14ac:dyDescent="0.25">
      <c r="A20" s="29" t="s">
        <v>13</v>
      </c>
      <c r="B20" s="2"/>
      <c r="C20" s="2"/>
      <c r="D20" s="2">
        <f>B20-C20</f>
        <v>0</v>
      </c>
      <c r="F20" s="12"/>
      <c r="G20" s="12">
        <v>3000</v>
      </c>
      <c r="J20" s="12">
        <v>45000</v>
      </c>
      <c r="K20" s="13" t="s">
        <v>87</v>
      </c>
      <c r="O20" s="12"/>
    </row>
    <row r="21" spans="1:16" x14ac:dyDescent="0.25">
      <c r="A21" s="29" t="s">
        <v>14</v>
      </c>
      <c r="B21" s="2"/>
      <c r="C21" s="2"/>
      <c r="D21" s="2"/>
      <c r="G21" s="12">
        <f>7*1500</f>
        <v>10500</v>
      </c>
      <c r="J21" s="12">
        <v>14000</v>
      </c>
      <c r="K21" s="13" t="s">
        <v>86</v>
      </c>
      <c r="O21" s="12"/>
    </row>
    <row r="22" spans="1:16" x14ac:dyDescent="0.25">
      <c r="A22" s="30" t="s">
        <v>27</v>
      </c>
      <c r="B22" s="8">
        <f>SUM(B18:B21)</f>
        <v>6715548.04</v>
      </c>
      <c r="C22" s="8">
        <f>SUM(C18:C21)</f>
        <v>6092977.4700000007</v>
      </c>
      <c r="D22" s="8">
        <f>SUM(D18:D21)</f>
        <v>622570.56999999995</v>
      </c>
      <c r="G22" s="12">
        <f>SUM(G11:G21)</f>
        <v>63000</v>
      </c>
      <c r="J22" s="14">
        <v>15000</v>
      </c>
      <c r="K22" s="13" t="s">
        <v>91</v>
      </c>
      <c r="O22" s="12"/>
    </row>
    <row r="23" spans="1:16" x14ac:dyDescent="0.25">
      <c r="A23" s="18"/>
      <c r="B23" s="2"/>
      <c r="C23" s="2"/>
      <c r="D23" s="2"/>
      <c r="G23" s="12">
        <f>G22-12500</f>
        <v>50500</v>
      </c>
      <c r="J23" s="14">
        <v>25000</v>
      </c>
      <c r="K23" s="13" t="s">
        <v>88</v>
      </c>
      <c r="O23" s="12"/>
    </row>
    <row r="24" spans="1:16" x14ac:dyDescent="0.25">
      <c r="A24" s="28" t="s">
        <v>15</v>
      </c>
      <c r="B24" s="2"/>
      <c r="C24" s="2"/>
      <c r="D24" s="2"/>
      <c r="G24" s="12">
        <v>34000</v>
      </c>
      <c r="J24" s="14">
        <v>10000</v>
      </c>
      <c r="K24" s="13" t="s">
        <v>89</v>
      </c>
      <c r="O24" s="12"/>
    </row>
    <row r="25" spans="1:16" ht="15.75" thickBot="1" x14ac:dyDescent="0.3">
      <c r="A25" s="29" t="s">
        <v>11</v>
      </c>
      <c r="B25" s="2">
        <v>795756.96</v>
      </c>
      <c r="C25" s="11">
        <f>71477.5+60182.83+59477.5+65477.5+82259+60183.13+60183.13+60183.13+60182.83+60183.13+79264.13</f>
        <v>719053.81</v>
      </c>
      <c r="D25" s="2">
        <f>B25-C25</f>
        <v>76703.149999999907</v>
      </c>
      <c r="G25" s="25">
        <f>G23-G24</f>
        <v>16500</v>
      </c>
      <c r="J25" s="14">
        <f>SUM(J17:J24)</f>
        <v>159000</v>
      </c>
      <c r="O25" s="12"/>
    </row>
    <row r="26" spans="1:16" ht="15.75" thickTop="1" x14ac:dyDescent="0.25">
      <c r="A26" s="29" t="s">
        <v>12</v>
      </c>
      <c r="B26" s="2">
        <v>113663</v>
      </c>
      <c r="C26" s="49">
        <v>72274.81</v>
      </c>
      <c r="D26" s="2">
        <f>B26-C26</f>
        <v>41388.19</v>
      </c>
      <c r="G26" s="12"/>
      <c r="I26" s="12">
        <v>300</v>
      </c>
      <c r="J26" s="12">
        <v>5000</v>
      </c>
      <c r="O26" s="12"/>
    </row>
    <row r="27" spans="1:16" x14ac:dyDescent="0.25">
      <c r="A27" s="29" t="s">
        <v>13</v>
      </c>
      <c r="B27" s="2"/>
      <c r="C27" s="2"/>
      <c r="D27" s="2">
        <f>B27-C27</f>
        <v>0</v>
      </c>
      <c r="G27" s="12"/>
      <c r="I27" s="12">
        <v>1000</v>
      </c>
      <c r="J27" s="12">
        <v>2958</v>
      </c>
      <c r="O27" s="12"/>
    </row>
    <row r="28" spans="1:16" x14ac:dyDescent="0.25">
      <c r="A28" s="29" t="s">
        <v>14</v>
      </c>
      <c r="B28" s="2"/>
      <c r="C28" s="2"/>
      <c r="D28" s="2"/>
      <c r="G28" s="12"/>
      <c r="I28" s="12">
        <v>500</v>
      </c>
      <c r="J28" s="12">
        <v>3650.5</v>
      </c>
      <c r="O28" s="12"/>
    </row>
    <row r="29" spans="1:16" x14ac:dyDescent="0.25">
      <c r="A29" s="30" t="s">
        <v>27</v>
      </c>
      <c r="B29" s="8">
        <f>SUM(B25:B28)</f>
        <v>909419.96</v>
      </c>
      <c r="C29" s="8">
        <f>SUM(C25:C28)</f>
        <v>791328.62000000011</v>
      </c>
      <c r="D29" s="8">
        <f>SUM(D25:D28)</f>
        <v>118091.33999999991</v>
      </c>
      <c r="I29" s="12">
        <v>100</v>
      </c>
      <c r="J29" s="12">
        <v>5302.5</v>
      </c>
    </row>
    <row r="30" spans="1:16" x14ac:dyDescent="0.25">
      <c r="A30" s="18"/>
      <c r="B30" s="2"/>
      <c r="C30" s="2"/>
      <c r="D30" s="2"/>
      <c r="I30" s="12"/>
      <c r="J30" s="12">
        <v>3350</v>
      </c>
    </row>
    <row r="31" spans="1:16" x14ac:dyDescent="0.25">
      <c r="A31" s="28" t="s">
        <v>16</v>
      </c>
      <c r="B31" s="2"/>
      <c r="C31" s="2"/>
      <c r="D31" s="2"/>
      <c r="I31" s="12"/>
      <c r="J31" s="12">
        <v>2000</v>
      </c>
    </row>
    <row r="32" spans="1:16" x14ac:dyDescent="0.25">
      <c r="A32" s="29" t="s">
        <v>11</v>
      </c>
      <c r="B32" s="2">
        <f>586932.16+2500</f>
        <v>589432.16</v>
      </c>
      <c r="C32" s="11">
        <f>49893.98+41893.98+44677.18+44677.18+68080.18+44677.18+44677.18+44677.18+44677.18+44677.18+52380.18</f>
        <v>524988.57999999996</v>
      </c>
      <c r="D32" s="2">
        <f>B32-C32</f>
        <v>64443.580000000075</v>
      </c>
      <c r="I32" s="12"/>
      <c r="J32" s="12">
        <v>1248.75</v>
      </c>
    </row>
    <row r="33" spans="1:10" x14ac:dyDescent="0.25">
      <c r="A33" s="29" t="s">
        <v>12</v>
      </c>
      <c r="B33" s="2">
        <v>48659.8</v>
      </c>
      <c r="C33" s="49">
        <v>53605</v>
      </c>
      <c r="D33" s="2">
        <f>B33-C33</f>
        <v>-4945.1999999999971</v>
      </c>
      <c r="I33" s="12"/>
      <c r="J33" s="12">
        <v>15000</v>
      </c>
    </row>
    <row r="34" spans="1:10" x14ac:dyDescent="0.25">
      <c r="A34" s="29" t="s">
        <v>13</v>
      </c>
      <c r="B34" s="2">
        <v>12200</v>
      </c>
      <c r="C34" s="2"/>
      <c r="D34" s="2">
        <f>B34-C34</f>
        <v>12200</v>
      </c>
      <c r="I34" s="12"/>
      <c r="J34" s="12">
        <v>14000</v>
      </c>
    </row>
    <row r="35" spans="1:10" x14ac:dyDescent="0.25">
      <c r="A35" s="29" t="s">
        <v>14</v>
      </c>
      <c r="B35" s="2"/>
      <c r="C35" s="2"/>
      <c r="D35" s="2"/>
      <c r="I35" s="12"/>
    </row>
    <row r="36" spans="1:10" x14ac:dyDescent="0.25">
      <c r="A36" s="30" t="s">
        <v>27</v>
      </c>
      <c r="B36" s="8">
        <f>SUM(B32:B35)</f>
        <v>650291.96000000008</v>
      </c>
      <c r="C36" s="8">
        <f>SUM(C32:C35)</f>
        <v>578593.57999999996</v>
      </c>
      <c r="D36" s="8">
        <f>SUM(D32:D35)</f>
        <v>71698.380000000077</v>
      </c>
      <c r="I36" s="12"/>
    </row>
    <row r="37" spans="1:10" x14ac:dyDescent="0.25">
      <c r="A37" s="18"/>
      <c r="B37" s="2"/>
      <c r="C37" s="2"/>
      <c r="D37" s="2"/>
      <c r="I37" s="12"/>
    </row>
    <row r="38" spans="1:10" x14ac:dyDescent="0.25">
      <c r="A38" s="28" t="s">
        <v>17</v>
      </c>
      <c r="B38" s="2"/>
      <c r="C38" s="2"/>
      <c r="D38" s="2"/>
      <c r="F38" s="13">
        <f>170*18</f>
        <v>3060</v>
      </c>
      <c r="I38" s="12"/>
    </row>
    <row r="39" spans="1:10" x14ac:dyDescent="0.25">
      <c r="A39" s="29" t="s">
        <v>11</v>
      </c>
      <c r="B39" s="2">
        <v>455978.4</v>
      </c>
      <c r="C39" s="11">
        <f>39218.2+35218.2+35218.2+37218.2+48898.2+35218.2+35218.2+35218.2+35218.2+35218.2+39198.9</f>
        <v>411060.90000000008</v>
      </c>
      <c r="D39" s="2">
        <f>B39-C39</f>
        <v>44917.499999999942</v>
      </c>
      <c r="F39" s="13">
        <f>18*130</f>
        <v>2340</v>
      </c>
      <c r="I39" s="12">
        <f>SUM(I26:I38)</f>
        <v>1900</v>
      </c>
    </row>
    <row r="40" spans="1:10" x14ac:dyDescent="0.25">
      <c r="A40" s="29" t="s">
        <v>12</v>
      </c>
      <c r="B40" s="2">
        <v>72185</v>
      </c>
      <c r="C40" s="49">
        <v>51086.36</v>
      </c>
      <c r="D40" s="2">
        <f>B40-C40</f>
        <v>21098.639999999999</v>
      </c>
      <c r="F40" s="13">
        <f>SUM(F38:F39)</f>
        <v>5400</v>
      </c>
    </row>
    <row r="41" spans="1:10" x14ac:dyDescent="0.25">
      <c r="A41" s="29" t="s">
        <v>13</v>
      </c>
      <c r="B41" s="2"/>
      <c r="C41" s="2"/>
      <c r="D41" s="2"/>
      <c r="F41" s="13">
        <f>350*18</f>
        <v>6300</v>
      </c>
      <c r="J41" s="14">
        <f>SUM(J26:J40)</f>
        <v>52509.75</v>
      </c>
    </row>
    <row r="42" spans="1:10" x14ac:dyDescent="0.25">
      <c r="A42" s="29" t="s">
        <v>14</v>
      </c>
      <c r="B42" s="2"/>
      <c r="C42" s="2"/>
      <c r="D42" s="2"/>
      <c r="F42" s="13">
        <f>SUM(F40:F41)</f>
        <v>11700</v>
      </c>
    </row>
    <row r="43" spans="1:10" x14ac:dyDescent="0.25">
      <c r="A43" s="30" t="s">
        <v>27</v>
      </c>
      <c r="B43" s="8">
        <f>SUM(B39:B42)</f>
        <v>528163.4</v>
      </c>
      <c r="C43" s="8">
        <f>SUM(C39:C42)</f>
        <v>462147.26000000007</v>
      </c>
      <c r="D43" s="8">
        <f>SUM(D39:D42)</f>
        <v>66016.139999999941</v>
      </c>
      <c r="F43" s="23">
        <f>15000-F42</f>
        <v>3300</v>
      </c>
    </row>
    <row r="44" spans="1:10" x14ac:dyDescent="0.25">
      <c r="A44" s="18"/>
      <c r="B44" s="2"/>
      <c r="C44" s="2"/>
      <c r="D44" s="2"/>
    </row>
    <row r="45" spans="1:10" x14ac:dyDescent="0.25">
      <c r="A45" s="28" t="s">
        <v>18</v>
      </c>
      <c r="B45" s="2"/>
      <c r="C45" s="2"/>
      <c r="D45" s="2"/>
      <c r="F45" s="13">
        <v>6000</v>
      </c>
      <c r="J45" s="12">
        <v>34163973.780000001</v>
      </c>
    </row>
    <row r="46" spans="1:10" x14ac:dyDescent="0.25">
      <c r="A46" s="29" t="s">
        <v>11</v>
      </c>
      <c r="B46" s="2">
        <v>883152.6</v>
      </c>
      <c r="C46" s="11">
        <f>43686.72+39386.72+39386.72+39386.72+64004.22+39386.72+39386.72+39386.72+39386.72+39386.72+44304.22</f>
        <v>467088.91999999993</v>
      </c>
      <c r="F46" s="13">
        <v>9352</v>
      </c>
      <c r="J46" s="14">
        <f>J45*55%</f>
        <v>18790185.579000004</v>
      </c>
    </row>
    <row r="47" spans="1:10" x14ac:dyDescent="0.25">
      <c r="A47" s="29" t="s">
        <v>12</v>
      </c>
      <c r="B47" s="2">
        <v>169427.5</v>
      </c>
      <c r="C47" s="51">
        <v>177545.8</v>
      </c>
      <c r="D47" s="2"/>
    </row>
    <row r="48" spans="1:10" x14ac:dyDescent="0.25">
      <c r="A48" s="29" t="s">
        <v>13</v>
      </c>
      <c r="B48" s="2"/>
      <c r="C48" s="50"/>
      <c r="D48" s="2"/>
      <c r="E48" s="12"/>
      <c r="F48" s="45">
        <v>2000</v>
      </c>
    </row>
    <row r="49" spans="1:6" x14ac:dyDescent="0.25">
      <c r="A49" s="29" t="s">
        <v>14</v>
      </c>
      <c r="B49" s="2"/>
      <c r="C49" s="2"/>
      <c r="D49" s="2"/>
      <c r="E49" s="12"/>
      <c r="F49" s="13">
        <v>5000</v>
      </c>
    </row>
    <row r="50" spans="1:6" x14ac:dyDescent="0.25">
      <c r="A50" s="30" t="s">
        <v>27</v>
      </c>
      <c r="B50" s="8">
        <f>SUM(B46:B49)</f>
        <v>1052580.1000000001</v>
      </c>
      <c r="C50" s="8">
        <f>SUM(C46:C49)</f>
        <v>644634.72</v>
      </c>
      <c r="D50" s="8">
        <f>SUM(D47:D49)</f>
        <v>0</v>
      </c>
      <c r="E50" s="12"/>
    </row>
    <row r="51" spans="1:6" x14ac:dyDescent="0.25">
      <c r="A51" s="18"/>
      <c r="B51" s="2"/>
      <c r="C51" s="2"/>
      <c r="D51" s="2"/>
      <c r="E51" s="12"/>
      <c r="F51" s="13">
        <f>SUM(F45:F50)</f>
        <v>22352</v>
      </c>
    </row>
    <row r="52" spans="1:6" x14ac:dyDescent="0.25">
      <c r="A52" s="28" t="s">
        <v>19</v>
      </c>
      <c r="B52" s="2"/>
      <c r="C52" s="2"/>
      <c r="D52" s="2"/>
      <c r="E52" s="12"/>
      <c r="F52" s="13">
        <v>22352</v>
      </c>
    </row>
    <row r="53" spans="1:6" x14ac:dyDescent="0.25">
      <c r="A53" s="29" t="s">
        <v>11</v>
      </c>
      <c r="B53" s="2">
        <v>1381633.04</v>
      </c>
      <c r="C53" s="11">
        <f>130839.92+102839.92+102839.92+102839.92+147916.92+102841.92+102839.92+102839.92+102839.92+102841.92+133918.92</f>
        <v>1235399.1200000001</v>
      </c>
      <c r="D53" s="2">
        <f>B53-C53</f>
        <v>146233.91999999993</v>
      </c>
      <c r="E53" s="12"/>
      <c r="F53" s="13">
        <f>F52-F51</f>
        <v>0</v>
      </c>
    </row>
    <row r="54" spans="1:6" x14ac:dyDescent="0.25">
      <c r="A54" s="29" t="s">
        <v>12</v>
      </c>
      <c r="B54" s="2">
        <v>251782.6</v>
      </c>
      <c r="C54" s="49">
        <v>212632.45</v>
      </c>
      <c r="D54" s="2">
        <f>B54-C54</f>
        <v>39150.149999999994</v>
      </c>
      <c r="E54" s="12"/>
    </row>
    <row r="55" spans="1:6" x14ac:dyDescent="0.25">
      <c r="A55" s="29" t="s">
        <v>13</v>
      </c>
      <c r="B55" s="2"/>
      <c r="C55" s="2"/>
      <c r="D55" s="2">
        <f>B55-C55</f>
        <v>0</v>
      </c>
      <c r="E55" s="12"/>
    </row>
    <row r="56" spans="1:6" x14ac:dyDescent="0.25">
      <c r="A56" s="29" t="s">
        <v>14</v>
      </c>
      <c r="B56" s="2"/>
      <c r="C56" s="2"/>
      <c r="D56" s="2"/>
      <c r="E56" s="12"/>
    </row>
    <row r="57" spans="1:6" x14ac:dyDescent="0.25">
      <c r="A57" s="30" t="s">
        <v>27</v>
      </c>
      <c r="B57" s="8">
        <f>SUM(B53:B56)</f>
        <v>1633415.6400000001</v>
      </c>
      <c r="C57" s="8">
        <f>SUM(C53:C56)</f>
        <v>1448031.57</v>
      </c>
      <c r="D57" s="8">
        <f>SUM(D53:D56)</f>
        <v>185384.06999999992</v>
      </c>
      <c r="E57" s="12"/>
    </row>
    <row r="58" spans="1:6" ht="15.75" thickBot="1" x14ac:dyDescent="0.3">
      <c r="A58" s="33"/>
      <c r="B58" s="9"/>
      <c r="C58" s="9"/>
      <c r="D58" s="9"/>
      <c r="E58" s="12"/>
    </row>
    <row r="59" spans="1:6" x14ac:dyDescent="0.25">
      <c r="A59" s="36"/>
      <c r="B59" s="10"/>
      <c r="C59" s="10"/>
      <c r="D59" s="10"/>
      <c r="E59" s="12"/>
    </row>
    <row r="61" spans="1:6" x14ac:dyDescent="0.25">
      <c r="A61" s="36"/>
      <c r="B61" s="10"/>
      <c r="C61" s="10"/>
      <c r="D61" s="10"/>
      <c r="E61" s="12"/>
    </row>
    <row r="62" spans="1:6" x14ac:dyDescent="0.25">
      <c r="A62" s="36"/>
      <c r="B62" s="10"/>
      <c r="C62" s="10"/>
      <c r="D62" s="10"/>
      <c r="E62" s="12"/>
    </row>
    <row r="63" spans="1:6" x14ac:dyDescent="0.25">
      <c r="A63" s="36"/>
      <c r="B63" s="10"/>
      <c r="C63" s="10"/>
      <c r="D63" s="10"/>
      <c r="E63" s="12"/>
    </row>
    <row r="64" spans="1:6" x14ac:dyDescent="0.25">
      <c r="A64" s="36"/>
      <c r="B64" s="10"/>
      <c r="C64" s="10"/>
      <c r="D64" s="10"/>
      <c r="E64" s="12"/>
    </row>
    <row r="65" spans="1:12" x14ac:dyDescent="0.25">
      <c r="A65" s="36"/>
      <c r="B65" s="10"/>
      <c r="C65" s="10"/>
      <c r="D65" s="10"/>
      <c r="E65" s="12"/>
    </row>
    <row r="66" spans="1:12" x14ac:dyDescent="0.25">
      <c r="A66" s="36"/>
      <c r="B66" s="10"/>
      <c r="C66" s="10"/>
      <c r="D66" s="10"/>
      <c r="E66" s="12"/>
    </row>
    <row r="67" spans="1:12" x14ac:dyDescent="0.25">
      <c r="A67" s="88" t="s">
        <v>4</v>
      </c>
      <c r="B67" s="88" t="s">
        <v>5</v>
      </c>
      <c r="C67" s="88" t="s">
        <v>7</v>
      </c>
      <c r="D67" s="15" t="s">
        <v>8</v>
      </c>
      <c r="E67" s="12"/>
    </row>
    <row r="68" spans="1:12" x14ac:dyDescent="0.25">
      <c r="A68" s="89"/>
      <c r="B68" s="89"/>
      <c r="C68" s="89"/>
      <c r="D68" s="16" t="s">
        <v>5</v>
      </c>
      <c r="E68" s="12"/>
    </row>
    <row r="69" spans="1:12" x14ac:dyDescent="0.25">
      <c r="A69" s="17"/>
      <c r="B69" s="19"/>
      <c r="C69" s="19"/>
      <c r="D69" s="19"/>
      <c r="E69" s="12"/>
    </row>
    <row r="70" spans="1:12" x14ac:dyDescent="0.25">
      <c r="A70" s="28" t="s">
        <v>20</v>
      </c>
      <c r="B70" s="2"/>
      <c r="C70" s="2"/>
      <c r="D70" s="2"/>
      <c r="E70" s="12"/>
      <c r="G70" s="12">
        <v>5000</v>
      </c>
      <c r="I70" s="12">
        <v>5000</v>
      </c>
      <c r="J70" s="12">
        <v>5000</v>
      </c>
      <c r="K70" s="12">
        <v>5000</v>
      </c>
    </row>
    <row r="71" spans="1:12" x14ac:dyDescent="0.25">
      <c r="A71" s="29" t="s">
        <v>11</v>
      </c>
      <c r="B71" s="2">
        <f>623143.92+2500</f>
        <v>625643.92000000004</v>
      </c>
      <c r="C71" s="11">
        <f>55487.16+47487.16+47487.16+51487.16+68136.16+49487.16+49487.16+49487.16+49487.16+49487.16+56436.16</f>
        <v>573956.76000000024</v>
      </c>
      <c r="D71" s="2">
        <f>B71-C71</f>
        <v>51687.1599999998</v>
      </c>
      <c r="E71" s="12"/>
      <c r="G71" s="12">
        <v>1228.6500000000001</v>
      </c>
      <c r="I71" s="12">
        <v>3650.5</v>
      </c>
      <c r="J71" s="12">
        <v>3350</v>
      </c>
      <c r="K71" s="12">
        <v>5302.5</v>
      </c>
    </row>
    <row r="72" spans="1:12" x14ac:dyDescent="0.25">
      <c r="A72" s="29" t="s">
        <v>12</v>
      </c>
      <c r="B72" s="2">
        <v>92737</v>
      </c>
      <c r="C72" s="49">
        <v>93628.76</v>
      </c>
      <c r="D72" s="2">
        <f>B72-C72</f>
        <v>-891.75999999999476</v>
      </c>
      <c r="E72" s="12"/>
      <c r="G72" s="12"/>
      <c r="I72" s="12">
        <v>3350</v>
      </c>
      <c r="J72" s="12">
        <v>630</v>
      </c>
      <c r="K72" s="12">
        <v>3350</v>
      </c>
    </row>
    <row r="73" spans="1:12" x14ac:dyDescent="0.25">
      <c r="A73" s="29" t="s">
        <v>13</v>
      </c>
      <c r="B73" s="2"/>
      <c r="C73" s="2"/>
      <c r="D73" s="2">
        <f>B73-C73</f>
        <v>0</v>
      </c>
      <c r="E73" s="12"/>
      <c r="G73" s="12">
        <v>5302.5</v>
      </c>
      <c r="I73" s="12">
        <v>1228.6500000000001</v>
      </c>
      <c r="J73" s="12">
        <v>5302</v>
      </c>
      <c r="K73" s="12">
        <v>2000</v>
      </c>
      <c r="L73" s="12">
        <v>446</v>
      </c>
    </row>
    <row r="74" spans="1:12" x14ac:dyDescent="0.25">
      <c r="A74" s="29" t="s">
        <v>14</v>
      </c>
      <c r="B74" s="2"/>
      <c r="C74" s="2"/>
      <c r="D74" s="2"/>
      <c r="E74" s="12"/>
      <c r="G74" s="12">
        <v>3650.5</v>
      </c>
      <c r="I74" s="12">
        <v>2958</v>
      </c>
      <c r="J74" s="12"/>
      <c r="K74" s="12"/>
      <c r="L74" s="12">
        <v>150</v>
      </c>
    </row>
    <row r="75" spans="1:12" x14ac:dyDescent="0.25">
      <c r="A75" s="30" t="s">
        <v>27</v>
      </c>
      <c r="B75" s="8">
        <f>SUM(B71:B74)</f>
        <v>718380.92</v>
      </c>
      <c r="C75" s="8">
        <f>SUM(C71:C74)</f>
        <v>667585.52000000025</v>
      </c>
      <c r="D75" s="8">
        <f>SUM(D71:D74)</f>
        <v>50795.399999999805</v>
      </c>
      <c r="E75" s="12"/>
      <c r="G75" s="12">
        <v>630</v>
      </c>
      <c r="I75" s="12"/>
      <c r="J75" s="12"/>
      <c r="K75" s="12">
        <v>630</v>
      </c>
      <c r="L75" s="13">
        <v>797</v>
      </c>
    </row>
    <row r="76" spans="1:12" x14ac:dyDescent="0.25">
      <c r="A76" s="18"/>
      <c r="B76" s="2"/>
      <c r="C76" s="2"/>
      <c r="D76" s="2"/>
      <c r="E76" s="12"/>
      <c r="G76" s="12">
        <v>630</v>
      </c>
      <c r="I76" s="12"/>
      <c r="J76" s="12">
        <f>SUM(J70:J75)</f>
        <v>14282</v>
      </c>
      <c r="K76" s="12">
        <v>446</v>
      </c>
    </row>
    <row r="77" spans="1:12" x14ac:dyDescent="0.25">
      <c r="A77" s="28" t="s">
        <v>21</v>
      </c>
      <c r="B77" s="18"/>
      <c r="C77" s="2"/>
      <c r="D77" s="2"/>
      <c r="E77" s="12"/>
      <c r="I77" s="12"/>
      <c r="L77" s="14">
        <f>SUM(L73:L76)</f>
        <v>1393</v>
      </c>
    </row>
    <row r="78" spans="1:12" x14ac:dyDescent="0.25">
      <c r="A78" s="29" t="s">
        <v>11</v>
      </c>
      <c r="B78" s="2">
        <v>1019403.44</v>
      </c>
      <c r="C78" s="11">
        <f>106961.1+69302.1+74787.12+75123.55+118187.55+62900.11+71059.43+71006.24+72666.29+71018.21+87664.21</f>
        <v>880675.90999999992</v>
      </c>
      <c r="D78" s="2">
        <f>B78-C78</f>
        <v>138727.53000000003</v>
      </c>
      <c r="E78" s="12"/>
      <c r="I78" s="12"/>
    </row>
    <row r="79" spans="1:12" x14ac:dyDescent="0.25">
      <c r="A79" s="29" t="s">
        <v>12</v>
      </c>
      <c r="B79" s="2">
        <f>619090+200000</f>
        <v>819090</v>
      </c>
      <c r="C79" s="49">
        <v>994403.52</v>
      </c>
      <c r="D79" s="2">
        <f>B79-C79</f>
        <v>-175313.52000000002</v>
      </c>
      <c r="E79" s="12"/>
      <c r="I79" s="12"/>
    </row>
    <row r="80" spans="1:12" x14ac:dyDescent="0.25">
      <c r="A80" s="29" t="s">
        <v>13</v>
      </c>
      <c r="B80" s="2"/>
      <c r="C80" s="2"/>
      <c r="D80" s="2"/>
      <c r="E80" s="12"/>
      <c r="I80" s="12"/>
    </row>
    <row r="81" spans="1:11" x14ac:dyDescent="0.25">
      <c r="A81" s="29" t="s">
        <v>14</v>
      </c>
      <c r="B81" s="2"/>
      <c r="C81" s="2"/>
      <c r="D81" s="2"/>
      <c r="E81" s="12"/>
      <c r="G81" s="12">
        <f>SUM(G70:G76)</f>
        <v>16441.650000000001</v>
      </c>
      <c r="I81" s="12">
        <f>SUM(I70:I80)</f>
        <v>16187.15</v>
      </c>
      <c r="J81" s="14">
        <f>J76-16500</f>
        <v>-2218</v>
      </c>
      <c r="K81" s="14">
        <f>SUM(K70:K80)</f>
        <v>16728.5</v>
      </c>
    </row>
    <row r="82" spans="1:11" x14ac:dyDescent="0.25">
      <c r="A82" s="30" t="s">
        <v>27</v>
      </c>
      <c r="B82" s="8">
        <f>SUM(B78:B81)</f>
        <v>1838493.44</v>
      </c>
      <c r="C82" s="8">
        <f>SUM(C78:C81)</f>
        <v>1875079.43</v>
      </c>
      <c r="D82" s="8">
        <f>SUM(D78:D81)</f>
        <v>-36585.989999999991</v>
      </c>
      <c r="E82" s="12"/>
      <c r="G82" s="13">
        <f>16500</f>
        <v>16500</v>
      </c>
      <c r="I82" s="13">
        <v>16500</v>
      </c>
      <c r="K82" s="13">
        <v>16500</v>
      </c>
    </row>
    <row r="83" spans="1:11" x14ac:dyDescent="0.25">
      <c r="A83" s="18"/>
      <c r="B83" s="2"/>
      <c r="C83" s="2"/>
      <c r="D83" s="2"/>
      <c r="E83" s="12"/>
      <c r="G83" s="14">
        <f>G82-G81</f>
        <v>58.349999999998545</v>
      </c>
      <c r="I83" s="14">
        <f>I82-I81</f>
        <v>312.85000000000036</v>
      </c>
      <c r="K83" s="14">
        <f>K82-K81</f>
        <v>-228.5</v>
      </c>
    </row>
    <row r="84" spans="1:11" x14ac:dyDescent="0.25">
      <c r="A84" s="28" t="s">
        <v>22</v>
      </c>
      <c r="B84" s="18"/>
      <c r="C84" s="2"/>
      <c r="D84" s="2"/>
      <c r="E84" s="12"/>
    </row>
    <row r="85" spans="1:11" x14ac:dyDescent="0.25">
      <c r="A85" s="29" t="s">
        <v>11</v>
      </c>
      <c r="B85" s="2">
        <f>2196512.08+7500</f>
        <v>2204012.08</v>
      </c>
      <c r="C85" s="11">
        <f>213957.92+167107.92+167107.92+181107.92+243912.92+167107.92+167107.92+167107.92+167107.92+167107.92+207012.92</f>
        <v>2015747.1199999996</v>
      </c>
      <c r="D85" s="2">
        <f>B85-C85</f>
        <v>188264.96000000043</v>
      </c>
      <c r="E85" s="12"/>
    </row>
    <row r="86" spans="1:11" x14ac:dyDescent="0.25">
      <c r="A86" s="29" t="s">
        <v>12</v>
      </c>
      <c r="B86" s="2">
        <v>144544.5</v>
      </c>
      <c r="C86" s="49">
        <f>122091.55+123271</f>
        <v>245362.55</v>
      </c>
      <c r="D86" s="2">
        <f>B86-C86</f>
        <v>-100818.04999999999</v>
      </c>
      <c r="E86" s="12"/>
      <c r="F86" s="12">
        <v>123271</v>
      </c>
    </row>
    <row r="87" spans="1:11" x14ac:dyDescent="0.25">
      <c r="A87" s="29" t="s">
        <v>13</v>
      </c>
      <c r="B87" s="2"/>
      <c r="C87" s="2"/>
      <c r="D87" s="2"/>
      <c r="E87" s="12"/>
    </row>
    <row r="88" spans="1:11" x14ac:dyDescent="0.25">
      <c r="A88" s="29" t="s">
        <v>14</v>
      </c>
      <c r="B88" s="2"/>
      <c r="C88" s="2"/>
      <c r="D88" s="2"/>
      <c r="E88" s="12"/>
    </row>
    <row r="89" spans="1:11" x14ac:dyDescent="0.25">
      <c r="A89" s="30" t="s">
        <v>27</v>
      </c>
      <c r="B89" s="8">
        <f>SUM(B85:B88)</f>
        <v>2348556.58</v>
      </c>
      <c r="C89" s="8">
        <f>SUM(C85:C88)</f>
        <v>2261109.6699999995</v>
      </c>
      <c r="D89" s="8">
        <f>SUM(D85:D88)</f>
        <v>87446.91000000044</v>
      </c>
      <c r="E89" s="12"/>
    </row>
    <row r="90" spans="1:11" x14ac:dyDescent="0.25">
      <c r="A90" s="18"/>
      <c r="B90" s="2"/>
      <c r="C90" s="2"/>
      <c r="D90" s="2"/>
      <c r="E90" s="12"/>
    </row>
    <row r="91" spans="1:11" x14ac:dyDescent="0.25">
      <c r="A91" s="28" t="s">
        <v>23</v>
      </c>
      <c r="B91" s="2"/>
      <c r="C91" s="2"/>
      <c r="D91" s="2"/>
      <c r="E91" s="12"/>
    </row>
    <row r="92" spans="1:11" x14ac:dyDescent="0.25">
      <c r="A92" s="29" t="s">
        <v>11</v>
      </c>
      <c r="B92" s="2">
        <v>992283.32</v>
      </c>
      <c r="C92" s="11">
        <f>84286.36+68536.36+68486.36+75036.36+104009.86+68536.36+68286.36+68536.36+68536.36+68536.36+94759.86</f>
        <v>837546.96</v>
      </c>
      <c r="D92" s="2">
        <f>B92-C92</f>
        <v>154736.35999999999</v>
      </c>
      <c r="E92" s="12"/>
    </row>
    <row r="93" spans="1:11" x14ac:dyDescent="0.25">
      <c r="A93" s="29" t="s">
        <v>12</v>
      </c>
      <c r="B93" s="2">
        <v>157000.95000000001</v>
      </c>
      <c r="C93" s="49">
        <v>135371.75</v>
      </c>
      <c r="D93" s="2">
        <f>B93-C93</f>
        <v>21629.200000000012</v>
      </c>
      <c r="E93" s="12"/>
    </row>
    <row r="94" spans="1:11" x14ac:dyDescent="0.25">
      <c r="A94" s="29" t="s">
        <v>13</v>
      </c>
      <c r="B94" s="2">
        <v>20000</v>
      </c>
      <c r="C94" s="2"/>
      <c r="D94" s="2"/>
      <c r="E94" s="12"/>
    </row>
    <row r="95" spans="1:11" x14ac:dyDescent="0.25">
      <c r="A95" s="29" t="s">
        <v>14</v>
      </c>
      <c r="B95" s="2"/>
      <c r="C95" s="2"/>
      <c r="D95" s="2"/>
      <c r="E95" s="12"/>
    </row>
    <row r="96" spans="1:11" x14ac:dyDescent="0.25">
      <c r="A96" s="30" t="s">
        <v>27</v>
      </c>
      <c r="B96" s="8">
        <f>SUM(B92:B95)</f>
        <v>1169284.27</v>
      </c>
      <c r="C96" s="8">
        <f>SUM(C92:C95)</f>
        <v>972918.71</v>
      </c>
      <c r="D96" s="8">
        <f>SUM(D92:D95)</f>
        <v>176365.56</v>
      </c>
      <c r="E96" s="12"/>
    </row>
    <row r="97" spans="1:5" x14ac:dyDescent="0.25">
      <c r="A97" s="18"/>
      <c r="B97" s="2"/>
      <c r="C97" s="2"/>
      <c r="D97" s="2"/>
      <c r="E97" s="12"/>
    </row>
    <row r="98" spans="1:5" x14ac:dyDescent="0.25">
      <c r="A98" s="28" t="s">
        <v>24</v>
      </c>
      <c r="B98" s="2"/>
      <c r="C98" s="2"/>
      <c r="D98" s="2"/>
      <c r="E98" s="12"/>
    </row>
    <row r="99" spans="1:5" x14ac:dyDescent="0.25">
      <c r="A99" s="29" t="s">
        <v>11</v>
      </c>
      <c r="B99" s="2">
        <v>752074.44</v>
      </c>
      <c r="C99" s="11">
        <f>68568.62+56568.62+56568.62+62568.62+84194.12+56568.62+56568.62+56568.62+56568.62+56568.62+73794.12</f>
        <v>685105.82</v>
      </c>
      <c r="D99" s="2">
        <f>B99-C99</f>
        <v>66968.62</v>
      </c>
      <c r="E99" s="12"/>
    </row>
    <row r="100" spans="1:5" x14ac:dyDescent="0.25">
      <c r="A100" s="29" t="s">
        <v>12</v>
      </c>
      <c r="B100" s="2">
        <v>72539.5</v>
      </c>
      <c r="C100" s="49">
        <v>49176.480000000003</v>
      </c>
      <c r="D100" s="2">
        <f>B100-C100</f>
        <v>23363.019999999997</v>
      </c>
      <c r="E100" s="12"/>
    </row>
    <row r="101" spans="1:5" x14ac:dyDescent="0.25">
      <c r="A101" s="29" t="s">
        <v>13</v>
      </c>
      <c r="B101" s="2"/>
      <c r="C101" s="2"/>
      <c r="D101" s="2"/>
      <c r="E101" s="12"/>
    </row>
    <row r="102" spans="1:5" x14ac:dyDescent="0.25">
      <c r="A102" s="29" t="s">
        <v>14</v>
      </c>
      <c r="B102" s="2"/>
      <c r="C102" s="2"/>
      <c r="D102" s="2"/>
      <c r="E102" s="12"/>
    </row>
    <row r="103" spans="1:5" x14ac:dyDescent="0.25">
      <c r="A103" s="30" t="s">
        <v>27</v>
      </c>
      <c r="B103" s="8">
        <f>SUM(B99:B102)</f>
        <v>824613.94</v>
      </c>
      <c r="C103" s="8">
        <f>SUM(C99:C102)</f>
        <v>734282.29999999993</v>
      </c>
      <c r="D103" s="8">
        <f>SUM(D99:D102)</f>
        <v>90331.639999999985</v>
      </c>
      <c r="E103" s="12"/>
    </row>
    <row r="104" spans="1:5" x14ac:dyDescent="0.25">
      <c r="A104" s="18"/>
      <c r="B104" s="2"/>
      <c r="C104" s="2"/>
      <c r="D104" s="2"/>
      <c r="E104" s="12"/>
    </row>
    <row r="105" spans="1:5" x14ac:dyDescent="0.25">
      <c r="A105" s="28" t="s">
        <v>25</v>
      </c>
      <c r="B105" s="2"/>
      <c r="C105" s="2"/>
      <c r="D105" s="2"/>
      <c r="E105" s="12"/>
    </row>
    <row r="106" spans="1:5" x14ac:dyDescent="0.25">
      <c r="A106" s="29" t="s">
        <v>11</v>
      </c>
      <c r="B106" s="2">
        <v>834996</v>
      </c>
      <c r="C106" s="11">
        <f>74640.31+62740.31+62640.31+68640.31+92196.81+63129.75+63129.75+63229.75+63229.75+63129.75+78729.25</f>
        <v>755436.05</v>
      </c>
      <c r="D106" s="2">
        <f>B106-C106</f>
        <v>79559.949999999953</v>
      </c>
      <c r="E106" s="12"/>
    </row>
    <row r="107" spans="1:5" x14ac:dyDescent="0.25">
      <c r="A107" s="29" t="s">
        <v>12</v>
      </c>
      <c r="B107" s="2">
        <v>45705</v>
      </c>
      <c r="C107" s="49">
        <v>23936</v>
      </c>
      <c r="D107" s="2">
        <f>B107-C107</f>
        <v>21769</v>
      </c>
      <c r="E107" s="12"/>
    </row>
    <row r="108" spans="1:5" x14ac:dyDescent="0.25">
      <c r="A108" s="29" t="s">
        <v>13</v>
      </c>
      <c r="B108" s="2">
        <f>20000+22500</f>
        <v>42500</v>
      </c>
      <c r="C108" s="2"/>
      <c r="D108" s="2"/>
      <c r="E108" s="12"/>
    </row>
    <row r="109" spans="1:5" x14ac:dyDescent="0.25">
      <c r="A109" s="29" t="s">
        <v>14</v>
      </c>
      <c r="B109" s="2"/>
      <c r="C109" s="2"/>
      <c r="D109" s="2"/>
      <c r="E109" s="12"/>
    </row>
    <row r="110" spans="1:5" x14ac:dyDescent="0.25">
      <c r="A110" s="30" t="s">
        <v>27</v>
      </c>
      <c r="B110" s="8">
        <f>SUM(B106:B109)</f>
        <v>923201</v>
      </c>
      <c r="C110" s="8">
        <f>SUM(C106:C109)</f>
        <v>779372.05</v>
      </c>
      <c r="D110" s="8">
        <f>SUM(D106:D109)</f>
        <v>101328.94999999995</v>
      </c>
      <c r="E110" s="12"/>
    </row>
    <row r="111" spans="1:5" x14ac:dyDescent="0.25">
      <c r="A111" s="18"/>
      <c r="B111" s="2"/>
      <c r="C111" s="2"/>
      <c r="D111" s="2"/>
      <c r="E111" s="12"/>
    </row>
    <row r="112" spans="1:5" x14ac:dyDescent="0.25">
      <c r="A112" s="28" t="s">
        <v>26</v>
      </c>
      <c r="B112" s="2"/>
      <c r="C112" s="2"/>
      <c r="D112" s="2"/>
      <c r="E112" s="12"/>
    </row>
    <row r="113" spans="1:6" x14ac:dyDescent="0.25">
      <c r="A113" s="29" t="s">
        <v>11</v>
      </c>
      <c r="B113" s="2"/>
      <c r="C113" s="2"/>
      <c r="D113" s="2">
        <f>B113-C113</f>
        <v>0</v>
      </c>
      <c r="E113" s="12"/>
    </row>
    <row r="114" spans="1:6" x14ac:dyDescent="0.25">
      <c r="A114" s="29" t="s">
        <v>12</v>
      </c>
      <c r="B114" s="2">
        <v>42119</v>
      </c>
      <c r="C114" s="49">
        <f>7267+12690</f>
        <v>19957</v>
      </c>
      <c r="D114" s="2">
        <f>B114-C114</f>
        <v>22162</v>
      </c>
      <c r="E114" s="12"/>
    </row>
    <row r="115" spans="1:6" x14ac:dyDescent="0.25">
      <c r="A115" s="29" t="s">
        <v>13</v>
      </c>
      <c r="B115" s="2"/>
      <c r="C115" s="2"/>
      <c r="D115" s="2"/>
      <c r="E115" s="12"/>
    </row>
    <row r="116" spans="1:6" x14ac:dyDescent="0.25">
      <c r="A116" s="29" t="s">
        <v>14</v>
      </c>
      <c r="B116" s="2"/>
      <c r="C116" s="2"/>
      <c r="D116" s="2"/>
      <c r="E116" s="12"/>
    </row>
    <row r="117" spans="1:6" x14ac:dyDescent="0.25">
      <c r="A117" s="30" t="s">
        <v>27</v>
      </c>
      <c r="B117" s="8">
        <f>SUM(B113:B116)</f>
        <v>42119</v>
      </c>
      <c r="C117" s="8">
        <f>SUM(C113:C116)</f>
        <v>19957</v>
      </c>
      <c r="D117" s="8">
        <f>SUM(D113:D116)</f>
        <v>22162</v>
      </c>
      <c r="E117" s="12"/>
    </row>
    <row r="118" spans="1:6" ht="15.75" thickBot="1" x14ac:dyDescent="0.3">
      <c r="A118" s="38"/>
      <c r="B118" s="9"/>
      <c r="C118" s="9"/>
      <c r="D118" s="9"/>
      <c r="E118" s="12"/>
    </row>
    <row r="119" spans="1:6" x14ac:dyDescent="0.25">
      <c r="B119" s="12"/>
      <c r="C119" s="12"/>
      <c r="D119" s="12"/>
      <c r="E119" s="12"/>
    </row>
    <row r="120" spans="1:6" x14ac:dyDescent="0.25">
      <c r="B120" s="12"/>
      <c r="C120" s="12"/>
      <c r="D120" s="12"/>
      <c r="E120" s="12"/>
    </row>
    <row r="121" spans="1:6" x14ac:dyDescent="0.25">
      <c r="B121" s="12"/>
      <c r="C121" s="12"/>
      <c r="D121" s="12"/>
      <c r="E121" s="12" t="s">
        <v>124</v>
      </c>
    </row>
    <row r="122" spans="1:6" x14ac:dyDescent="0.25">
      <c r="A122" s="36"/>
      <c r="B122" s="10"/>
      <c r="C122" s="10"/>
      <c r="D122" s="10"/>
      <c r="E122" s="12"/>
    </row>
    <row r="123" spans="1:6" ht="15.75" x14ac:dyDescent="0.25">
      <c r="A123" s="93" t="s">
        <v>197</v>
      </c>
      <c r="B123" s="94"/>
      <c r="C123" s="94"/>
      <c r="D123" s="94"/>
      <c r="E123" s="12"/>
    </row>
    <row r="124" spans="1:6" x14ac:dyDescent="0.25">
      <c r="A124" s="95" t="s">
        <v>196</v>
      </c>
      <c r="B124" s="95"/>
      <c r="C124" s="95"/>
      <c r="D124" s="95"/>
      <c r="E124" s="12"/>
    </row>
    <row r="125" spans="1:6" x14ac:dyDescent="0.25">
      <c r="A125" s="36"/>
      <c r="B125" s="10"/>
      <c r="C125" s="10"/>
      <c r="D125" s="10"/>
      <c r="E125" s="12"/>
      <c r="F125" s="13" t="s">
        <v>156</v>
      </c>
    </row>
    <row r="126" spans="1:6" x14ac:dyDescent="0.25">
      <c r="A126" s="88" t="s">
        <v>4</v>
      </c>
      <c r="B126" s="88" t="s">
        <v>5</v>
      </c>
      <c r="C126" s="88" t="s">
        <v>132</v>
      </c>
      <c r="D126" s="15" t="s">
        <v>8</v>
      </c>
      <c r="E126" s="12"/>
    </row>
    <row r="127" spans="1:6" x14ac:dyDescent="0.25">
      <c r="A127" s="89"/>
      <c r="B127" s="89"/>
      <c r="C127" s="89"/>
      <c r="D127" s="16" t="s">
        <v>5</v>
      </c>
      <c r="E127" s="12"/>
    </row>
    <row r="128" spans="1:6" x14ac:dyDescent="0.25">
      <c r="A128" s="17"/>
      <c r="B128" s="19"/>
      <c r="C128" s="19"/>
      <c r="D128" s="19"/>
      <c r="E128" s="12"/>
    </row>
    <row r="129" spans="1:9" x14ac:dyDescent="0.25">
      <c r="A129" s="18" t="s">
        <v>38</v>
      </c>
      <c r="B129" s="2">
        <v>35000</v>
      </c>
      <c r="C129" s="2"/>
      <c r="D129" s="2">
        <f t="shared" ref="D129:D157" si="0">B129-C129</f>
        <v>35000</v>
      </c>
      <c r="E129" s="12"/>
    </row>
    <row r="130" spans="1:9" x14ac:dyDescent="0.25">
      <c r="A130" s="18" t="s">
        <v>32</v>
      </c>
      <c r="B130" s="2">
        <v>250000</v>
      </c>
      <c r="C130" s="2">
        <v>38250.17</v>
      </c>
      <c r="D130" s="2">
        <f t="shared" si="0"/>
        <v>211749.83000000002</v>
      </c>
      <c r="E130" s="12"/>
    </row>
    <row r="131" spans="1:9" x14ac:dyDescent="0.25">
      <c r="A131" s="18" t="s">
        <v>35</v>
      </c>
      <c r="B131" s="2">
        <v>430000</v>
      </c>
      <c r="C131" s="2">
        <v>518571</v>
      </c>
      <c r="D131" s="2">
        <f t="shared" si="0"/>
        <v>-88571</v>
      </c>
      <c r="E131" s="12" t="s">
        <v>127</v>
      </c>
      <c r="F131" s="12">
        <v>123271</v>
      </c>
      <c r="G131" s="12"/>
    </row>
    <row r="132" spans="1:9" x14ac:dyDescent="0.25">
      <c r="A132" s="18" t="s">
        <v>96</v>
      </c>
      <c r="B132" s="2">
        <v>200000</v>
      </c>
      <c r="C132" s="2">
        <v>29072.080000000002</v>
      </c>
      <c r="D132" s="2">
        <f t="shared" si="0"/>
        <v>170927.91999999998</v>
      </c>
      <c r="E132" s="12"/>
      <c r="G132" s="12">
        <v>857870</v>
      </c>
    </row>
    <row r="133" spans="1:9" x14ac:dyDescent="0.25">
      <c r="A133" s="18" t="s">
        <v>100</v>
      </c>
      <c r="B133" s="2">
        <v>300000</v>
      </c>
      <c r="C133" s="2"/>
      <c r="D133" s="2">
        <f t="shared" si="0"/>
        <v>300000</v>
      </c>
      <c r="E133" s="12"/>
      <c r="G133" s="12"/>
    </row>
    <row r="134" spans="1:9" x14ac:dyDescent="0.25">
      <c r="A134" s="18" t="s">
        <v>181</v>
      </c>
      <c r="B134" s="2">
        <v>180000</v>
      </c>
      <c r="C134" s="2">
        <v>1212</v>
      </c>
      <c r="D134" s="2">
        <f t="shared" si="0"/>
        <v>178788</v>
      </c>
      <c r="E134" s="12"/>
      <c r="G134" s="12"/>
      <c r="I134" s="13">
        <f>30*6</f>
        <v>180</v>
      </c>
    </row>
    <row r="135" spans="1:9" x14ac:dyDescent="0.25">
      <c r="A135" s="18" t="s">
        <v>198</v>
      </c>
      <c r="B135" s="2"/>
      <c r="C135" s="2"/>
      <c r="D135" s="2">
        <f t="shared" si="0"/>
        <v>0</v>
      </c>
      <c r="E135" s="12" t="s">
        <v>120</v>
      </c>
      <c r="F135" s="12">
        <v>131800</v>
      </c>
      <c r="G135" s="12">
        <f>G132*55%</f>
        <v>471828.50000000006</v>
      </c>
      <c r="I135" s="13">
        <f>I134*12</f>
        <v>2160</v>
      </c>
    </row>
    <row r="136" spans="1:9" x14ac:dyDescent="0.25">
      <c r="A136" s="18" t="s">
        <v>146</v>
      </c>
      <c r="B136" s="2">
        <v>300000</v>
      </c>
      <c r="C136" s="2">
        <v>369187.5</v>
      </c>
      <c r="D136" s="2">
        <f t="shared" si="0"/>
        <v>-69187.5</v>
      </c>
      <c r="G136" s="12"/>
    </row>
    <row r="137" spans="1:9" x14ac:dyDescent="0.25">
      <c r="A137" s="18" t="s">
        <v>147</v>
      </c>
      <c r="B137" s="2">
        <v>400000</v>
      </c>
      <c r="C137" s="2">
        <v>500000</v>
      </c>
      <c r="D137" s="2">
        <f t="shared" si="0"/>
        <v>-100000</v>
      </c>
      <c r="G137" s="12"/>
    </row>
    <row r="138" spans="1:9" x14ac:dyDescent="0.25">
      <c r="A138" s="18" t="s">
        <v>148</v>
      </c>
      <c r="B138" s="2">
        <v>200000</v>
      </c>
      <c r="C138" s="2"/>
      <c r="D138" s="2">
        <f t="shared" si="0"/>
        <v>200000</v>
      </c>
      <c r="E138" s="13" t="s">
        <v>126</v>
      </c>
      <c r="F138" s="12">
        <v>63020</v>
      </c>
      <c r="G138" s="12">
        <f>150*3000</f>
        <v>450000</v>
      </c>
      <c r="I138" s="13">
        <f>300*150</f>
        <v>45000</v>
      </c>
    </row>
    <row r="139" spans="1:9" x14ac:dyDescent="0.25">
      <c r="A139" s="18" t="s">
        <v>149</v>
      </c>
      <c r="B139" s="2">
        <v>100000</v>
      </c>
      <c r="C139" s="2"/>
      <c r="D139" s="2">
        <f t="shared" si="0"/>
        <v>100000</v>
      </c>
      <c r="E139" s="13" t="s">
        <v>125</v>
      </c>
      <c r="F139" s="12">
        <v>3999</v>
      </c>
      <c r="G139" s="12"/>
    </row>
    <row r="140" spans="1:9" x14ac:dyDescent="0.25">
      <c r="A140" s="18" t="s">
        <v>199</v>
      </c>
      <c r="B140" s="2">
        <v>125000</v>
      </c>
      <c r="C140" s="2">
        <f>8000+41725</f>
        <v>49725</v>
      </c>
      <c r="D140" s="2">
        <f t="shared" si="0"/>
        <v>75275</v>
      </c>
      <c r="G140" s="13">
        <f>35*3</f>
        <v>105</v>
      </c>
    </row>
    <row r="141" spans="1:9" x14ac:dyDescent="0.25">
      <c r="A141" s="18" t="s">
        <v>36</v>
      </c>
      <c r="B141" s="2">
        <v>20000</v>
      </c>
      <c r="C141" s="2"/>
      <c r="D141" s="2">
        <f t="shared" si="0"/>
        <v>20000</v>
      </c>
      <c r="E141" s="13" t="s">
        <v>125</v>
      </c>
      <c r="F141" s="12">
        <v>2074.83</v>
      </c>
      <c r="G141" s="13">
        <f>G140*6</f>
        <v>630</v>
      </c>
    </row>
    <row r="142" spans="1:9" x14ac:dyDescent="0.25">
      <c r="A142" s="18" t="s">
        <v>98</v>
      </c>
      <c r="B142" s="2">
        <v>80000</v>
      </c>
      <c r="C142" s="2">
        <v>8719</v>
      </c>
      <c r="D142" s="2">
        <f t="shared" si="0"/>
        <v>71281</v>
      </c>
    </row>
    <row r="143" spans="1:9" x14ac:dyDescent="0.25">
      <c r="A143" s="18" t="s">
        <v>94</v>
      </c>
      <c r="B143" s="2">
        <v>75000</v>
      </c>
      <c r="C143" s="2">
        <v>32000</v>
      </c>
      <c r="D143" s="2">
        <f t="shared" si="0"/>
        <v>43000</v>
      </c>
    </row>
    <row r="144" spans="1:9" x14ac:dyDescent="0.25">
      <c r="A144" s="18" t="s">
        <v>200</v>
      </c>
      <c r="B144" s="2">
        <v>75000</v>
      </c>
      <c r="C144" s="2"/>
      <c r="D144" s="2">
        <f t="shared" si="0"/>
        <v>75000</v>
      </c>
    </row>
    <row r="145" spans="1:10" x14ac:dyDescent="0.25">
      <c r="A145" s="18" t="s">
        <v>201</v>
      </c>
      <c r="B145" s="2">
        <v>1200000</v>
      </c>
      <c r="C145" s="2">
        <v>1848327.5</v>
      </c>
      <c r="D145" s="2">
        <f t="shared" si="0"/>
        <v>-648327.5</v>
      </c>
      <c r="E145" s="13" t="s">
        <v>129</v>
      </c>
      <c r="F145" s="12">
        <v>190903.53</v>
      </c>
    </row>
    <row r="146" spans="1:10" x14ac:dyDescent="0.25">
      <c r="A146" s="18" t="s">
        <v>49</v>
      </c>
      <c r="B146" s="2">
        <v>100000</v>
      </c>
      <c r="C146" s="2">
        <v>100000</v>
      </c>
      <c r="D146" s="2">
        <f t="shared" si="0"/>
        <v>0</v>
      </c>
      <c r="E146" s="13" t="s">
        <v>128</v>
      </c>
      <c r="F146" s="12">
        <v>50659.05</v>
      </c>
    </row>
    <row r="147" spans="1:10" x14ac:dyDescent="0.25">
      <c r="A147" s="18" t="s">
        <v>33</v>
      </c>
      <c r="B147" s="2">
        <v>150000</v>
      </c>
      <c r="C147" s="2">
        <v>157300</v>
      </c>
      <c r="D147" s="2">
        <f t="shared" si="0"/>
        <v>-7300</v>
      </c>
      <c r="E147" s="12" t="s">
        <v>120</v>
      </c>
      <c r="F147" s="12">
        <v>246771</v>
      </c>
    </row>
    <row r="148" spans="1:10" x14ac:dyDescent="0.25">
      <c r="A148" s="18" t="s">
        <v>41</v>
      </c>
      <c r="B148" s="2">
        <v>70000</v>
      </c>
      <c r="C148" s="2"/>
      <c r="D148" s="2">
        <f t="shared" si="0"/>
        <v>70000</v>
      </c>
    </row>
    <row r="149" spans="1:10" x14ac:dyDescent="0.25">
      <c r="A149" s="18" t="s">
        <v>153</v>
      </c>
      <c r="B149" s="2">
        <v>800000</v>
      </c>
      <c r="C149" s="2">
        <v>288981.34999999998</v>
      </c>
      <c r="D149" s="2">
        <f t="shared" si="0"/>
        <v>511018.65</v>
      </c>
    </row>
    <row r="150" spans="1:10" x14ac:dyDescent="0.25">
      <c r="A150" s="18" t="s">
        <v>50</v>
      </c>
      <c r="B150" s="2">
        <v>20000</v>
      </c>
      <c r="C150" s="2"/>
      <c r="D150" s="2">
        <f t="shared" si="0"/>
        <v>20000</v>
      </c>
    </row>
    <row r="151" spans="1:10" x14ac:dyDescent="0.25">
      <c r="A151" s="18" t="s">
        <v>102</v>
      </c>
      <c r="B151" s="2">
        <v>15000</v>
      </c>
      <c r="C151" s="2">
        <v>9233.5</v>
      </c>
      <c r="D151" s="2">
        <f t="shared" si="0"/>
        <v>5766.5</v>
      </c>
    </row>
    <row r="152" spans="1:10" x14ac:dyDescent="0.25">
      <c r="A152" s="18" t="s">
        <v>51</v>
      </c>
      <c r="B152" s="2">
        <v>750000</v>
      </c>
      <c r="C152" s="2">
        <v>161919</v>
      </c>
      <c r="D152" s="2">
        <f t="shared" si="0"/>
        <v>588081</v>
      </c>
    </row>
    <row r="153" spans="1:10" x14ac:dyDescent="0.25">
      <c r="A153" s="18" t="s">
        <v>52</v>
      </c>
      <c r="B153" s="2">
        <v>50000</v>
      </c>
      <c r="C153" s="2">
        <v>411</v>
      </c>
      <c r="D153" s="2">
        <f t="shared" si="0"/>
        <v>49589</v>
      </c>
      <c r="G153" s="14"/>
    </row>
    <row r="154" spans="1:10" x14ac:dyDescent="0.25">
      <c r="A154" s="18" t="s">
        <v>184</v>
      </c>
      <c r="B154" s="2">
        <v>200000</v>
      </c>
      <c r="C154" s="2"/>
      <c r="D154" s="2">
        <f t="shared" si="0"/>
        <v>200000</v>
      </c>
    </row>
    <row r="155" spans="1:10" x14ac:dyDescent="0.25">
      <c r="A155" s="18" t="s">
        <v>37</v>
      </c>
      <c r="B155" s="2">
        <v>40247.599999999999</v>
      </c>
      <c r="C155" s="2"/>
      <c r="D155" s="2">
        <f t="shared" si="0"/>
        <v>40247.599999999999</v>
      </c>
    </row>
    <row r="156" spans="1:10" x14ac:dyDescent="0.25">
      <c r="A156" s="18" t="s">
        <v>180</v>
      </c>
      <c r="B156" s="2">
        <v>400000</v>
      </c>
      <c r="C156" s="2"/>
      <c r="D156" s="2">
        <f t="shared" si="0"/>
        <v>400000</v>
      </c>
    </row>
    <row r="157" spans="1:10" x14ac:dyDescent="0.25">
      <c r="A157" s="18" t="s">
        <v>202</v>
      </c>
      <c r="B157" s="2">
        <v>700000</v>
      </c>
      <c r="C157" s="2">
        <v>582303</v>
      </c>
      <c r="D157" s="2">
        <f t="shared" si="0"/>
        <v>117697</v>
      </c>
    </row>
    <row r="158" spans="1:10" x14ac:dyDescent="0.25">
      <c r="A158" s="39"/>
      <c r="B158" s="6"/>
      <c r="C158" s="6"/>
      <c r="D158" s="2"/>
      <c r="I158" s="13" t="e">
        <f>SUM(#REF!)</f>
        <v>#REF!</v>
      </c>
      <c r="J158" s="13" t="s">
        <v>131</v>
      </c>
    </row>
    <row r="159" spans="1:10" x14ac:dyDescent="0.25">
      <c r="A159" s="30" t="s">
        <v>27</v>
      </c>
      <c r="B159" s="8">
        <f>SUM(B129:B158)</f>
        <v>7265247.5999999996</v>
      </c>
      <c r="C159" s="8">
        <f>SUM(C129:C158)</f>
        <v>4695212.0999999996</v>
      </c>
      <c r="D159" s="8">
        <f>SUM(D129:D158)</f>
        <v>2570035.5</v>
      </c>
      <c r="G159" s="13">
        <f>SUM(G158:G158)</f>
        <v>0</v>
      </c>
      <c r="H159" s="13" t="s">
        <v>130</v>
      </c>
    </row>
    <row r="160" spans="1:10" x14ac:dyDescent="0.25">
      <c r="B160" s="7"/>
    </row>
    <row r="161" spans="1:4" x14ac:dyDescent="0.25">
      <c r="A161" s="45" t="s">
        <v>65</v>
      </c>
      <c r="B161" s="14"/>
      <c r="C161" s="14"/>
    </row>
    <row r="162" spans="1:4" x14ac:dyDescent="0.25">
      <c r="B162" s="14"/>
      <c r="C162" s="12"/>
    </row>
    <row r="163" spans="1:4" x14ac:dyDescent="0.25">
      <c r="B163" s="14"/>
      <c r="C163" s="12"/>
    </row>
    <row r="164" spans="1:4" x14ac:dyDescent="0.25">
      <c r="A164" s="13" t="s">
        <v>133</v>
      </c>
      <c r="B164" s="14"/>
      <c r="C164" s="12"/>
    </row>
    <row r="165" spans="1:4" x14ac:dyDescent="0.25">
      <c r="A165" s="13" t="s">
        <v>134</v>
      </c>
      <c r="B165" s="14"/>
      <c r="C165" s="12" t="s">
        <v>135</v>
      </c>
    </row>
    <row r="166" spans="1:4" x14ac:dyDescent="0.25">
      <c r="B166" s="14"/>
    </row>
    <row r="167" spans="1:4" x14ac:dyDescent="0.25">
      <c r="C167" s="10"/>
    </row>
    <row r="168" spans="1:4" x14ac:dyDescent="0.25">
      <c r="A168" s="36"/>
      <c r="B168" s="10"/>
      <c r="C168" s="10" t="s">
        <v>136</v>
      </c>
      <c r="D168" s="10"/>
    </row>
    <row r="169" spans="1:4" x14ac:dyDescent="0.25">
      <c r="A169" s="36"/>
      <c r="B169" s="10"/>
      <c r="C169" s="10" t="s">
        <v>137</v>
      </c>
      <c r="D169" s="10"/>
    </row>
    <row r="170" spans="1:4" x14ac:dyDescent="0.25">
      <c r="A170" s="36"/>
      <c r="B170" s="10"/>
      <c r="D170" s="10"/>
    </row>
    <row r="171" spans="1:4" x14ac:dyDescent="0.25">
      <c r="A171" s="36"/>
      <c r="B171" s="10"/>
      <c r="C171" s="10"/>
      <c r="D171" s="10"/>
    </row>
    <row r="172" spans="1:4" x14ac:dyDescent="0.25">
      <c r="A172" s="36"/>
      <c r="B172" s="10"/>
      <c r="C172" s="10"/>
      <c r="D172" s="10"/>
    </row>
    <row r="173" spans="1:4" x14ac:dyDescent="0.25">
      <c r="A173" s="88" t="s">
        <v>4</v>
      </c>
      <c r="B173" s="88" t="s">
        <v>5</v>
      </c>
      <c r="C173" s="88" t="s">
        <v>7</v>
      </c>
      <c r="D173" s="15" t="s">
        <v>8</v>
      </c>
    </row>
    <row r="174" spans="1:4" x14ac:dyDescent="0.25">
      <c r="A174" s="89"/>
      <c r="B174" s="89"/>
      <c r="C174" s="89"/>
      <c r="D174" s="16" t="s">
        <v>5</v>
      </c>
    </row>
    <row r="175" spans="1:4" x14ac:dyDescent="0.25">
      <c r="A175" s="17"/>
      <c r="B175" s="17"/>
      <c r="C175" s="17"/>
      <c r="D175" s="17"/>
    </row>
    <row r="176" spans="1:4" x14ac:dyDescent="0.25">
      <c r="A176" s="28" t="s">
        <v>53</v>
      </c>
      <c r="B176" s="18"/>
      <c r="C176" s="18"/>
      <c r="D176" s="18"/>
    </row>
    <row r="177" spans="1:8" x14ac:dyDescent="0.25">
      <c r="A177" s="29" t="s">
        <v>11</v>
      </c>
      <c r="B177" s="2"/>
      <c r="C177" s="2"/>
      <c r="D177" s="2"/>
    </row>
    <row r="178" spans="1:8" x14ac:dyDescent="0.25">
      <c r="A178" s="4" t="s">
        <v>58</v>
      </c>
      <c r="B178" s="2">
        <f>151694.65+400000</f>
        <v>551694.65</v>
      </c>
      <c r="C178" s="2">
        <v>262959.65000000002</v>
      </c>
      <c r="D178" s="2">
        <f t="shared" ref="D178:D197" si="1">B178-C178</f>
        <v>288735</v>
      </c>
    </row>
    <row r="179" spans="1:8" x14ac:dyDescent="0.25">
      <c r="A179" s="4" t="s">
        <v>59</v>
      </c>
      <c r="B179" s="2">
        <f>500000+700000</f>
        <v>1200000</v>
      </c>
      <c r="C179" s="11">
        <v>1072500</v>
      </c>
      <c r="D179" s="2">
        <f t="shared" si="1"/>
        <v>127500</v>
      </c>
      <c r="F179" s="14">
        <f>C179*12</f>
        <v>12870000</v>
      </c>
    </row>
    <row r="180" spans="1:8" x14ac:dyDescent="0.25">
      <c r="A180" s="46" t="s">
        <v>123</v>
      </c>
      <c r="B180" s="2">
        <v>300000</v>
      </c>
      <c r="C180" s="18"/>
      <c r="D180" s="2">
        <f t="shared" si="1"/>
        <v>300000</v>
      </c>
      <c r="H180" s="13">
        <v>1000</v>
      </c>
    </row>
    <row r="181" spans="1:8" x14ac:dyDescent="0.25">
      <c r="A181" s="29" t="s">
        <v>12</v>
      </c>
      <c r="B181" s="2"/>
      <c r="C181" s="2"/>
      <c r="D181" s="2">
        <f t="shared" si="1"/>
        <v>0</v>
      </c>
      <c r="F181" s="14">
        <f>B182/4</f>
        <v>418209.08250000002</v>
      </c>
      <c r="H181" s="13">
        <v>50000</v>
      </c>
    </row>
    <row r="182" spans="1:8" x14ac:dyDescent="0.25">
      <c r="A182" s="4" t="s">
        <v>54</v>
      </c>
      <c r="B182" s="2">
        <v>1672836.33</v>
      </c>
      <c r="C182" s="2">
        <v>20000</v>
      </c>
      <c r="D182" s="2">
        <f t="shared" si="1"/>
        <v>1652836.33</v>
      </c>
      <c r="H182" s="13">
        <f>H180/H181</f>
        <v>0.02</v>
      </c>
    </row>
    <row r="183" spans="1:8" x14ac:dyDescent="0.25">
      <c r="A183" s="4" t="s">
        <v>55</v>
      </c>
      <c r="B183" s="2">
        <v>15000</v>
      </c>
      <c r="C183" s="2"/>
      <c r="D183" s="2">
        <f t="shared" si="1"/>
        <v>15000</v>
      </c>
      <c r="F183" s="13">
        <v>1500</v>
      </c>
    </row>
    <row r="184" spans="1:8" x14ac:dyDescent="0.25">
      <c r="A184" s="4" t="s">
        <v>56</v>
      </c>
      <c r="B184" s="2">
        <v>20000</v>
      </c>
      <c r="C184" s="2"/>
      <c r="D184" s="2">
        <f t="shared" si="1"/>
        <v>20000</v>
      </c>
      <c r="F184" s="13">
        <v>10800</v>
      </c>
    </row>
    <row r="185" spans="1:8" x14ac:dyDescent="0.25">
      <c r="A185" s="4" t="s">
        <v>57</v>
      </c>
      <c r="B185" s="2">
        <v>50000</v>
      </c>
      <c r="C185" s="2">
        <f>23300+13000</f>
        <v>36300</v>
      </c>
      <c r="D185" s="2">
        <f t="shared" si="1"/>
        <v>13700</v>
      </c>
      <c r="F185" s="13">
        <v>7200</v>
      </c>
      <c r="H185" s="13">
        <f>91*500</f>
        <v>45500</v>
      </c>
    </row>
    <row r="186" spans="1:8" x14ac:dyDescent="0.25">
      <c r="A186" s="4" t="s">
        <v>60</v>
      </c>
      <c r="B186" s="2">
        <f>400000+600000</f>
        <v>1000000</v>
      </c>
      <c r="C186" s="11">
        <f>300000+450000</f>
        <v>750000</v>
      </c>
      <c r="D186" s="2">
        <f t="shared" si="1"/>
        <v>250000</v>
      </c>
      <c r="F186" s="13">
        <f>SUM(F183:F185)</f>
        <v>19500</v>
      </c>
    </row>
    <row r="187" spans="1:8" x14ac:dyDescent="0.25">
      <c r="A187" s="4" t="s">
        <v>111</v>
      </c>
      <c r="B187" s="2">
        <v>20000</v>
      </c>
      <c r="C187" s="11">
        <v>22473</v>
      </c>
      <c r="D187" s="2">
        <f t="shared" si="1"/>
        <v>-2473</v>
      </c>
      <c r="G187" s="12">
        <v>1800000</v>
      </c>
      <c r="H187" s="13">
        <f>65/2</f>
        <v>32.5</v>
      </c>
    </row>
    <row r="188" spans="1:8" x14ac:dyDescent="0.25">
      <c r="A188" s="4" t="s">
        <v>61</v>
      </c>
      <c r="B188" s="2">
        <f>300000+300000</f>
        <v>600000</v>
      </c>
      <c r="C188" s="49">
        <f>72597.82+64200+55700+131800+80339.16+101467.05</f>
        <v>506104.02999999997</v>
      </c>
      <c r="D188" s="2">
        <f t="shared" si="1"/>
        <v>93895.97000000003</v>
      </c>
      <c r="F188" s="12">
        <v>80339.16</v>
      </c>
      <c r="G188" s="12">
        <v>507550</v>
      </c>
    </row>
    <row r="189" spans="1:8" x14ac:dyDescent="0.25">
      <c r="A189" s="4" t="s">
        <v>112</v>
      </c>
      <c r="B189" s="2">
        <f>500000+300000</f>
        <v>800000</v>
      </c>
      <c r="C189" s="49">
        <v>800000</v>
      </c>
      <c r="D189" s="2">
        <f t="shared" si="1"/>
        <v>0</v>
      </c>
      <c r="E189" s="12" t="s">
        <v>128</v>
      </c>
      <c r="F189" s="12">
        <f>50659.05+50808</f>
        <v>101467.05</v>
      </c>
      <c r="G189" s="12">
        <v>946771</v>
      </c>
    </row>
    <row r="190" spans="1:8" x14ac:dyDescent="0.25">
      <c r="A190" s="4" t="s">
        <v>113</v>
      </c>
      <c r="B190" s="2">
        <f>50000</f>
        <v>50000</v>
      </c>
      <c r="C190" s="2">
        <v>47007</v>
      </c>
      <c r="D190" s="2">
        <f t="shared" si="1"/>
        <v>2993</v>
      </c>
      <c r="G190" s="12"/>
    </row>
    <row r="191" spans="1:8" x14ac:dyDescent="0.25">
      <c r="A191" s="29" t="s">
        <v>13</v>
      </c>
      <c r="B191" s="2"/>
      <c r="C191" s="2"/>
      <c r="D191" s="2">
        <f t="shared" si="1"/>
        <v>0</v>
      </c>
      <c r="G191" s="12">
        <f>SUM(G188:G190)</f>
        <v>1454321</v>
      </c>
    </row>
    <row r="192" spans="1:8" x14ac:dyDescent="0.25">
      <c r="A192" s="4" t="s">
        <v>114</v>
      </c>
      <c r="B192" s="2">
        <v>500000</v>
      </c>
      <c r="C192" s="2">
        <f>33000+371788.5+190903.53</f>
        <v>595692.03</v>
      </c>
      <c r="D192" s="2">
        <f t="shared" si="1"/>
        <v>-95692.030000000028</v>
      </c>
      <c r="F192" s="12">
        <v>95692.03</v>
      </c>
      <c r="G192" s="14">
        <f>G187-G191</f>
        <v>345679</v>
      </c>
    </row>
    <row r="193" spans="1:7" x14ac:dyDescent="0.25">
      <c r="A193" s="4" t="s">
        <v>62</v>
      </c>
      <c r="B193" s="2"/>
      <c r="C193" s="2"/>
      <c r="D193" s="2">
        <f t="shared" si="1"/>
        <v>0</v>
      </c>
      <c r="G193" s="12">
        <v>1070000</v>
      </c>
    </row>
    <row r="194" spans="1:7" x14ac:dyDescent="0.25">
      <c r="A194" s="5" t="s">
        <v>63</v>
      </c>
      <c r="B194" s="2">
        <v>1500000</v>
      </c>
      <c r="C194" s="12">
        <v>190903.53</v>
      </c>
      <c r="D194" s="2">
        <f t="shared" si="1"/>
        <v>1309096.47</v>
      </c>
      <c r="F194" s="13">
        <f>65000/95</f>
        <v>684.21052631578948</v>
      </c>
      <c r="G194" s="12">
        <v>544408.81999999995</v>
      </c>
    </row>
    <row r="195" spans="1:7" x14ac:dyDescent="0.25">
      <c r="A195" s="4" t="s">
        <v>115</v>
      </c>
      <c r="B195" s="2">
        <v>50000</v>
      </c>
      <c r="C195" s="11">
        <v>10425</v>
      </c>
      <c r="D195" s="2">
        <f t="shared" si="1"/>
        <v>39575</v>
      </c>
      <c r="G195" s="12">
        <v>301800</v>
      </c>
    </row>
    <row r="196" spans="1:7" x14ac:dyDescent="0.25">
      <c r="A196" s="4" t="s">
        <v>116</v>
      </c>
      <c r="B196" s="2">
        <v>80000</v>
      </c>
      <c r="C196" s="11">
        <v>80000</v>
      </c>
      <c r="D196" s="2">
        <f t="shared" si="1"/>
        <v>0</v>
      </c>
      <c r="G196" s="12">
        <f>SUM(G194:G195)</f>
        <v>846208.82</v>
      </c>
    </row>
    <row r="197" spans="1:7" x14ac:dyDescent="0.25">
      <c r="A197" s="4" t="s">
        <v>117</v>
      </c>
      <c r="B197" s="2">
        <v>150000</v>
      </c>
      <c r="C197" s="2">
        <v>144800</v>
      </c>
      <c r="D197" s="2">
        <f t="shared" si="1"/>
        <v>5200</v>
      </c>
      <c r="G197" s="14">
        <f>G193-G196</f>
        <v>223791.18000000005</v>
      </c>
    </row>
    <row r="198" spans="1:7" x14ac:dyDescent="0.25">
      <c r="A198" s="4"/>
      <c r="B198" s="2"/>
      <c r="C198" s="2"/>
      <c r="D198" s="2"/>
      <c r="G198" s="14">
        <f>G197+G192</f>
        <v>569470.18000000005</v>
      </c>
    </row>
    <row r="199" spans="1:7" x14ac:dyDescent="0.25">
      <c r="A199" s="41" t="s">
        <v>27</v>
      </c>
      <c r="B199" s="8">
        <f>SUM(B178:B198)</f>
        <v>8559530.9800000004</v>
      </c>
      <c r="C199" s="8">
        <f>SUM(C178:C198)</f>
        <v>4539164.24</v>
      </c>
      <c r="D199" s="8">
        <f>SUM(D178:D198)</f>
        <v>4020366.74</v>
      </c>
    </row>
    <row r="200" spans="1:7" ht="15.75" thickBot="1" x14ac:dyDescent="0.3">
      <c r="A200" s="43" t="s">
        <v>64</v>
      </c>
      <c r="B200" s="20">
        <f>B199+B159+B117+B110+B103+B96+B89+B82+B75+B57+B50+B43+B36+B29+B22+B15</f>
        <v>37677621.550000004</v>
      </c>
      <c r="C200" s="20">
        <f>C199+C159+C117+C110+C103+C96+C89+C82+C75+C57+C50+C43+C36+C29+C22+C15</f>
        <v>29502392.510000002</v>
      </c>
      <c r="D200" s="20">
        <f>D199+D159+D117+D110+D103+D96+D89+D82+D75+D57+D50+D43+D36+D29+D22+D15</f>
        <v>7704783.6599999992</v>
      </c>
    </row>
    <row r="201" spans="1:7" ht="15.75" thickTop="1" x14ac:dyDescent="0.25">
      <c r="B201" s="12"/>
      <c r="C201" s="12"/>
      <c r="D201" s="12"/>
    </row>
    <row r="202" spans="1:7" x14ac:dyDescent="0.25">
      <c r="A202" s="13" t="s">
        <v>65</v>
      </c>
      <c r="B202" s="12"/>
      <c r="C202" s="12"/>
      <c r="D202" s="12"/>
    </row>
    <row r="203" spans="1:7" x14ac:dyDescent="0.25">
      <c r="B203" s="12"/>
      <c r="C203" s="12"/>
      <c r="D203" s="12"/>
    </row>
    <row r="204" spans="1:7" x14ac:dyDescent="0.25">
      <c r="B204" s="12"/>
      <c r="C204" s="12"/>
      <c r="D204" s="12"/>
    </row>
    <row r="205" spans="1:7" x14ac:dyDescent="0.25">
      <c r="A205" s="44" t="s">
        <v>66</v>
      </c>
      <c r="B205" s="12"/>
      <c r="C205" s="12"/>
      <c r="D205" s="12"/>
    </row>
    <row r="206" spans="1:7" x14ac:dyDescent="0.25">
      <c r="A206" s="13" t="s">
        <v>67</v>
      </c>
      <c r="B206" s="12"/>
      <c r="C206" s="12"/>
      <c r="D206" s="12"/>
    </row>
    <row r="207" spans="1:7" x14ac:dyDescent="0.25">
      <c r="B207" s="12"/>
      <c r="C207" s="12">
        <v>225800</v>
      </c>
      <c r="D207" s="12"/>
    </row>
    <row r="208" spans="1:7" x14ac:dyDescent="0.25">
      <c r="B208" s="12"/>
      <c r="C208" s="12">
        <v>72597.820000000007</v>
      </c>
      <c r="D208" s="12"/>
    </row>
    <row r="209" spans="2:4" x14ac:dyDescent="0.25">
      <c r="B209" s="12"/>
      <c r="C209" s="12">
        <f>SUM(C207:C208)</f>
        <v>298397.82</v>
      </c>
      <c r="D209" s="12" t="s">
        <v>118</v>
      </c>
    </row>
    <row r="210" spans="2:4" x14ac:dyDescent="0.25">
      <c r="B210" s="12"/>
      <c r="C210" s="12"/>
      <c r="D210" s="12">
        <f>6000+11939.5+11450</f>
        <v>29389.5</v>
      </c>
    </row>
    <row r="211" spans="2:4" x14ac:dyDescent="0.25">
      <c r="B211" s="12"/>
      <c r="C211" s="12">
        <f>C188+C135</f>
        <v>506104.02999999997</v>
      </c>
      <c r="D211" s="12"/>
    </row>
    <row r="212" spans="2:4" x14ac:dyDescent="0.25">
      <c r="B212" s="12"/>
      <c r="C212" s="12">
        <v>25800</v>
      </c>
      <c r="D212" s="12"/>
    </row>
    <row r="213" spans="2:4" x14ac:dyDescent="0.25">
      <c r="B213" s="12"/>
      <c r="C213" s="12">
        <f>SUM(C211:C212)</f>
        <v>531904.03</v>
      </c>
      <c r="D213" s="12" t="s">
        <v>119</v>
      </c>
    </row>
    <row r="214" spans="2:4" x14ac:dyDescent="0.25">
      <c r="B214" s="12"/>
      <c r="C214" s="12">
        <f>C209-C213</f>
        <v>-233506.21000000002</v>
      </c>
      <c r="D214" s="12">
        <f>4675+7118</f>
        <v>11793</v>
      </c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</sheetData>
  <mergeCells count="14">
    <mergeCell ref="A173:A174"/>
    <mergeCell ref="B173:B174"/>
    <mergeCell ref="C173:C174"/>
    <mergeCell ref="A6:A7"/>
    <mergeCell ref="B6:B7"/>
    <mergeCell ref="C6:C7"/>
    <mergeCell ref="A67:A68"/>
    <mergeCell ref="B67:B68"/>
    <mergeCell ref="C67:C68"/>
    <mergeCell ref="A123:D123"/>
    <mergeCell ref="A124:D124"/>
    <mergeCell ref="A126:A127"/>
    <mergeCell ref="B126:B127"/>
    <mergeCell ref="C126:C127"/>
  </mergeCells>
  <pageMargins left="0.73" right="0.12" top="1.1499999999999999" bottom="0.75" header="1.1299999999999999" footer="0.3"/>
  <pageSetup paperSize="5" scale="95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zoomScale="180" zoomScaleNormal="180" workbookViewId="0">
      <selection activeCell="A4" sqref="A4"/>
    </sheetView>
  </sheetViews>
  <sheetFormatPr defaultRowHeight="15" x14ac:dyDescent="0.25"/>
  <cols>
    <col min="1" max="1" width="43.140625" style="13" customWidth="1"/>
    <col min="2" max="2" width="16.140625" style="13" customWidth="1"/>
    <col min="3" max="3" width="15.7109375" style="13" customWidth="1"/>
    <col min="4" max="4" width="17.28515625" style="13" customWidth="1"/>
    <col min="5" max="5" width="12.28515625" style="13" bestFit="1" customWidth="1"/>
    <col min="6" max="6" width="13.42578125" style="13" bestFit="1" customWidth="1"/>
    <col min="7" max="7" width="13.85546875" style="13" bestFit="1" customWidth="1"/>
    <col min="8" max="8" width="9.140625" style="13"/>
    <col min="9" max="9" width="11" style="13" bestFit="1" customWidth="1"/>
    <col min="10" max="10" width="15.42578125" style="13" bestFit="1" customWidth="1"/>
    <col min="11" max="11" width="11.7109375" style="13" customWidth="1"/>
    <col min="12" max="12" width="9.85546875" style="13" customWidth="1"/>
    <col min="13" max="14" width="9.140625" style="13"/>
    <col min="15" max="16" width="12" style="13" bestFit="1" customWidth="1"/>
    <col min="17" max="16384" width="9.140625" style="13"/>
  </cols>
  <sheetData>
    <row r="1" spans="1:10" x14ac:dyDescent="0.25">
      <c r="A1" s="36"/>
      <c r="B1" s="10"/>
      <c r="C1" s="10"/>
      <c r="D1" s="10"/>
      <c r="E1" s="12"/>
    </row>
    <row r="2" spans="1:10" ht="15.75" x14ac:dyDescent="0.25">
      <c r="A2" s="93" t="s">
        <v>169</v>
      </c>
      <c r="B2" s="94"/>
      <c r="C2" s="94"/>
      <c r="D2" s="94"/>
      <c r="E2" s="12"/>
    </row>
    <row r="3" spans="1:10" x14ac:dyDescent="0.25">
      <c r="A3" s="95" t="s">
        <v>224</v>
      </c>
      <c r="B3" s="95"/>
      <c r="C3" s="95"/>
      <c r="D3" s="95"/>
      <c r="E3" s="12"/>
      <c r="G3" s="13">
        <f>35000+8770</f>
        <v>43770</v>
      </c>
    </row>
    <row r="4" spans="1:10" ht="7.5" customHeight="1" x14ac:dyDescent="0.25">
      <c r="A4" s="36"/>
      <c r="B4" s="10"/>
      <c r="C4" s="10"/>
      <c r="D4" s="10"/>
      <c r="E4" s="12"/>
    </row>
    <row r="5" spans="1:10" x14ac:dyDescent="0.25">
      <c r="A5" s="88" t="s">
        <v>4</v>
      </c>
      <c r="B5" s="88" t="s">
        <v>5</v>
      </c>
      <c r="C5" s="88" t="s">
        <v>132</v>
      </c>
      <c r="D5" s="15" t="s">
        <v>8</v>
      </c>
      <c r="E5" s="12"/>
      <c r="G5" s="13">
        <f>G3-50000</f>
        <v>-6230</v>
      </c>
    </row>
    <row r="6" spans="1:10" x14ac:dyDescent="0.25">
      <c r="A6" s="89"/>
      <c r="B6" s="89"/>
      <c r="C6" s="89"/>
      <c r="D6" s="16" t="s">
        <v>5</v>
      </c>
      <c r="E6" s="12"/>
    </row>
    <row r="7" spans="1:10" ht="6.75" customHeight="1" x14ac:dyDescent="0.25">
      <c r="A7" s="17"/>
      <c r="B7" s="19"/>
      <c r="C7" s="19"/>
      <c r="D7" s="19"/>
      <c r="E7" s="12"/>
    </row>
    <row r="8" spans="1:10" x14ac:dyDescent="0.25">
      <c r="A8" s="18" t="s">
        <v>170</v>
      </c>
      <c r="B8" s="2">
        <v>50000</v>
      </c>
      <c r="C8" s="2">
        <v>25000</v>
      </c>
      <c r="D8" s="2">
        <f t="shared" ref="D8:D31" si="0">B8-C8</f>
        <v>25000</v>
      </c>
      <c r="E8" s="12"/>
    </row>
    <row r="9" spans="1:10" x14ac:dyDescent="0.25">
      <c r="A9" s="18" t="s">
        <v>171</v>
      </c>
      <c r="B9" s="2">
        <v>30000</v>
      </c>
      <c r="C9" s="2">
        <v>1500</v>
      </c>
      <c r="D9" s="2">
        <f t="shared" si="0"/>
        <v>28500</v>
      </c>
      <c r="E9" s="12"/>
      <c r="G9" s="13" t="s">
        <v>156</v>
      </c>
      <c r="J9" s="13">
        <v>31329</v>
      </c>
    </row>
    <row r="10" spans="1:10" x14ac:dyDescent="0.25">
      <c r="A10" s="18" t="s">
        <v>205</v>
      </c>
      <c r="B10" s="2">
        <v>100000</v>
      </c>
      <c r="C10" s="2">
        <v>12498</v>
      </c>
      <c r="D10" s="2">
        <f t="shared" si="0"/>
        <v>87502</v>
      </c>
      <c r="E10" s="12" t="s">
        <v>127</v>
      </c>
      <c r="F10" s="12">
        <v>123271</v>
      </c>
      <c r="G10" s="12"/>
      <c r="J10" s="13">
        <v>2819.61</v>
      </c>
    </row>
    <row r="11" spans="1:10" x14ac:dyDescent="0.25">
      <c r="A11" s="18" t="s">
        <v>203</v>
      </c>
      <c r="B11" s="2">
        <v>113400</v>
      </c>
      <c r="C11" s="2">
        <v>72450</v>
      </c>
      <c r="D11" s="2">
        <f t="shared" si="0"/>
        <v>40950</v>
      </c>
      <c r="E11" s="12"/>
      <c r="G11" s="12">
        <v>857870</v>
      </c>
      <c r="J11" s="13">
        <v>3956.79</v>
      </c>
    </row>
    <row r="12" spans="1:10" x14ac:dyDescent="0.25">
      <c r="A12" s="18" t="s">
        <v>204</v>
      </c>
      <c r="B12" s="2">
        <v>145000</v>
      </c>
      <c r="C12" s="2">
        <v>42466</v>
      </c>
      <c r="D12" s="2">
        <f t="shared" si="0"/>
        <v>102534</v>
      </c>
      <c r="E12" s="12"/>
      <c r="G12" s="12"/>
      <c r="J12" s="13">
        <v>100</v>
      </c>
    </row>
    <row r="13" spans="1:10" x14ac:dyDescent="0.25">
      <c r="A13" s="18" t="s">
        <v>206</v>
      </c>
      <c r="B13" s="2">
        <v>50000</v>
      </c>
      <c r="C13" s="2"/>
      <c r="D13" s="2">
        <f t="shared" si="0"/>
        <v>50000</v>
      </c>
      <c r="E13" s="12"/>
      <c r="G13" s="12"/>
      <c r="I13" s="13">
        <f>30*6</f>
        <v>180</v>
      </c>
      <c r="J13" s="13">
        <v>469.94</v>
      </c>
    </row>
    <row r="14" spans="1:10" x14ac:dyDescent="0.25">
      <c r="A14" s="18" t="s">
        <v>207</v>
      </c>
      <c r="B14" s="2">
        <v>25000</v>
      </c>
      <c r="C14" s="2"/>
      <c r="D14" s="2">
        <f t="shared" si="0"/>
        <v>25000</v>
      </c>
      <c r="E14" s="12" t="s">
        <v>120</v>
      </c>
      <c r="F14" s="12">
        <v>131800</v>
      </c>
      <c r="G14" s="12">
        <f>G11*55%</f>
        <v>471828.50000000006</v>
      </c>
      <c r="I14" s="13">
        <f>I13*12</f>
        <v>2160</v>
      </c>
    </row>
    <row r="15" spans="1:10" x14ac:dyDescent="0.25">
      <c r="A15" s="18" t="s">
        <v>208</v>
      </c>
      <c r="B15" s="2">
        <v>25000</v>
      </c>
      <c r="C15" s="2">
        <v>29006.25</v>
      </c>
      <c r="D15" s="2">
        <f t="shared" si="0"/>
        <v>-4006.25</v>
      </c>
      <c r="G15" s="12"/>
    </row>
    <row r="16" spans="1:10" x14ac:dyDescent="0.25">
      <c r="A16" s="18" t="s">
        <v>209</v>
      </c>
      <c r="B16" s="2">
        <v>650000</v>
      </c>
      <c r="C16" s="2">
        <v>864740.38</v>
      </c>
      <c r="D16" s="2">
        <f t="shared" si="0"/>
        <v>-214740.38</v>
      </c>
      <c r="G16" s="12"/>
    </row>
    <row r="17" spans="1:10" x14ac:dyDescent="0.25">
      <c r="A17" s="18" t="s">
        <v>210</v>
      </c>
      <c r="B17" s="2"/>
      <c r="C17" s="2"/>
      <c r="D17" s="2">
        <f t="shared" si="0"/>
        <v>0</v>
      </c>
      <c r="E17" s="13" t="s">
        <v>126</v>
      </c>
      <c r="F17" s="12">
        <v>63020</v>
      </c>
      <c r="G17" s="12">
        <f>150*3000</f>
        <v>450000</v>
      </c>
      <c r="I17" s="13">
        <f>300*150</f>
        <v>45000</v>
      </c>
    </row>
    <row r="18" spans="1:10" x14ac:dyDescent="0.25">
      <c r="A18" s="4" t="s">
        <v>211</v>
      </c>
      <c r="B18" s="2">
        <v>25000</v>
      </c>
      <c r="C18" s="2"/>
      <c r="D18" s="2">
        <f t="shared" si="0"/>
        <v>25000</v>
      </c>
      <c r="E18" s="13" t="s">
        <v>125</v>
      </c>
      <c r="F18" s="12">
        <v>3999</v>
      </c>
      <c r="G18" s="12"/>
    </row>
    <row r="19" spans="1:10" x14ac:dyDescent="0.25">
      <c r="A19" s="18" t="s">
        <v>212</v>
      </c>
      <c r="B19" s="2">
        <v>300000</v>
      </c>
      <c r="C19" s="2"/>
      <c r="D19" s="2">
        <f t="shared" si="0"/>
        <v>300000</v>
      </c>
      <c r="G19" s="13">
        <f>35*3</f>
        <v>105</v>
      </c>
    </row>
    <row r="20" spans="1:10" x14ac:dyDescent="0.25">
      <c r="A20" s="27" t="s">
        <v>43</v>
      </c>
      <c r="B20" s="2"/>
      <c r="C20" s="2"/>
      <c r="D20" s="2">
        <f t="shared" si="0"/>
        <v>0</v>
      </c>
      <c r="E20" s="13" t="s">
        <v>125</v>
      </c>
      <c r="F20" s="12">
        <v>2074.83</v>
      </c>
      <c r="G20" s="13">
        <f>G19*6</f>
        <v>630</v>
      </c>
    </row>
    <row r="21" spans="1:10" x14ac:dyDescent="0.25">
      <c r="A21" s="29" t="s">
        <v>213</v>
      </c>
      <c r="B21" s="2">
        <v>23395.09</v>
      </c>
      <c r="C21" s="2"/>
      <c r="D21" s="2">
        <f t="shared" si="0"/>
        <v>23395.09</v>
      </c>
      <c r="F21" s="12"/>
    </row>
    <row r="22" spans="1:10" x14ac:dyDescent="0.25">
      <c r="A22" s="29" t="s">
        <v>214</v>
      </c>
      <c r="B22" s="2">
        <v>15000</v>
      </c>
      <c r="C22" s="2"/>
      <c r="D22" s="2">
        <f t="shared" si="0"/>
        <v>15000</v>
      </c>
      <c r="F22" s="12"/>
    </row>
    <row r="23" spans="1:10" x14ac:dyDescent="0.25">
      <c r="A23" s="29" t="s">
        <v>215</v>
      </c>
      <c r="B23" s="2">
        <v>46000</v>
      </c>
      <c r="C23" s="2"/>
      <c r="D23" s="2">
        <f t="shared" si="0"/>
        <v>46000</v>
      </c>
      <c r="F23" s="12"/>
    </row>
    <row r="24" spans="1:10" x14ac:dyDescent="0.25">
      <c r="A24" s="18" t="s">
        <v>216</v>
      </c>
      <c r="B24" s="2">
        <v>50000</v>
      </c>
      <c r="C24" s="2">
        <f>30200+3000</f>
        <v>33200</v>
      </c>
      <c r="D24" s="2">
        <f t="shared" si="0"/>
        <v>16800</v>
      </c>
      <c r="F24" s="12"/>
    </row>
    <row r="25" spans="1:10" x14ac:dyDescent="0.25">
      <c r="A25" s="18" t="s">
        <v>217</v>
      </c>
      <c r="B25" s="2"/>
      <c r="C25" s="2"/>
      <c r="D25" s="2"/>
      <c r="F25" s="12"/>
    </row>
    <row r="26" spans="1:10" x14ac:dyDescent="0.25">
      <c r="A26" s="29" t="s">
        <v>218</v>
      </c>
      <c r="B26" s="2">
        <v>30000</v>
      </c>
      <c r="C26" s="2"/>
      <c r="D26" s="2">
        <f t="shared" si="0"/>
        <v>30000</v>
      </c>
      <c r="F26" s="12"/>
    </row>
    <row r="27" spans="1:10" x14ac:dyDescent="0.25">
      <c r="A27" s="80" t="s">
        <v>219</v>
      </c>
      <c r="B27" s="2">
        <v>150000</v>
      </c>
      <c r="C27" s="2"/>
      <c r="D27" s="2">
        <f t="shared" si="0"/>
        <v>150000</v>
      </c>
      <c r="F27" s="12"/>
    </row>
    <row r="28" spans="1:10" x14ac:dyDescent="0.25">
      <c r="A28" s="80" t="s">
        <v>220</v>
      </c>
      <c r="B28" s="2">
        <v>150000</v>
      </c>
      <c r="C28" s="2"/>
      <c r="D28" s="2">
        <f t="shared" si="0"/>
        <v>150000</v>
      </c>
      <c r="F28" s="12"/>
    </row>
    <row r="29" spans="1:10" x14ac:dyDescent="0.25">
      <c r="A29" s="18" t="s">
        <v>221</v>
      </c>
      <c r="B29" s="2">
        <v>60000</v>
      </c>
      <c r="C29" s="2"/>
      <c r="D29" s="2">
        <f t="shared" si="0"/>
        <v>60000</v>
      </c>
      <c r="F29" s="12"/>
    </row>
    <row r="30" spans="1:10" x14ac:dyDescent="0.25">
      <c r="A30" s="18" t="s">
        <v>222</v>
      </c>
      <c r="B30" s="2">
        <v>63400</v>
      </c>
      <c r="C30" s="2"/>
      <c r="D30" s="2">
        <f t="shared" si="0"/>
        <v>63400</v>
      </c>
      <c r="F30" s="12"/>
    </row>
    <row r="31" spans="1:10" x14ac:dyDescent="0.25">
      <c r="A31" s="18" t="s">
        <v>223</v>
      </c>
      <c r="B31" s="2">
        <v>75000</v>
      </c>
      <c r="C31" s="2">
        <v>89530.75</v>
      </c>
      <c r="D31" s="2">
        <f t="shared" si="0"/>
        <v>-14530.75</v>
      </c>
    </row>
    <row r="32" spans="1:10" ht="7.5" customHeight="1" x14ac:dyDescent="0.25">
      <c r="A32" s="39"/>
      <c r="B32" s="6"/>
      <c r="C32" s="6"/>
      <c r="D32" s="2"/>
      <c r="I32" s="13" t="e">
        <f>SUM(#REF!)</f>
        <v>#REF!</v>
      </c>
      <c r="J32" s="13" t="s">
        <v>131</v>
      </c>
    </row>
    <row r="33" spans="1:8" x14ac:dyDescent="0.25">
      <c r="A33" s="30" t="s">
        <v>27</v>
      </c>
      <c r="B33" s="8">
        <f>SUM(B8:B32)</f>
        <v>2176195.09</v>
      </c>
      <c r="C33" s="8">
        <f>SUM(C8:C32)</f>
        <v>1170391.3799999999</v>
      </c>
      <c r="D33" s="8">
        <f>SUM(D8:D32)</f>
        <v>1005803.71</v>
      </c>
      <c r="G33" s="13">
        <f>SUM(G32:G32)</f>
        <v>0</v>
      </c>
      <c r="H33" s="13" t="s">
        <v>130</v>
      </c>
    </row>
    <row r="34" spans="1:8" ht="8.25" customHeight="1" x14ac:dyDescent="0.25">
      <c r="B34" s="7"/>
    </row>
    <row r="35" spans="1:8" x14ac:dyDescent="0.25">
      <c r="A35" s="45" t="s">
        <v>65</v>
      </c>
      <c r="B35" s="14"/>
      <c r="C35" s="14"/>
    </row>
    <row r="36" spans="1:8" x14ac:dyDescent="0.25">
      <c r="B36" s="14"/>
      <c r="C36" s="12"/>
      <c r="D36" s="14"/>
    </row>
    <row r="37" spans="1:8" x14ac:dyDescent="0.25">
      <c r="B37" s="14"/>
      <c r="C37" s="12"/>
      <c r="D37" s="14"/>
    </row>
    <row r="38" spans="1:8" x14ac:dyDescent="0.25">
      <c r="A38" s="13" t="s">
        <v>172</v>
      </c>
      <c r="B38" s="14"/>
      <c r="C38" s="12"/>
    </row>
    <row r="39" spans="1:8" x14ac:dyDescent="0.25">
      <c r="A39" s="13" t="s">
        <v>173</v>
      </c>
      <c r="B39" s="14"/>
      <c r="C39" s="12" t="s">
        <v>135</v>
      </c>
    </row>
    <row r="40" spans="1:8" x14ac:dyDescent="0.25">
      <c r="B40" s="14"/>
    </row>
    <row r="41" spans="1:8" x14ac:dyDescent="0.25">
      <c r="C41" s="10"/>
    </row>
    <row r="42" spans="1:8" x14ac:dyDescent="0.25">
      <c r="A42" s="36"/>
      <c r="B42" s="10"/>
      <c r="C42" s="10" t="s">
        <v>136</v>
      </c>
      <c r="D42" s="10"/>
    </row>
    <row r="43" spans="1:8" x14ac:dyDescent="0.25">
      <c r="A43" s="36"/>
      <c r="B43" s="10"/>
      <c r="C43" s="10" t="s">
        <v>137</v>
      </c>
      <c r="D43" s="10"/>
    </row>
    <row r="44" spans="1:8" x14ac:dyDescent="0.25">
      <c r="A44" s="36"/>
      <c r="B44" s="10"/>
      <c r="C44" s="10"/>
      <c r="D44" s="10"/>
    </row>
    <row r="45" spans="1:8" x14ac:dyDescent="0.25">
      <c r="A45" s="88" t="s">
        <v>4</v>
      </c>
      <c r="B45" s="88" t="s">
        <v>5</v>
      </c>
      <c r="C45" s="88" t="s">
        <v>132</v>
      </c>
      <c r="D45" s="15" t="s">
        <v>8</v>
      </c>
    </row>
    <row r="46" spans="1:8" x14ac:dyDescent="0.25">
      <c r="A46" s="89"/>
      <c r="B46" s="89"/>
      <c r="C46" s="89"/>
      <c r="D46" s="16" t="s">
        <v>5</v>
      </c>
    </row>
    <row r="47" spans="1:8" x14ac:dyDescent="0.25">
      <c r="A47" s="52" t="s">
        <v>105</v>
      </c>
      <c r="B47" s="11">
        <v>550000</v>
      </c>
      <c r="C47" s="11">
        <f>2990+320448+8782.5+3260</f>
        <v>335480.5</v>
      </c>
      <c r="D47" s="11">
        <f t="shared" ref="D47:D63" si="1">B47-C47</f>
        <v>214519.5</v>
      </c>
    </row>
    <row r="48" spans="1:8" x14ac:dyDescent="0.25">
      <c r="A48" s="52" t="s">
        <v>41</v>
      </c>
      <c r="B48" s="11">
        <v>57600</v>
      </c>
      <c r="C48" s="11">
        <v>57600</v>
      </c>
      <c r="D48" s="11">
        <f t="shared" si="1"/>
        <v>0</v>
      </c>
    </row>
    <row r="49" spans="1:5" x14ac:dyDescent="0.25">
      <c r="A49" s="52" t="s">
        <v>106</v>
      </c>
      <c r="B49" s="11">
        <v>10000</v>
      </c>
      <c r="C49" s="11">
        <v>5000</v>
      </c>
      <c r="D49" s="11">
        <f t="shared" si="1"/>
        <v>5000</v>
      </c>
      <c r="E49" s="13" t="s">
        <v>139</v>
      </c>
    </row>
    <row r="50" spans="1:5" x14ac:dyDescent="0.25">
      <c r="A50" s="52" t="s">
        <v>44</v>
      </c>
      <c r="B50" s="11">
        <v>15000</v>
      </c>
      <c r="C50" s="11"/>
      <c r="D50" s="11">
        <f t="shared" si="1"/>
        <v>15000</v>
      </c>
    </row>
    <row r="51" spans="1:5" x14ac:dyDescent="0.25">
      <c r="A51" s="52" t="s">
        <v>42</v>
      </c>
      <c r="B51" s="11">
        <v>15000</v>
      </c>
      <c r="C51" s="11">
        <v>3450</v>
      </c>
      <c r="D51" s="11">
        <f t="shared" si="1"/>
        <v>11550</v>
      </c>
    </row>
    <row r="52" spans="1:5" x14ac:dyDescent="0.25">
      <c r="A52" s="52" t="s">
        <v>43</v>
      </c>
      <c r="B52" s="11">
        <v>10000</v>
      </c>
      <c r="C52" s="11">
        <v>6202</v>
      </c>
      <c r="D52" s="11">
        <f t="shared" si="1"/>
        <v>3798</v>
      </c>
    </row>
    <row r="53" spans="1:5" x14ac:dyDescent="0.25">
      <c r="A53" s="53" t="s">
        <v>45</v>
      </c>
      <c r="B53" s="54">
        <v>86400</v>
      </c>
      <c r="C53" s="54">
        <v>72000</v>
      </c>
      <c r="D53" s="54">
        <f t="shared" si="1"/>
        <v>14400</v>
      </c>
    </row>
    <row r="54" spans="1:5" x14ac:dyDescent="0.25">
      <c r="A54" s="53" t="s">
        <v>46</v>
      </c>
      <c r="B54" s="54">
        <v>12000</v>
      </c>
      <c r="C54" s="54"/>
      <c r="D54" s="54">
        <f t="shared" si="1"/>
        <v>12000</v>
      </c>
      <c r="E54" s="13" t="s">
        <v>140</v>
      </c>
    </row>
    <row r="55" spans="1:5" x14ac:dyDescent="0.25">
      <c r="A55" s="53" t="s">
        <v>47</v>
      </c>
      <c r="B55" s="54">
        <v>200000</v>
      </c>
      <c r="C55" s="54">
        <f>250808-60400</f>
        <v>190408</v>
      </c>
      <c r="D55" s="54">
        <f t="shared" si="1"/>
        <v>9592</v>
      </c>
    </row>
    <row r="56" spans="1:5" x14ac:dyDescent="0.25">
      <c r="A56" s="53" t="s">
        <v>138</v>
      </c>
      <c r="B56" s="54">
        <v>100000</v>
      </c>
      <c r="C56" s="54">
        <v>23300</v>
      </c>
      <c r="D56" s="54">
        <f t="shared" si="1"/>
        <v>76700</v>
      </c>
    </row>
    <row r="57" spans="1:5" x14ac:dyDescent="0.25">
      <c r="A57" s="47" t="s">
        <v>50</v>
      </c>
      <c r="B57" s="48">
        <v>20000</v>
      </c>
      <c r="C57" s="48">
        <f>1206+4260+300+3552</f>
        <v>9318</v>
      </c>
      <c r="D57" s="48">
        <f t="shared" si="1"/>
        <v>10682</v>
      </c>
    </row>
    <row r="58" spans="1:5" x14ac:dyDescent="0.25">
      <c r="A58" s="47" t="s">
        <v>102</v>
      </c>
      <c r="B58" s="48">
        <v>10000</v>
      </c>
      <c r="C58" s="48">
        <v>10000</v>
      </c>
      <c r="D58" s="48">
        <f t="shared" si="1"/>
        <v>0</v>
      </c>
    </row>
    <row r="59" spans="1:5" x14ac:dyDescent="0.25">
      <c r="A59" s="47" t="s">
        <v>51</v>
      </c>
      <c r="B59" s="48">
        <f>200000+250000</f>
        <v>450000</v>
      </c>
      <c r="C59" s="48">
        <v>385144.1</v>
      </c>
      <c r="D59" s="48">
        <f t="shared" si="1"/>
        <v>64855.900000000023</v>
      </c>
      <c r="E59" s="13" t="s">
        <v>141</v>
      </c>
    </row>
    <row r="60" spans="1:5" x14ac:dyDescent="0.25">
      <c r="A60" s="47" t="s">
        <v>52</v>
      </c>
      <c r="B60" s="48">
        <v>50000</v>
      </c>
      <c r="C60" s="48">
        <v>34671.5</v>
      </c>
      <c r="D60" s="48">
        <f t="shared" si="1"/>
        <v>15328.5</v>
      </c>
    </row>
    <row r="61" spans="1:5" x14ac:dyDescent="0.25">
      <c r="A61" s="53" t="s">
        <v>48</v>
      </c>
      <c r="B61" s="54">
        <v>35000</v>
      </c>
      <c r="C61" s="54">
        <v>9000</v>
      </c>
      <c r="D61" s="54">
        <f t="shared" si="1"/>
        <v>26000</v>
      </c>
      <c r="E61" s="13" t="s">
        <v>140</v>
      </c>
    </row>
    <row r="62" spans="1:5" x14ac:dyDescent="0.25">
      <c r="A62" s="53" t="s">
        <v>37</v>
      </c>
      <c r="B62" s="54">
        <v>30000</v>
      </c>
      <c r="C62" s="54">
        <v>19876</v>
      </c>
      <c r="D62" s="54">
        <f t="shared" si="1"/>
        <v>10124</v>
      </c>
    </row>
    <row r="63" spans="1:5" x14ac:dyDescent="0.25">
      <c r="A63" s="18" t="s">
        <v>34</v>
      </c>
      <c r="B63" s="2">
        <v>40000</v>
      </c>
      <c r="C63" s="2">
        <v>20625</v>
      </c>
      <c r="D63" s="2">
        <f t="shared" si="1"/>
        <v>19375</v>
      </c>
      <c r="E63" s="13" t="s">
        <v>142</v>
      </c>
    </row>
    <row r="64" spans="1:5" x14ac:dyDescent="0.25">
      <c r="A64" s="13" t="s">
        <v>143</v>
      </c>
      <c r="B64" s="12">
        <f>SUM(B47:B63)</f>
        <v>1691000</v>
      </c>
      <c r="C64" s="12">
        <f>SUM(C47:C63)</f>
        <v>1182075.1000000001</v>
      </c>
      <c r="D64" s="12">
        <f>SUM(D47:D63)</f>
        <v>508924.9</v>
      </c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2">
        <v>1672836.33</v>
      </c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>
        <f>B67-B64</f>
        <v>-18163.669999999925</v>
      </c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</sheetData>
  <mergeCells count="8">
    <mergeCell ref="A45:A46"/>
    <mergeCell ref="B45:B46"/>
    <mergeCell ref="C45:C46"/>
    <mergeCell ref="A2:D2"/>
    <mergeCell ref="A3:D3"/>
    <mergeCell ref="A5:A6"/>
    <mergeCell ref="B5:B6"/>
    <mergeCell ref="C5:C6"/>
  </mergeCells>
  <pageMargins left="0.26" right="0.17" top="0.75" bottom="0.75" header="0.3" footer="0.3"/>
  <pageSetup scale="11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"/>
  <sheetViews>
    <sheetView topLeftCell="A94" zoomScale="160" zoomScaleNormal="160" workbookViewId="0">
      <selection activeCell="A94" sqref="A94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5" width="14.7109375" style="13" customWidth="1"/>
    <col min="6" max="6" width="16.28515625" style="13" customWidth="1"/>
    <col min="7" max="7" width="14.28515625" style="13" customWidth="1"/>
    <col min="8" max="8" width="9.140625" style="13"/>
    <col min="9" max="9" width="13.42578125" style="13" bestFit="1" customWidth="1"/>
    <col min="10" max="10" width="13.28515625" style="13" bestFit="1" customWidth="1"/>
    <col min="11" max="11" width="9.140625" style="13"/>
    <col min="12" max="12" width="11" style="13" bestFit="1" customWidth="1"/>
    <col min="13" max="13" width="15.42578125" style="13" bestFit="1" customWidth="1"/>
    <col min="14" max="14" width="11.7109375" style="13" customWidth="1"/>
    <col min="15" max="15" width="9.85546875" style="13" customWidth="1"/>
    <col min="16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144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145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/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/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1278616.72</v>
      </c>
      <c r="D11" s="2">
        <f>C11/4*3</f>
        <v>958962.54</v>
      </c>
      <c r="E11" s="11">
        <f>117372.31+97372.31+97372.31+104872.31+144446.38+100372.31+98872.31+98872.31+101871.43</f>
        <v>961423.98</v>
      </c>
      <c r="F11" s="2">
        <f>C11-E11</f>
        <v>317192.74</v>
      </c>
      <c r="G11" s="2">
        <f>D11-E11</f>
        <v>-2461.4399999999441</v>
      </c>
      <c r="I11" s="14"/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907422</v>
      </c>
      <c r="D12" s="2">
        <v>907422</v>
      </c>
      <c r="E12" s="2">
        <f>145456.28+53064.89+100644.94+77635.25+173854.03+130085.92+130608.52+158444.41+79302.95</f>
        <v>1049097.1900000002</v>
      </c>
      <c r="F12" s="2">
        <f t="shared" ref="F12:F13" si="0">C12-E12</f>
        <v>-141675.19000000018</v>
      </c>
      <c r="G12" s="2">
        <f t="shared" ref="G12:G13" si="1">D12-E12</f>
        <v>-141675.19000000018</v>
      </c>
      <c r="I12" s="14"/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>
        <v>15000</v>
      </c>
      <c r="D13" s="2">
        <f>C13</f>
        <v>15000</v>
      </c>
      <c r="E13" s="2"/>
      <c r="F13" s="2">
        <f t="shared" si="0"/>
        <v>15000</v>
      </c>
      <c r="G13" s="2">
        <f t="shared" si="1"/>
        <v>15000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2"/>
      <c r="I14" s="12"/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2201038.7199999997</v>
      </c>
      <c r="D15" s="8">
        <f>SUM(D11:D14)</f>
        <v>1881384.54</v>
      </c>
      <c r="E15" s="8">
        <f>SUM(E11:E14)</f>
        <v>2010521.1700000002</v>
      </c>
      <c r="F15" s="8">
        <f>SUM(F11:F14)</f>
        <v>190517.54999999981</v>
      </c>
      <c r="G15" s="8">
        <f>SUM(G11:G14)</f>
        <v>-129136.63000000012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5826344.4400000004</v>
      </c>
      <c r="D18" s="2">
        <f>C18/4*3</f>
        <v>4369758.33</v>
      </c>
      <c r="E18" s="11">
        <f>507164.54+447164.54+447164.54+455164.54+627512.04+447164.54+447164.54+447164.54+447164.54</f>
        <v>4272828.3600000003</v>
      </c>
      <c r="F18" s="2">
        <f>C18-E18</f>
        <v>1553516.08</v>
      </c>
      <c r="G18" s="2">
        <f>D18-E18</f>
        <v>96929.969999999739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889203.6</v>
      </c>
      <c r="D19" s="2">
        <v>600000</v>
      </c>
      <c r="E19" s="2">
        <f>100251.6+122496.17+65391.24+37491+56702.16+67137.08+82547+100995+47295</f>
        <v>680306.25</v>
      </c>
      <c r="F19" s="2">
        <f>C19-E19</f>
        <v>208897.34999999998</v>
      </c>
      <c r="G19" s="2">
        <f>D19-E19</f>
        <v>-80306.25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6715548.04</v>
      </c>
      <c r="D22" s="8">
        <f>SUM(D18:D21)</f>
        <v>4969758.33</v>
      </c>
      <c r="E22" s="8">
        <f>SUM(E18:E21)</f>
        <v>4953134.6100000003</v>
      </c>
      <c r="F22" s="8">
        <f>SUM(F18:F21)</f>
        <v>1762413.4300000002</v>
      </c>
      <c r="G22" s="8">
        <f>SUM(G18:G21)</f>
        <v>16623.719999999739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795756.96</v>
      </c>
      <c r="D25" s="2">
        <f>C25/4*3</f>
        <v>596817.72</v>
      </c>
      <c r="E25" s="11">
        <f>71477.5+60182.83+59477.5+65477.5+82259+60183.13+60183.13+60183.13+60182.83</f>
        <v>579606.55000000005</v>
      </c>
      <c r="F25" s="2">
        <f>C25-E25</f>
        <v>216150.40999999992</v>
      </c>
      <c r="G25" s="2">
        <f>D25-E25</f>
        <v>17211.169999999925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113663</v>
      </c>
      <c r="D26" s="2">
        <v>75000</v>
      </c>
      <c r="E26" s="2">
        <f>7179.03+11958+13454.3+1906.56+926.39+1845.07+13538.83+2407.56+10098.2</f>
        <v>63313.94</v>
      </c>
      <c r="F26" s="2">
        <f>C26-E26</f>
        <v>50349.06</v>
      </c>
      <c r="G26" s="2">
        <f>D26-E26</f>
        <v>11686.059999999998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909419.96</v>
      </c>
      <c r="D29" s="8">
        <f>SUM(D25:D28)</f>
        <v>671817.72</v>
      </c>
      <c r="E29" s="8">
        <f>SUM(E25:E28)</f>
        <v>642920.49</v>
      </c>
      <c r="F29" s="8">
        <f>SUM(F25:F28)</f>
        <v>266499.46999999991</v>
      </c>
      <c r="G29" s="8">
        <f>SUM(G25:G28)</f>
        <v>28897.229999999923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7"/>
      <c r="B32" s="29" t="s">
        <v>11</v>
      </c>
      <c r="C32" s="2">
        <v>586932.16</v>
      </c>
      <c r="D32" s="2">
        <f>C32/4*3</f>
        <v>440199.12</v>
      </c>
      <c r="E32" s="11">
        <f>49893.98+41893.98+44677.18+44677.18+68080.18+44677.18+44677.18+44677.18+44677.18</f>
        <v>427931.22</v>
      </c>
      <c r="F32" s="2">
        <f>C32-E32</f>
        <v>159000.94000000006</v>
      </c>
      <c r="G32" s="2">
        <f>D32-E32</f>
        <v>12267.900000000023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48659.8</v>
      </c>
      <c r="D33" s="2">
        <v>36500</v>
      </c>
      <c r="E33" s="2">
        <f>2080+922+810+1410+3060+18369+2004+10160</f>
        <v>38815</v>
      </c>
      <c r="F33" s="2">
        <f>C33-E33</f>
        <v>9844.8000000000029</v>
      </c>
      <c r="G33" s="2">
        <f>D33-E33</f>
        <v>-2315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2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2"/>
      <c r="L35" s="12"/>
    </row>
    <row r="36" spans="1:13" x14ac:dyDescent="0.25">
      <c r="A36" s="27"/>
      <c r="B36" s="30" t="s">
        <v>27</v>
      </c>
      <c r="C36" s="8">
        <f>SUM(C32:C35)</f>
        <v>635591.96000000008</v>
      </c>
      <c r="D36" s="8">
        <f>SUM(D32:D35)</f>
        <v>476699.12</v>
      </c>
      <c r="E36" s="8">
        <f>SUM(E32:E35)</f>
        <v>466746.22</v>
      </c>
      <c r="F36" s="8">
        <f>SUM(F32:F35)</f>
        <v>168845.74000000005</v>
      </c>
      <c r="G36" s="8">
        <f>SUM(G32:G35)</f>
        <v>9952.9000000000233</v>
      </c>
      <c r="L36" s="12"/>
    </row>
    <row r="37" spans="1:13" x14ac:dyDescent="0.25">
      <c r="A37" s="27"/>
      <c r="B37" s="18"/>
      <c r="C37" s="2"/>
      <c r="D37" s="2"/>
      <c r="E37" s="2"/>
      <c r="F37" s="2"/>
      <c r="G37" s="2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2"/>
      <c r="I38" s="13">
        <f>170*18</f>
        <v>3060</v>
      </c>
      <c r="L38" s="12"/>
    </row>
    <row r="39" spans="1:13" x14ac:dyDescent="0.25">
      <c r="A39" s="27"/>
      <c r="B39" s="29" t="s">
        <v>11</v>
      </c>
      <c r="C39" s="2">
        <v>455978.4</v>
      </c>
      <c r="D39" s="2">
        <f>C39/4*3</f>
        <v>341983.80000000005</v>
      </c>
      <c r="E39" s="11">
        <f>39218.2+35218.2+35218.2+37218.2+48898.2+35218.2+35218.2+35218.2+35218.2</f>
        <v>336643.80000000005</v>
      </c>
      <c r="F39" s="2">
        <f>C39-E39</f>
        <v>119334.59999999998</v>
      </c>
      <c r="G39" s="2">
        <f>D39-E39</f>
        <v>5340</v>
      </c>
      <c r="I39" s="13">
        <f>18*130</f>
        <v>2340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72185</v>
      </c>
      <c r="D40" s="2">
        <v>50000</v>
      </c>
      <c r="E40" s="2">
        <f>5186.5+300+9964+2200+3244+2200</f>
        <v>23094.5</v>
      </c>
      <c r="F40" s="2">
        <f>C40-E40</f>
        <v>49090.5</v>
      </c>
      <c r="G40" s="2">
        <f>D40-E40</f>
        <v>26905.5</v>
      </c>
      <c r="I40" s="13">
        <f>SUM(I38:I39)</f>
        <v>5400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2"/>
      <c r="I41" s="13">
        <f>350*18</f>
        <v>6300</v>
      </c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2"/>
      <c r="I42" s="13">
        <f>SUM(I40:I41)</f>
        <v>11700</v>
      </c>
    </row>
    <row r="43" spans="1:13" x14ac:dyDescent="0.25">
      <c r="A43" s="27"/>
      <c r="B43" s="30" t="s">
        <v>27</v>
      </c>
      <c r="C43" s="8">
        <f>SUM(C39:C42)</f>
        <v>528163.4</v>
      </c>
      <c r="D43" s="8">
        <f>SUM(D39:D42)</f>
        <v>391983.80000000005</v>
      </c>
      <c r="E43" s="8">
        <f>SUM(E39:E42)</f>
        <v>359738.30000000005</v>
      </c>
      <c r="F43" s="8">
        <f>SUM(F39:F42)</f>
        <v>168425.09999999998</v>
      </c>
      <c r="G43" s="8">
        <f>SUM(G39:G42)</f>
        <v>32245.5</v>
      </c>
      <c r="I43" s="23">
        <f>15000-I42</f>
        <v>3300</v>
      </c>
    </row>
    <row r="44" spans="1:13" x14ac:dyDescent="0.25">
      <c r="A44" s="27"/>
      <c r="B44" s="18"/>
      <c r="C44" s="2"/>
      <c r="D44" s="2"/>
      <c r="E44" s="2"/>
      <c r="F44" s="2"/>
      <c r="G44" s="2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2"/>
      <c r="I45" s="13">
        <v>6000</v>
      </c>
      <c r="M45" s="12">
        <v>34163973.780000001</v>
      </c>
    </row>
    <row r="46" spans="1:13" x14ac:dyDescent="0.25">
      <c r="A46" s="27"/>
      <c r="B46" s="29" t="s">
        <v>11</v>
      </c>
      <c r="C46" s="2">
        <v>883152.6</v>
      </c>
      <c r="D46" s="2">
        <f>C46/4*3</f>
        <v>662364.44999999995</v>
      </c>
      <c r="E46" s="11">
        <f>43686.72+39386.72+39386.72+39386.72+64004.22+39386.72+39386.72+39386.72+39386.72</f>
        <v>383397.98</v>
      </c>
      <c r="F46" s="2">
        <f>C46-E46</f>
        <v>499754.62</v>
      </c>
      <c r="G46" s="2">
        <f>D46-E46</f>
        <v>278966.46999999997</v>
      </c>
      <c r="I46" s="13">
        <v>9352</v>
      </c>
      <c r="M46" s="14">
        <f>M45*55%</f>
        <v>18790185.579000004</v>
      </c>
    </row>
    <row r="47" spans="1:13" x14ac:dyDescent="0.25">
      <c r="A47" s="27"/>
      <c r="B47" s="29" t="s">
        <v>12</v>
      </c>
      <c r="C47" s="2">
        <v>169427.5</v>
      </c>
      <c r="D47" s="2">
        <v>130000</v>
      </c>
      <c r="E47" s="2">
        <f>7668+3742+41926.8+1198+500+10390+5388+49924+27363</f>
        <v>148099.79999999999</v>
      </c>
      <c r="F47" s="2">
        <f>C47-E47</f>
        <v>21327.700000000012</v>
      </c>
      <c r="G47" s="2">
        <f>D47-E47</f>
        <v>-18099.799999999988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  <c r="I48" s="45">
        <v>2000</v>
      </c>
    </row>
    <row r="49" spans="1:9" x14ac:dyDescent="0.25">
      <c r="A49" s="27"/>
      <c r="B49" s="29" t="s">
        <v>14</v>
      </c>
      <c r="C49" s="2"/>
      <c r="D49" s="2"/>
      <c r="E49" s="2"/>
      <c r="F49" s="2"/>
      <c r="G49" s="2"/>
      <c r="H49" s="12"/>
      <c r="I49" s="13">
        <v>5000</v>
      </c>
    </row>
    <row r="50" spans="1:9" x14ac:dyDescent="0.25">
      <c r="A50" s="27"/>
      <c r="B50" s="30" t="s">
        <v>27</v>
      </c>
      <c r="C50" s="8">
        <f>SUM(C46:C49)</f>
        <v>1052580.1000000001</v>
      </c>
      <c r="D50" s="8"/>
      <c r="E50" s="8">
        <f>SUM(E46:E49)</f>
        <v>531497.78</v>
      </c>
      <c r="F50" s="8">
        <f>SUM(F46:F49)</f>
        <v>521082.32</v>
      </c>
      <c r="G50" s="8">
        <f>SUM(G46:G49)</f>
        <v>260866.66999999998</v>
      </c>
      <c r="H50" s="12"/>
    </row>
    <row r="51" spans="1:9" x14ac:dyDescent="0.25">
      <c r="A51" s="27"/>
      <c r="B51" s="18"/>
      <c r="C51" s="2"/>
      <c r="D51" s="2"/>
      <c r="E51" s="2"/>
      <c r="F51" s="2"/>
      <c r="G51" s="2"/>
      <c r="H51" s="12"/>
      <c r="I51" s="13">
        <f>SUM(I45:I50)</f>
        <v>22352</v>
      </c>
    </row>
    <row r="52" spans="1:9" x14ac:dyDescent="0.25">
      <c r="A52" s="27">
        <v>1091</v>
      </c>
      <c r="B52" s="28" t="s">
        <v>19</v>
      </c>
      <c r="C52" s="2"/>
      <c r="D52" s="2"/>
      <c r="E52" s="2"/>
      <c r="F52" s="2"/>
      <c r="G52" s="2"/>
      <c r="H52" s="12"/>
      <c r="I52" s="13">
        <v>22352</v>
      </c>
    </row>
    <row r="53" spans="1:9" x14ac:dyDescent="0.25">
      <c r="A53" s="27"/>
      <c r="B53" s="29" t="s">
        <v>11</v>
      </c>
      <c r="C53" s="2">
        <v>1381633.04</v>
      </c>
      <c r="D53" s="2">
        <f>C53/4*3</f>
        <v>1036224.78</v>
      </c>
      <c r="E53" s="11">
        <f>130839.92+102839.92+102839.92+102839.92+147916.92+102841.92+102839.92+102839.92+102839.92</f>
        <v>998638.28000000014</v>
      </c>
      <c r="F53" s="2">
        <f>C53-E53</f>
        <v>382994.75999999989</v>
      </c>
      <c r="G53" s="2">
        <f>D53-E53</f>
        <v>37586.499999999884</v>
      </c>
      <c r="H53" s="12"/>
      <c r="I53" s="13">
        <f>I52-I51</f>
        <v>0</v>
      </c>
    </row>
    <row r="54" spans="1:9" x14ac:dyDescent="0.25">
      <c r="A54" s="27"/>
      <c r="B54" s="29" t="s">
        <v>12</v>
      </c>
      <c r="C54" s="2">
        <v>251782.6</v>
      </c>
      <c r="D54" s="2">
        <v>180000</v>
      </c>
      <c r="E54" s="2">
        <f>24187+22532+17190.5+17729.95+2933.75+2246+3790+18026.75+13097</f>
        <v>121732.95</v>
      </c>
      <c r="F54" s="2">
        <f>C54-E54</f>
        <v>130049.65000000001</v>
      </c>
      <c r="G54" s="2">
        <f>D54-E54</f>
        <v>58267.05</v>
      </c>
      <c r="H54" s="12"/>
    </row>
    <row r="55" spans="1:9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9" x14ac:dyDescent="0.25">
      <c r="A56" s="27"/>
      <c r="B56" s="29" t="s">
        <v>14</v>
      </c>
      <c r="C56" s="2"/>
      <c r="D56" s="2"/>
      <c r="E56" s="2"/>
      <c r="F56" s="2"/>
      <c r="G56" s="2"/>
      <c r="H56" s="12"/>
    </row>
    <row r="57" spans="1:9" x14ac:dyDescent="0.25">
      <c r="A57" s="31"/>
      <c r="B57" s="30" t="s">
        <v>27</v>
      </c>
      <c r="C57" s="8">
        <f>SUM(C53:C56)</f>
        <v>1633415.6400000001</v>
      </c>
      <c r="D57" s="8">
        <f>SUM(D53:D56)</f>
        <v>1216224.78</v>
      </c>
      <c r="E57" s="8">
        <f>SUM(E53:E56)</f>
        <v>1120371.2300000002</v>
      </c>
      <c r="F57" s="8">
        <f>SUM(F53:F56)</f>
        <v>513044.40999999992</v>
      </c>
      <c r="G57" s="8">
        <f>SUM(G53:G56)</f>
        <v>95853.549999999886</v>
      </c>
      <c r="H57" s="12"/>
    </row>
    <row r="58" spans="1:9" ht="15.75" thickBot="1" x14ac:dyDescent="0.3">
      <c r="A58" s="32"/>
      <c r="B58" s="33"/>
      <c r="C58" s="9"/>
      <c r="D58" s="9"/>
      <c r="E58" s="9"/>
      <c r="F58" s="9"/>
      <c r="G58" s="34"/>
      <c r="H58" s="12"/>
    </row>
    <row r="59" spans="1:9" x14ac:dyDescent="0.25">
      <c r="A59" s="35"/>
      <c r="B59" s="36"/>
      <c r="C59" s="10"/>
      <c r="D59" s="10"/>
      <c r="E59" s="10"/>
      <c r="F59" s="10"/>
      <c r="G59" s="10"/>
      <c r="H59" s="12"/>
    </row>
    <row r="61" spans="1:9" x14ac:dyDescent="0.25">
      <c r="A61" s="35"/>
      <c r="B61" s="36"/>
      <c r="C61" s="10"/>
      <c r="D61" s="10"/>
      <c r="E61" s="10"/>
      <c r="F61" s="10"/>
      <c r="G61" s="10"/>
      <c r="H61" s="12"/>
    </row>
    <row r="62" spans="1:9" x14ac:dyDescent="0.25">
      <c r="A62" s="13" t="s">
        <v>0</v>
      </c>
      <c r="B62" s="36"/>
      <c r="C62" s="10"/>
      <c r="D62" s="10"/>
      <c r="E62" s="10"/>
      <c r="F62" s="10"/>
      <c r="G62" s="10"/>
      <c r="H62" s="12"/>
    </row>
    <row r="63" spans="1:9" x14ac:dyDescent="0.25">
      <c r="A63" s="13" t="s">
        <v>1</v>
      </c>
      <c r="B63" s="36"/>
      <c r="C63" s="10"/>
      <c r="D63" s="10"/>
      <c r="E63" s="10"/>
      <c r="F63" s="10"/>
      <c r="G63" s="10"/>
      <c r="H63" s="12"/>
    </row>
    <row r="64" spans="1:9" x14ac:dyDescent="0.25">
      <c r="A64" s="13" t="s">
        <v>2</v>
      </c>
      <c r="B64" s="36"/>
      <c r="C64" s="10"/>
      <c r="D64" s="10"/>
      <c r="E64" s="10"/>
      <c r="F64" s="10"/>
      <c r="G64" s="10"/>
      <c r="H64" s="12"/>
    </row>
    <row r="65" spans="1:15" x14ac:dyDescent="0.25">
      <c r="A65" s="24" t="s">
        <v>122</v>
      </c>
      <c r="B65" s="36"/>
      <c r="C65" s="10"/>
      <c r="D65" s="10"/>
      <c r="E65" s="10"/>
      <c r="F65" s="10"/>
      <c r="G65" s="10"/>
      <c r="H65" s="12"/>
    </row>
    <row r="66" spans="1:15" x14ac:dyDescent="0.25">
      <c r="A66" s="35"/>
      <c r="B66" s="36"/>
      <c r="C66" s="10"/>
      <c r="D66" s="10"/>
      <c r="E66" s="10"/>
      <c r="F66" s="10"/>
      <c r="G66" s="10"/>
      <c r="H66" s="12"/>
    </row>
    <row r="67" spans="1:15" x14ac:dyDescent="0.25">
      <c r="A67" s="88" t="s">
        <v>3</v>
      </c>
      <c r="B67" s="88" t="s">
        <v>4</v>
      </c>
      <c r="C67" s="88" t="s">
        <v>5</v>
      </c>
      <c r="D67" s="88" t="s">
        <v>6</v>
      </c>
      <c r="E67" s="88" t="s">
        <v>7</v>
      </c>
      <c r="F67" s="15" t="s">
        <v>8</v>
      </c>
      <c r="G67" s="15" t="s">
        <v>8</v>
      </c>
      <c r="H67" s="12"/>
    </row>
    <row r="68" spans="1:15" x14ac:dyDescent="0.25">
      <c r="A68" s="89"/>
      <c r="B68" s="89"/>
      <c r="C68" s="89"/>
      <c r="D68" s="89"/>
      <c r="E68" s="89"/>
      <c r="F68" s="16" t="s">
        <v>5</v>
      </c>
      <c r="G68" s="16" t="s">
        <v>6</v>
      </c>
      <c r="H68" s="12"/>
    </row>
    <row r="69" spans="1:15" x14ac:dyDescent="0.25">
      <c r="A69" s="26"/>
      <c r="B69" s="17"/>
      <c r="C69" s="19"/>
      <c r="D69" s="19"/>
      <c r="E69" s="19"/>
      <c r="F69" s="19"/>
      <c r="G69" s="19"/>
      <c r="H69" s="12"/>
    </row>
    <row r="70" spans="1:15" x14ac:dyDescent="0.25">
      <c r="A70" s="27">
        <v>1101</v>
      </c>
      <c r="B70" s="28" t="s">
        <v>20</v>
      </c>
      <c r="C70" s="2"/>
      <c r="D70" s="2"/>
      <c r="E70" s="2"/>
      <c r="F70" s="2"/>
      <c r="G70" s="2"/>
      <c r="H70" s="12"/>
      <c r="J70" s="12">
        <v>5000</v>
      </c>
      <c r="L70" s="12">
        <v>5000</v>
      </c>
      <c r="M70" s="12">
        <v>5000</v>
      </c>
      <c r="N70" s="12">
        <v>5000</v>
      </c>
    </row>
    <row r="71" spans="1:15" x14ac:dyDescent="0.25">
      <c r="A71" s="27"/>
      <c r="B71" s="29" t="s">
        <v>11</v>
      </c>
      <c r="C71" s="2">
        <v>623143.92000000004</v>
      </c>
      <c r="D71" s="2">
        <f>C71/4*2</f>
        <v>311571.96000000002</v>
      </c>
      <c r="E71" s="11">
        <f>55487.16+47487.16+47487.16+51487.16+68136.16+49487.16+49487.16+49487.16+49487.16</f>
        <v>468033.44000000018</v>
      </c>
      <c r="F71" s="2">
        <f>C71-E71</f>
        <v>155110.47999999986</v>
      </c>
      <c r="G71" s="2">
        <f>D71-E71</f>
        <v>-156461.48000000016</v>
      </c>
      <c r="H71" s="12"/>
      <c r="J71" s="12">
        <v>1228.6500000000001</v>
      </c>
      <c r="L71" s="12">
        <v>3650.5</v>
      </c>
      <c r="M71" s="12">
        <v>3350</v>
      </c>
      <c r="N71" s="12">
        <v>5302.5</v>
      </c>
    </row>
    <row r="72" spans="1:15" x14ac:dyDescent="0.25">
      <c r="A72" s="27"/>
      <c r="B72" s="29" t="s">
        <v>12</v>
      </c>
      <c r="C72" s="2">
        <v>92737</v>
      </c>
      <c r="D72" s="2">
        <v>90000</v>
      </c>
      <c r="E72" s="2">
        <f>20000+3700+23860.2+1680+5054+4290+1130+13530+7284.56</f>
        <v>80528.759999999995</v>
      </c>
      <c r="F72" s="2">
        <f>C72-E72</f>
        <v>12208.240000000005</v>
      </c>
      <c r="G72" s="2">
        <f>D72-E72</f>
        <v>9471.2400000000052</v>
      </c>
      <c r="H72" s="12"/>
      <c r="J72" s="12"/>
      <c r="L72" s="12">
        <v>3350</v>
      </c>
      <c r="M72" s="12">
        <v>630</v>
      </c>
      <c r="N72" s="12">
        <v>3350</v>
      </c>
    </row>
    <row r="73" spans="1:15" x14ac:dyDescent="0.25">
      <c r="A73" s="27"/>
      <c r="B73" s="29" t="s">
        <v>13</v>
      </c>
      <c r="C73" s="2"/>
      <c r="D73" s="2"/>
      <c r="E73" s="2"/>
      <c r="F73" s="2">
        <f>C73-E73</f>
        <v>0</v>
      </c>
      <c r="G73" s="2">
        <f>D73-E73</f>
        <v>0</v>
      </c>
      <c r="H73" s="12"/>
      <c r="J73" s="12">
        <v>5302.5</v>
      </c>
      <c r="L73" s="12">
        <v>1228.6500000000001</v>
      </c>
      <c r="M73" s="12">
        <v>5302</v>
      </c>
      <c r="N73" s="12">
        <v>2000</v>
      </c>
      <c r="O73" s="12">
        <v>446</v>
      </c>
    </row>
    <row r="74" spans="1:15" x14ac:dyDescent="0.25">
      <c r="A74" s="27"/>
      <c r="B74" s="29" t="s">
        <v>14</v>
      </c>
      <c r="C74" s="2"/>
      <c r="D74" s="2"/>
      <c r="E74" s="2"/>
      <c r="F74" s="2"/>
      <c r="G74" s="2"/>
      <c r="H74" s="12"/>
      <c r="J74" s="12">
        <v>3650.5</v>
      </c>
      <c r="L74" s="12">
        <v>2958</v>
      </c>
      <c r="M74" s="12"/>
      <c r="N74" s="12"/>
      <c r="O74" s="12">
        <v>150</v>
      </c>
    </row>
    <row r="75" spans="1:15" x14ac:dyDescent="0.25">
      <c r="A75" s="18"/>
      <c r="B75" s="30" t="s">
        <v>27</v>
      </c>
      <c r="C75" s="8">
        <f>SUM(C71:C74)</f>
        <v>715880.92</v>
      </c>
      <c r="D75" s="8">
        <f>SUM(D71:D74)</f>
        <v>401571.96</v>
      </c>
      <c r="E75" s="8">
        <f>SUM(E71:E74)</f>
        <v>548562.20000000019</v>
      </c>
      <c r="F75" s="8">
        <f>SUM(F71:F74)</f>
        <v>167318.71999999986</v>
      </c>
      <c r="G75" s="8">
        <f>SUM(G71:G74)</f>
        <v>-146990.24000000017</v>
      </c>
      <c r="H75" s="12"/>
      <c r="J75" s="12">
        <v>630</v>
      </c>
      <c r="L75" s="12"/>
      <c r="M75" s="12"/>
      <c r="N75" s="12">
        <v>630</v>
      </c>
      <c r="O75" s="13">
        <v>797</v>
      </c>
    </row>
    <row r="76" spans="1:15" x14ac:dyDescent="0.25">
      <c r="A76" s="27"/>
      <c r="B76" s="18"/>
      <c r="C76" s="2"/>
      <c r="D76" s="2"/>
      <c r="E76" s="2"/>
      <c r="F76" s="2"/>
      <c r="G76" s="2"/>
      <c r="H76" s="12"/>
      <c r="J76" s="12">
        <v>630</v>
      </c>
      <c r="L76" s="12"/>
      <c r="M76" s="12">
        <f>SUM(M70:M75)</f>
        <v>14282</v>
      </c>
      <c r="N76" s="12">
        <v>446</v>
      </c>
    </row>
    <row r="77" spans="1:15" x14ac:dyDescent="0.25">
      <c r="A77" s="27">
        <v>6544</v>
      </c>
      <c r="B77" s="28" t="s">
        <v>21</v>
      </c>
      <c r="C77" s="18"/>
      <c r="D77" s="2"/>
      <c r="E77" s="2"/>
      <c r="F77" s="2"/>
      <c r="G77" s="2"/>
      <c r="H77" s="12"/>
      <c r="L77" s="12"/>
      <c r="O77" s="14">
        <f>SUM(O73:O76)</f>
        <v>1393</v>
      </c>
    </row>
    <row r="78" spans="1:15" x14ac:dyDescent="0.25">
      <c r="A78" s="27"/>
      <c r="B78" s="29" t="s">
        <v>11</v>
      </c>
      <c r="C78" s="2">
        <v>1019403.44</v>
      </c>
      <c r="D78" s="2">
        <f>C78/4*2</f>
        <v>509701.72</v>
      </c>
      <c r="E78" s="11">
        <f>106961.1+69302.1+74787.12+75123.55+118187.55+62900.11+71059.43+71006.24+72666.29</f>
        <v>721993.49</v>
      </c>
      <c r="F78" s="2">
        <f>C78-E78</f>
        <v>297409.94999999995</v>
      </c>
      <c r="G78" s="2">
        <f>D78-E78</f>
        <v>-212291.77000000002</v>
      </c>
      <c r="H78" s="12"/>
      <c r="L78" s="12"/>
    </row>
    <row r="79" spans="1:15" x14ac:dyDescent="0.25">
      <c r="A79" s="27"/>
      <c r="B79" s="29" t="s">
        <v>12</v>
      </c>
      <c r="C79" s="2">
        <v>619090</v>
      </c>
      <c r="D79" s="2">
        <v>500000</v>
      </c>
      <c r="E79" s="2">
        <f>91475.1+58152.12+51285.28+110382.15+3589.41+157709.23+156898.36+68220.61+15466.49</f>
        <v>713178.75</v>
      </c>
      <c r="F79" s="2">
        <f>C79-E79</f>
        <v>-94088.75</v>
      </c>
      <c r="G79" s="2">
        <f>D79-E79</f>
        <v>-213178.75</v>
      </c>
      <c r="H79" s="12"/>
      <c r="L79" s="12"/>
    </row>
    <row r="80" spans="1:15" x14ac:dyDescent="0.25">
      <c r="A80" s="27"/>
      <c r="B80" s="29" t="s">
        <v>13</v>
      </c>
      <c r="C80" s="2"/>
      <c r="D80" s="2"/>
      <c r="E80" s="2"/>
      <c r="F80" s="2"/>
      <c r="G80" s="2"/>
      <c r="H80" s="12"/>
      <c r="L80" s="12"/>
    </row>
    <row r="81" spans="1:14" x14ac:dyDescent="0.25">
      <c r="A81" s="27"/>
      <c r="B81" s="29" t="s">
        <v>14</v>
      </c>
      <c r="C81" s="2"/>
      <c r="D81" s="2"/>
      <c r="E81" s="2"/>
      <c r="F81" s="2"/>
      <c r="G81" s="2"/>
      <c r="H81" s="12"/>
      <c r="J81" s="12">
        <f>SUM(J70:J76)</f>
        <v>16441.650000000001</v>
      </c>
      <c r="L81" s="12">
        <f>SUM(L70:L80)</f>
        <v>16187.15</v>
      </c>
      <c r="M81" s="14">
        <f>M76-16500</f>
        <v>-2218</v>
      </c>
      <c r="N81" s="14">
        <f>SUM(N70:N80)</f>
        <v>16728.5</v>
      </c>
    </row>
    <row r="82" spans="1:14" x14ac:dyDescent="0.25">
      <c r="A82" s="27"/>
      <c r="B82" s="30" t="s">
        <v>27</v>
      </c>
      <c r="C82" s="8">
        <f>SUM(C78:C81)</f>
        <v>1638493.44</v>
      </c>
      <c r="D82" s="8">
        <f>SUM(D78:D81)</f>
        <v>1009701.72</v>
      </c>
      <c r="E82" s="8">
        <f>SUM(E78:E81)</f>
        <v>1435172.24</v>
      </c>
      <c r="F82" s="8">
        <f>SUM(F78:F81)</f>
        <v>203321.19999999995</v>
      </c>
      <c r="G82" s="8">
        <f>SUM(G78:G81)</f>
        <v>-425470.52</v>
      </c>
      <c r="H82" s="12"/>
      <c r="J82" s="13">
        <f>16500</f>
        <v>16500</v>
      </c>
      <c r="L82" s="13">
        <v>16500</v>
      </c>
      <c r="N82" s="13">
        <v>16500</v>
      </c>
    </row>
    <row r="83" spans="1:14" x14ac:dyDescent="0.25">
      <c r="A83" s="27"/>
      <c r="B83" s="18"/>
      <c r="C83" s="2"/>
      <c r="D83" s="2"/>
      <c r="E83" s="2"/>
      <c r="F83" s="2"/>
      <c r="G83" s="2"/>
      <c r="H83" s="12"/>
      <c r="J83" s="14">
        <f>J82-J81</f>
        <v>58.349999999998545</v>
      </c>
      <c r="L83" s="14">
        <f>L82-L81</f>
        <v>312.85000000000036</v>
      </c>
      <c r="N83" s="14">
        <f>N82-N81</f>
        <v>-228.5</v>
      </c>
    </row>
    <row r="84" spans="1:14" x14ac:dyDescent="0.25">
      <c r="A84" s="27">
        <v>4411</v>
      </c>
      <c r="B84" s="28" t="s">
        <v>22</v>
      </c>
      <c r="C84" s="18"/>
      <c r="D84" s="2"/>
      <c r="E84" s="2"/>
      <c r="F84" s="2"/>
      <c r="G84" s="2"/>
      <c r="H84" s="12"/>
    </row>
    <row r="85" spans="1:14" x14ac:dyDescent="0.25">
      <c r="A85" s="27"/>
      <c r="B85" s="29" t="s">
        <v>11</v>
      </c>
      <c r="C85" s="2">
        <v>2196512.08</v>
      </c>
      <c r="D85" s="2">
        <f>C85/4*2</f>
        <v>1098256.04</v>
      </c>
      <c r="E85" s="11">
        <f>213957.92+167107.92+167107.92+181107.92+243912.92+167107.92+167107.92+167107.92+167107.92</f>
        <v>1641626.2799999998</v>
      </c>
      <c r="F85" s="2">
        <f>C85-E85</f>
        <v>554885.80000000028</v>
      </c>
      <c r="G85" s="2">
        <f>D85-E85</f>
        <v>-543370.23999999976</v>
      </c>
      <c r="H85" s="12"/>
    </row>
    <row r="86" spans="1:14" x14ac:dyDescent="0.25">
      <c r="A86" s="27"/>
      <c r="B86" s="29" t="s">
        <v>12</v>
      </c>
      <c r="C86" s="2">
        <v>144544.5</v>
      </c>
      <c r="D86" s="2">
        <v>50000</v>
      </c>
      <c r="E86" s="2">
        <f>710.17+17928.29+6893.74+4570+13976.97+710+7002+36124</f>
        <v>87915.17</v>
      </c>
      <c r="F86" s="2">
        <f>C86-E86</f>
        <v>56629.33</v>
      </c>
      <c r="G86" s="2">
        <f>D86-E86</f>
        <v>-37915.17</v>
      </c>
      <c r="H86" s="12"/>
    </row>
    <row r="87" spans="1:14" x14ac:dyDescent="0.25">
      <c r="A87" s="27"/>
      <c r="B87" s="29" t="s">
        <v>13</v>
      </c>
      <c r="C87" s="2"/>
      <c r="D87" s="2"/>
      <c r="E87" s="2"/>
      <c r="F87" s="2"/>
      <c r="G87" s="2"/>
      <c r="H87" s="12"/>
    </row>
    <row r="88" spans="1:14" x14ac:dyDescent="0.25">
      <c r="A88" s="27"/>
      <c r="B88" s="29" t="s">
        <v>14</v>
      </c>
      <c r="C88" s="2"/>
      <c r="D88" s="2"/>
      <c r="E88" s="2"/>
      <c r="F88" s="2"/>
      <c r="G88" s="2"/>
      <c r="H88" s="12"/>
    </row>
    <row r="89" spans="1:14" x14ac:dyDescent="0.25">
      <c r="A89" s="27"/>
      <c r="B89" s="30" t="s">
        <v>27</v>
      </c>
      <c r="C89" s="8">
        <f>SUM(C85:C88)</f>
        <v>2341056.58</v>
      </c>
      <c r="D89" s="8">
        <f>SUM(D85:D88)</f>
        <v>1148256.04</v>
      </c>
      <c r="E89" s="8">
        <f>SUM(E85:E88)</f>
        <v>1729541.4499999997</v>
      </c>
      <c r="F89" s="8">
        <f>SUM(F85:F88)</f>
        <v>611515.13000000024</v>
      </c>
      <c r="G89" s="8">
        <f>SUM(G85:G88)</f>
        <v>-581285.4099999998</v>
      </c>
      <c r="H89" s="12"/>
    </row>
    <row r="90" spans="1:14" x14ac:dyDescent="0.25">
      <c r="A90" s="27"/>
      <c r="B90" s="18"/>
      <c r="C90" s="2"/>
      <c r="D90" s="2"/>
      <c r="E90" s="2"/>
      <c r="F90" s="2"/>
      <c r="G90" s="2"/>
      <c r="H90" s="12"/>
    </row>
    <row r="91" spans="1:14" x14ac:dyDescent="0.25">
      <c r="A91" s="27">
        <v>7611</v>
      </c>
      <c r="B91" s="28" t="s">
        <v>23</v>
      </c>
      <c r="C91" s="2"/>
      <c r="D91" s="2"/>
      <c r="E91" s="2"/>
      <c r="F91" s="2"/>
      <c r="G91" s="2"/>
      <c r="H91" s="12"/>
    </row>
    <row r="92" spans="1:14" x14ac:dyDescent="0.25">
      <c r="A92" s="27"/>
      <c r="B92" s="29" t="s">
        <v>11</v>
      </c>
      <c r="C92" s="2">
        <v>992283.32</v>
      </c>
      <c r="D92" s="2">
        <f>C92/4*2</f>
        <v>496141.66</v>
      </c>
      <c r="E92" s="11">
        <f>84286.36+68536.36+68486.36+75036.36+104009.86+68536.36+68286.36+68536.36+68536.36</f>
        <v>674250.74</v>
      </c>
      <c r="F92" s="2">
        <f>C92-E92</f>
        <v>318032.57999999996</v>
      </c>
      <c r="G92" s="2">
        <f>D92-E92</f>
        <v>-178109.08000000002</v>
      </c>
      <c r="H92" s="12"/>
    </row>
    <row r="93" spans="1:14" x14ac:dyDescent="0.25">
      <c r="A93" s="27"/>
      <c r="B93" s="29" t="s">
        <v>12</v>
      </c>
      <c r="C93" s="2">
        <v>157000.95000000001</v>
      </c>
      <c r="D93" s="2">
        <v>100000</v>
      </c>
      <c r="E93" s="2">
        <f>26300+5800+15920.75+9030+23743+13272+2540+14973+5300</f>
        <v>116878.75</v>
      </c>
      <c r="F93" s="2">
        <f>C93-E93</f>
        <v>40122.200000000012</v>
      </c>
      <c r="G93" s="2">
        <f>D93-E93</f>
        <v>-16878.75</v>
      </c>
      <c r="H93" s="12"/>
    </row>
    <row r="94" spans="1:14" x14ac:dyDescent="0.25">
      <c r="A94" s="27"/>
      <c r="B94" s="29" t="s">
        <v>13</v>
      </c>
      <c r="C94" s="2">
        <v>20000</v>
      </c>
      <c r="D94" s="2"/>
      <c r="E94" s="2"/>
      <c r="F94" s="2"/>
      <c r="G94" s="2"/>
      <c r="H94" s="12"/>
    </row>
    <row r="95" spans="1:14" x14ac:dyDescent="0.25">
      <c r="A95" s="27"/>
      <c r="B95" s="29" t="s">
        <v>14</v>
      </c>
      <c r="C95" s="2"/>
      <c r="D95" s="2"/>
      <c r="E95" s="2"/>
      <c r="F95" s="2"/>
      <c r="G95" s="2"/>
      <c r="H95" s="12"/>
    </row>
    <row r="96" spans="1:14" x14ac:dyDescent="0.25">
      <c r="A96" s="27"/>
      <c r="B96" s="30" t="s">
        <v>27</v>
      </c>
      <c r="C96" s="8">
        <f>SUM(C92:C95)</f>
        <v>1169284.27</v>
      </c>
      <c r="D96" s="8">
        <f>SUM(D92:D95)</f>
        <v>596141.65999999992</v>
      </c>
      <c r="E96" s="8">
        <f>SUM(E92:E95)</f>
        <v>791129.49</v>
      </c>
      <c r="F96" s="8">
        <f>SUM(F92:F95)</f>
        <v>358154.77999999997</v>
      </c>
      <c r="G96" s="8">
        <f>SUM(G92:G95)</f>
        <v>-194987.83000000002</v>
      </c>
      <c r="H96" s="12"/>
    </row>
    <row r="97" spans="1:8" x14ac:dyDescent="0.25">
      <c r="A97" s="27"/>
      <c r="B97" s="18"/>
      <c r="C97" s="2"/>
      <c r="D97" s="2"/>
      <c r="E97" s="2"/>
      <c r="F97" s="2"/>
      <c r="G97" s="2"/>
      <c r="H97" s="12"/>
    </row>
    <row r="98" spans="1:8" x14ac:dyDescent="0.25">
      <c r="A98" s="27">
        <v>8711</v>
      </c>
      <c r="B98" s="28" t="s">
        <v>24</v>
      </c>
      <c r="C98" s="2"/>
      <c r="D98" s="2"/>
      <c r="E98" s="2"/>
      <c r="F98" s="2"/>
      <c r="G98" s="2"/>
      <c r="H98" s="12"/>
    </row>
    <row r="99" spans="1:8" x14ac:dyDescent="0.25">
      <c r="A99" s="27"/>
      <c r="B99" s="29" t="s">
        <v>11</v>
      </c>
      <c r="C99" s="2">
        <v>752074.44</v>
      </c>
      <c r="D99" s="2">
        <f>C99/4*2</f>
        <v>376037.22</v>
      </c>
      <c r="E99" s="11">
        <f>68568.62+56568.62+56568.62+62568.62+84194.12+56568.62+56568.62+56568.62+56568.62</f>
        <v>554743.07999999996</v>
      </c>
      <c r="F99" s="2">
        <f>C99-E99</f>
        <v>197331.36</v>
      </c>
      <c r="G99" s="2">
        <f>D99-E99</f>
        <v>-178705.86</v>
      </c>
      <c r="H99" s="12"/>
    </row>
    <row r="100" spans="1:8" x14ac:dyDescent="0.25">
      <c r="A100" s="27"/>
      <c r="B100" s="29" t="s">
        <v>12</v>
      </c>
      <c r="C100" s="2">
        <v>72539.5</v>
      </c>
      <c r="D100" s="2">
        <v>25000</v>
      </c>
      <c r="E100" s="2">
        <f>6720.03+214+1104.34+3376.27+9654+923.33+2185.75+9132.7</f>
        <v>33310.42</v>
      </c>
      <c r="F100" s="2">
        <f>C100-E100</f>
        <v>39229.08</v>
      </c>
      <c r="G100" s="2">
        <f>D100-E100</f>
        <v>-8310.4199999999983</v>
      </c>
      <c r="H100" s="12"/>
    </row>
    <row r="101" spans="1:8" x14ac:dyDescent="0.25">
      <c r="A101" s="27"/>
      <c r="B101" s="29" t="s">
        <v>13</v>
      </c>
      <c r="C101" s="2"/>
      <c r="D101" s="2"/>
      <c r="E101" s="2"/>
      <c r="F101" s="2"/>
      <c r="G101" s="2"/>
      <c r="H101" s="12"/>
    </row>
    <row r="102" spans="1:8" x14ac:dyDescent="0.25">
      <c r="A102" s="27"/>
      <c r="B102" s="29" t="s">
        <v>14</v>
      </c>
      <c r="C102" s="2"/>
      <c r="D102" s="2"/>
      <c r="E102" s="2"/>
      <c r="F102" s="2"/>
      <c r="G102" s="2"/>
      <c r="H102" s="12"/>
    </row>
    <row r="103" spans="1:8" x14ac:dyDescent="0.25">
      <c r="A103" s="27"/>
      <c r="B103" s="30" t="s">
        <v>27</v>
      </c>
      <c r="C103" s="8">
        <f>SUM(C99:C102)</f>
        <v>824613.94</v>
      </c>
      <c r="D103" s="8">
        <f>SUM(D99:D102)</f>
        <v>401037.22</v>
      </c>
      <c r="E103" s="8">
        <f>SUM(E99:E102)</f>
        <v>588053.5</v>
      </c>
      <c r="F103" s="8">
        <f>SUM(F99:F102)</f>
        <v>236560.44</v>
      </c>
      <c r="G103" s="8">
        <f>SUM(G99:G102)</f>
        <v>-187016.27999999997</v>
      </c>
      <c r="H103" s="12"/>
    </row>
    <row r="104" spans="1:8" x14ac:dyDescent="0.25">
      <c r="A104" s="27"/>
      <c r="B104" s="18"/>
      <c r="C104" s="2"/>
      <c r="D104" s="2"/>
      <c r="E104" s="2"/>
      <c r="F104" s="2"/>
      <c r="G104" s="2"/>
      <c r="H104" s="12"/>
    </row>
    <row r="105" spans="1:8" x14ac:dyDescent="0.25">
      <c r="A105" s="27">
        <v>8751</v>
      </c>
      <c r="B105" s="28" t="s">
        <v>25</v>
      </c>
      <c r="C105" s="2"/>
      <c r="D105" s="2"/>
      <c r="E105" s="2"/>
      <c r="F105" s="2"/>
      <c r="G105" s="2"/>
      <c r="H105" s="12"/>
    </row>
    <row r="106" spans="1:8" x14ac:dyDescent="0.25">
      <c r="A106" s="27"/>
      <c r="B106" s="29" t="s">
        <v>11</v>
      </c>
      <c r="C106" s="2">
        <v>834996</v>
      </c>
      <c r="D106" s="2">
        <f>C106/4*2</f>
        <v>417498</v>
      </c>
      <c r="E106" s="11">
        <f>74640.31+62740.31+62640.31+68640.31+92196.81+63129.75+63129.75+63229.75+63229.75</f>
        <v>613577.05000000005</v>
      </c>
      <c r="F106" s="2">
        <f>C106-E106</f>
        <v>221418.94999999995</v>
      </c>
      <c r="G106" s="2">
        <f>D106-E106</f>
        <v>-196079.05000000005</v>
      </c>
      <c r="H106" s="12"/>
    </row>
    <row r="107" spans="1:8" x14ac:dyDescent="0.25">
      <c r="A107" s="27"/>
      <c r="B107" s="29" t="s">
        <v>12</v>
      </c>
      <c r="C107" s="2">
        <v>45705</v>
      </c>
      <c r="D107" s="2">
        <v>5000</v>
      </c>
      <c r="E107" s="2">
        <f>300+390+755+7545+2000+4900</f>
        <v>15890</v>
      </c>
      <c r="F107" s="2">
        <f>C107-E107</f>
        <v>29815</v>
      </c>
      <c r="G107" s="2">
        <f>D107-E107</f>
        <v>-10890</v>
      </c>
      <c r="H107" s="12"/>
    </row>
    <row r="108" spans="1:8" x14ac:dyDescent="0.25">
      <c r="A108" s="27"/>
      <c r="B108" s="29" t="s">
        <v>13</v>
      </c>
      <c r="C108" s="2">
        <v>20000</v>
      </c>
      <c r="D108" s="2"/>
      <c r="E108" s="2"/>
      <c r="F108" s="2"/>
      <c r="G108" s="2"/>
      <c r="H108" s="12"/>
    </row>
    <row r="109" spans="1:8" x14ac:dyDescent="0.25">
      <c r="A109" s="27"/>
      <c r="B109" s="29" t="s">
        <v>14</v>
      </c>
      <c r="C109" s="2"/>
      <c r="D109" s="2"/>
      <c r="E109" s="2"/>
      <c r="F109" s="2"/>
      <c r="G109" s="2"/>
      <c r="H109" s="12"/>
    </row>
    <row r="110" spans="1:8" x14ac:dyDescent="0.25">
      <c r="A110" s="27"/>
      <c r="B110" s="30" t="s">
        <v>27</v>
      </c>
      <c r="C110" s="8">
        <f>SUM(C106:C109)</f>
        <v>900701</v>
      </c>
      <c r="D110" s="8">
        <f>SUM(D106:D109)</f>
        <v>422498</v>
      </c>
      <c r="E110" s="8">
        <f>SUM(E106:E109)</f>
        <v>629467.05000000005</v>
      </c>
      <c r="F110" s="8">
        <f>SUM(F106:F109)</f>
        <v>251233.94999999995</v>
      </c>
      <c r="G110" s="8">
        <f>SUM(G106:G109)</f>
        <v>-206969.05000000005</v>
      </c>
      <c r="H110" s="12"/>
    </row>
    <row r="111" spans="1:8" x14ac:dyDescent="0.25">
      <c r="A111" s="27"/>
      <c r="B111" s="18"/>
      <c r="C111" s="2"/>
      <c r="D111" s="2"/>
      <c r="E111" s="2"/>
      <c r="F111" s="2"/>
      <c r="G111" s="2"/>
      <c r="H111" s="12"/>
    </row>
    <row r="112" spans="1:8" x14ac:dyDescent="0.25">
      <c r="A112" s="27">
        <v>8811</v>
      </c>
      <c r="B112" s="28" t="s">
        <v>26</v>
      </c>
      <c r="C112" s="2"/>
      <c r="D112" s="2"/>
      <c r="E112" s="2"/>
      <c r="F112" s="2"/>
      <c r="G112" s="2"/>
      <c r="H112" s="12"/>
    </row>
    <row r="113" spans="1:8" x14ac:dyDescent="0.25">
      <c r="A113" s="27"/>
      <c r="B113" s="29" t="s">
        <v>11</v>
      </c>
      <c r="C113" s="2"/>
      <c r="D113" s="2"/>
      <c r="E113" s="2"/>
      <c r="F113" s="2">
        <f>C113-E113</f>
        <v>0</v>
      </c>
      <c r="G113" s="2">
        <f>D113-E113</f>
        <v>0</v>
      </c>
      <c r="H113" s="12"/>
    </row>
    <row r="114" spans="1:8" x14ac:dyDescent="0.25">
      <c r="A114" s="27"/>
      <c r="B114" s="29" t="s">
        <v>12</v>
      </c>
      <c r="C114" s="2">
        <v>42119</v>
      </c>
      <c r="D114" s="2">
        <v>10000</v>
      </c>
      <c r="E114" s="2">
        <f>7267+12690</f>
        <v>19957</v>
      </c>
      <c r="F114" s="2">
        <f>C114-E114</f>
        <v>22162</v>
      </c>
      <c r="G114" s="2">
        <f>D114-E114</f>
        <v>-9957</v>
      </c>
      <c r="H114" s="12"/>
    </row>
    <row r="115" spans="1:8" x14ac:dyDescent="0.25">
      <c r="A115" s="27"/>
      <c r="B115" s="29" t="s">
        <v>13</v>
      </c>
      <c r="C115" s="2"/>
      <c r="D115" s="2"/>
      <c r="E115" s="2"/>
      <c r="F115" s="2"/>
      <c r="G115" s="2"/>
      <c r="H115" s="12"/>
    </row>
    <row r="116" spans="1:8" x14ac:dyDescent="0.25">
      <c r="A116" s="27"/>
      <c r="B116" s="29" t="s">
        <v>14</v>
      </c>
      <c r="C116" s="2"/>
      <c r="D116" s="2"/>
      <c r="E116" s="2"/>
      <c r="F116" s="2"/>
      <c r="G116" s="2"/>
      <c r="H116" s="12"/>
    </row>
    <row r="117" spans="1:8" x14ac:dyDescent="0.25">
      <c r="A117" s="31"/>
      <c r="B117" s="30" t="s">
        <v>27</v>
      </c>
      <c r="C117" s="8">
        <f>SUM(C113:C116)</f>
        <v>42119</v>
      </c>
      <c r="D117" s="8">
        <f>SUM(D113:D116)</f>
        <v>10000</v>
      </c>
      <c r="E117" s="8">
        <f>SUM(E113:E116)</f>
        <v>19957</v>
      </c>
      <c r="F117" s="8">
        <f>SUM(F113:F116)</f>
        <v>22162</v>
      </c>
      <c r="G117" s="8">
        <f>SUM(G113:G116)</f>
        <v>-9957</v>
      </c>
      <c r="H117" s="12"/>
    </row>
    <row r="118" spans="1:8" ht="15.75" thickBot="1" x14ac:dyDescent="0.3">
      <c r="A118" s="37"/>
      <c r="B118" s="38"/>
      <c r="C118" s="9"/>
      <c r="D118" s="9"/>
      <c r="E118" s="9"/>
      <c r="F118" s="9"/>
      <c r="G118" s="34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C120" s="12"/>
      <c r="D120" s="12"/>
      <c r="E120" s="12"/>
      <c r="F120" s="12"/>
      <c r="G120" s="12"/>
      <c r="H120" s="12"/>
    </row>
    <row r="121" spans="1:8" x14ac:dyDescent="0.25">
      <c r="C121" s="12"/>
      <c r="D121" s="12"/>
      <c r="E121" s="12"/>
      <c r="F121" s="12"/>
      <c r="G121" s="12"/>
      <c r="H121" s="12"/>
    </row>
    <row r="122" spans="1:8" x14ac:dyDescent="0.25">
      <c r="A122" s="13" t="s">
        <v>0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13" t="s">
        <v>1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13" t="s">
        <v>2</v>
      </c>
      <c r="B124" s="36"/>
      <c r="C124" s="10"/>
      <c r="D124" s="10"/>
      <c r="E124" s="10"/>
      <c r="F124" s="10"/>
      <c r="G124" s="10"/>
      <c r="H124" s="12"/>
    </row>
    <row r="125" spans="1:8" x14ac:dyDescent="0.25">
      <c r="A125" s="24" t="s">
        <v>122</v>
      </c>
      <c r="B125" s="36"/>
      <c r="C125" s="10"/>
      <c r="D125" s="10"/>
      <c r="E125" s="10"/>
      <c r="F125" s="10"/>
      <c r="G125" s="10"/>
      <c r="H125" s="12"/>
    </row>
    <row r="126" spans="1:8" x14ac:dyDescent="0.25">
      <c r="A126" s="35"/>
      <c r="B126" s="36"/>
      <c r="C126" s="10"/>
      <c r="D126" s="10"/>
      <c r="E126" s="10"/>
      <c r="F126" s="10"/>
      <c r="G126" s="10"/>
      <c r="H126" s="12"/>
    </row>
    <row r="127" spans="1:8" x14ac:dyDescent="0.25">
      <c r="A127" s="88" t="s">
        <v>3</v>
      </c>
      <c r="B127" s="88" t="s">
        <v>4</v>
      </c>
      <c r="C127" s="88" t="s">
        <v>5</v>
      </c>
      <c r="D127" s="88" t="s">
        <v>6</v>
      </c>
      <c r="E127" s="88" t="s">
        <v>7</v>
      </c>
      <c r="F127" s="15" t="s">
        <v>8</v>
      </c>
      <c r="G127" s="15" t="s">
        <v>8</v>
      </c>
      <c r="H127" s="12"/>
    </row>
    <row r="128" spans="1:8" x14ac:dyDescent="0.25">
      <c r="A128" s="89"/>
      <c r="B128" s="89"/>
      <c r="C128" s="89"/>
      <c r="D128" s="89"/>
      <c r="E128" s="89"/>
      <c r="F128" s="16" t="s">
        <v>5</v>
      </c>
      <c r="G128" s="16" t="s">
        <v>6</v>
      </c>
      <c r="H128" s="12"/>
    </row>
    <row r="129" spans="1:12" x14ac:dyDescent="0.25">
      <c r="A129" s="17"/>
      <c r="B129" s="17"/>
      <c r="C129" s="19"/>
      <c r="D129" s="19"/>
      <c r="E129" s="19"/>
      <c r="F129" s="19"/>
      <c r="G129" s="19"/>
      <c r="H129" s="12"/>
    </row>
    <row r="130" spans="1:12" x14ac:dyDescent="0.25">
      <c r="A130" s="18" t="s">
        <v>29</v>
      </c>
      <c r="B130" s="18" t="s">
        <v>38</v>
      </c>
      <c r="C130" s="2">
        <v>33446.199999999997</v>
      </c>
      <c r="D130" s="2"/>
      <c r="E130" s="2"/>
      <c r="F130" s="2">
        <f t="shared" ref="F130:F169" si="2">C130-E130</f>
        <v>33446.199999999997</v>
      </c>
      <c r="G130" s="2">
        <f t="shared" ref="G130:G171" si="3">D130-E130</f>
        <v>0</v>
      </c>
      <c r="H130" s="12"/>
    </row>
    <row r="131" spans="1:12" x14ac:dyDescent="0.25">
      <c r="A131" s="18"/>
      <c r="B131" s="18" t="s">
        <v>31</v>
      </c>
      <c r="C131" s="2">
        <v>300000</v>
      </c>
      <c r="D131" s="2">
        <v>300000</v>
      </c>
      <c r="E131" s="2">
        <f>24296.11+600+50000+304000</f>
        <v>378896.11</v>
      </c>
      <c r="F131" s="2">
        <f t="shared" si="2"/>
        <v>-78896.109999999986</v>
      </c>
      <c r="G131" s="2">
        <f t="shared" si="3"/>
        <v>-78896.109999999986</v>
      </c>
      <c r="H131" s="12"/>
    </row>
    <row r="132" spans="1:12" x14ac:dyDescent="0.25">
      <c r="A132" s="18"/>
      <c r="B132" s="18" t="s">
        <v>93</v>
      </c>
      <c r="C132" s="2">
        <v>60000</v>
      </c>
      <c r="D132" s="2">
        <v>60000</v>
      </c>
      <c r="E132" s="2">
        <f>1375+11078+25420+3220+4475+49484+7124</f>
        <v>102176</v>
      </c>
      <c r="F132" s="2">
        <f t="shared" si="2"/>
        <v>-42176</v>
      </c>
      <c r="G132" s="2">
        <f t="shared" si="3"/>
        <v>-42176</v>
      </c>
      <c r="H132" s="12"/>
      <c r="J132" s="12"/>
    </row>
    <row r="133" spans="1:12" x14ac:dyDescent="0.25">
      <c r="A133" s="18"/>
      <c r="B133" s="18" t="s">
        <v>32</v>
      </c>
      <c r="C133" s="2">
        <v>30000</v>
      </c>
      <c r="D133" s="2">
        <v>10000</v>
      </c>
      <c r="E133" s="2">
        <f>7600+70</f>
        <v>7670</v>
      </c>
      <c r="F133" s="2">
        <f t="shared" si="2"/>
        <v>22330</v>
      </c>
      <c r="G133" s="2">
        <f t="shared" si="3"/>
        <v>2330</v>
      </c>
      <c r="H133" s="12"/>
      <c r="J133" s="12">
        <v>857870</v>
      </c>
    </row>
    <row r="134" spans="1:12" x14ac:dyDescent="0.25">
      <c r="A134" s="18"/>
      <c r="B134" s="18" t="s">
        <v>94</v>
      </c>
      <c r="C134" s="2">
        <v>50000</v>
      </c>
      <c r="D134" s="2">
        <v>20000</v>
      </c>
      <c r="E134" s="2">
        <f>6693+7030.5+3000</f>
        <v>16723.5</v>
      </c>
      <c r="F134" s="2">
        <f t="shared" si="2"/>
        <v>33276.5</v>
      </c>
      <c r="G134" s="2">
        <f t="shared" si="3"/>
        <v>3276.5</v>
      </c>
      <c r="H134" s="12"/>
      <c r="J134" s="12"/>
    </row>
    <row r="135" spans="1:12" x14ac:dyDescent="0.25">
      <c r="A135" s="18"/>
      <c r="B135" s="18" t="s">
        <v>95</v>
      </c>
      <c r="C135" s="2">
        <v>650000</v>
      </c>
      <c r="D135" s="2"/>
      <c r="E135" s="2"/>
      <c r="F135" s="2">
        <f t="shared" si="2"/>
        <v>650000</v>
      </c>
      <c r="G135" s="2">
        <f t="shared" si="3"/>
        <v>0</v>
      </c>
      <c r="H135" s="12"/>
      <c r="J135" s="12"/>
      <c r="L135" s="13">
        <f>30*6</f>
        <v>180</v>
      </c>
    </row>
    <row r="136" spans="1:12" x14ac:dyDescent="0.25">
      <c r="A136" s="18"/>
      <c r="B136" s="18" t="s">
        <v>35</v>
      </c>
      <c r="C136" s="2">
        <v>170000</v>
      </c>
      <c r="D136" s="2">
        <v>170000</v>
      </c>
      <c r="E136" s="2">
        <f>16850+62900+56050+25800</f>
        <v>161600</v>
      </c>
      <c r="F136" s="2">
        <f t="shared" si="2"/>
        <v>8400</v>
      </c>
      <c r="G136" s="2">
        <f t="shared" si="3"/>
        <v>8400</v>
      </c>
      <c r="H136" s="12" t="s">
        <v>120</v>
      </c>
      <c r="J136" s="12">
        <f>J133*55%</f>
        <v>471828.50000000006</v>
      </c>
      <c r="L136" s="13">
        <f>L135*12</f>
        <v>2160</v>
      </c>
    </row>
    <row r="137" spans="1:12" x14ac:dyDescent="0.25">
      <c r="A137" s="18"/>
      <c r="B137" s="18" t="s">
        <v>96</v>
      </c>
      <c r="C137" s="2">
        <v>20000</v>
      </c>
      <c r="D137" s="2"/>
      <c r="E137" s="2"/>
      <c r="F137" s="2">
        <f t="shared" si="2"/>
        <v>20000</v>
      </c>
      <c r="G137" s="2">
        <f t="shared" si="3"/>
        <v>0</v>
      </c>
      <c r="J137" s="12"/>
    </row>
    <row r="138" spans="1:12" x14ac:dyDescent="0.25">
      <c r="A138" s="18"/>
      <c r="B138" s="18" t="s">
        <v>100</v>
      </c>
      <c r="C138" s="2">
        <v>300000</v>
      </c>
      <c r="D138" s="2">
        <v>40000</v>
      </c>
      <c r="E138" s="2">
        <f>15000+20000</f>
        <v>35000</v>
      </c>
      <c r="F138" s="2">
        <f t="shared" si="2"/>
        <v>265000</v>
      </c>
      <c r="G138" s="2">
        <f t="shared" si="3"/>
        <v>5000</v>
      </c>
      <c r="J138" s="12"/>
    </row>
    <row r="139" spans="1:12" x14ac:dyDescent="0.25">
      <c r="A139" s="18"/>
      <c r="B139" s="18" t="s">
        <v>33</v>
      </c>
      <c r="C139" s="2">
        <v>50000</v>
      </c>
      <c r="D139" s="2">
        <v>50000</v>
      </c>
      <c r="E139" s="2">
        <f>3300+5920+36300+33700+33800</f>
        <v>113020</v>
      </c>
      <c r="F139" s="2">
        <f t="shared" si="2"/>
        <v>-63020</v>
      </c>
      <c r="G139" s="2">
        <f t="shared" si="3"/>
        <v>-63020</v>
      </c>
      <c r="J139" s="12">
        <f>150*3000</f>
        <v>450000</v>
      </c>
      <c r="L139" s="13">
        <f>300*150</f>
        <v>45000</v>
      </c>
    </row>
    <row r="140" spans="1:12" x14ac:dyDescent="0.25">
      <c r="A140" s="18"/>
      <c r="B140" s="18" t="s">
        <v>97</v>
      </c>
      <c r="C140" s="2">
        <v>25000</v>
      </c>
      <c r="D140" s="2">
        <v>25000</v>
      </c>
      <c r="E140" s="2">
        <v>20499</v>
      </c>
      <c r="F140" s="2">
        <f t="shared" si="2"/>
        <v>4501</v>
      </c>
      <c r="G140" s="2">
        <f t="shared" si="3"/>
        <v>4501</v>
      </c>
      <c r="J140" s="12"/>
    </row>
    <row r="141" spans="1:12" x14ac:dyDescent="0.25">
      <c r="A141" s="18"/>
      <c r="B141" s="18" t="s">
        <v>39</v>
      </c>
      <c r="C141" s="2">
        <v>50000</v>
      </c>
      <c r="D141" s="2">
        <v>20000</v>
      </c>
      <c r="E141" s="2">
        <f>10299+455+7894+5640</f>
        <v>24288</v>
      </c>
      <c r="F141" s="2">
        <f t="shared" si="2"/>
        <v>25712</v>
      </c>
      <c r="G141" s="2">
        <f t="shared" si="3"/>
        <v>-4288</v>
      </c>
      <c r="J141" s="13">
        <f>35*3</f>
        <v>105</v>
      </c>
    </row>
    <row r="142" spans="1:12" x14ac:dyDescent="0.25">
      <c r="A142" s="18"/>
      <c r="B142" s="18" t="s">
        <v>40</v>
      </c>
      <c r="C142" s="2">
        <v>50000</v>
      </c>
      <c r="D142" s="2">
        <v>15000</v>
      </c>
      <c r="E142" s="2">
        <f>1671+5835.33+2493.5+1000</f>
        <v>10999.83</v>
      </c>
      <c r="F142" s="2">
        <f t="shared" si="2"/>
        <v>39000.17</v>
      </c>
      <c r="G142" s="2">
        <f t="shared" si="3"/>
        <v>4000.17</v>
      </c>
      <c r="J142" s="13">
        <f>J141*6</f>
        <v>630</v>
      </c>
    </row>
    <row r="143" spans="1:12" x14ac:dyDescent="0.25">
      <c r="A143" s="18"/>
      <c r="B143" s="18" t="s">
        <v>36</v>
      </c>
      <c r="C143" s="2">
        <v>20000</v>
      </c>
      <c r="D143" s="2">
        <v>5000</v>
      </c>
      <c r="E143" s="2">
        <f>1588.5+1077+1500+579</f>
        <v>4744.5</v>
      </c>
      <c r="F143" s="2">
        <f t="shared" si="2"/>
        <v>15255.5</v>
      </c>
      <c r="G143" s="2">
        <f t="shared" si="3"/>
        <v>255.5</v>
      </c>
    </row>
    <row r="144" spans="1:12" x14ac:dyDescent="0.25">
      <c r="A144" s="18"/>
      <c r="B144" s="18" t="s">
        <v>98</v>
      </c>
      <c r="C144" s="2">
        <v>80000</v>
      </c>
      <c r="D144" s="2">
        <v>50000</v>
      </c>
      <c r="E144" s="2">
        <f>20896.8+5100+3900+325+10330</f>
        <v>40551.800000000003</v>
      </c>
      <c r="F144" s="2">
        <f t="shared" si="2"/>
        <v>39448.199999999997</v>
      </c>
      <c r="G144" s="2">
        <f t="shared" si="3"/>
        <v>9448.1999999999971</v>
      </c>
    </row>
    <row r="145" spans="1:10" x14ac:dyDescent="0.25">
      <c r="A145" s="18"/>
      <c r="B145" s="18" t="s">
        <v>30</v>
      </c>
      <c r="C145" s="2">
        <v>55000</v>
      </c>
      <c r="D145" s="2">
        <v>55000</v>
      </c>
      <c r="E145" s="2">
        <f>4000+28303+23270</f>
        <v>55573</v>
      </c>
      <c r="F145" s="2">
        <f t="shared" si="2"/>
        <v>-573</v>
      </c>
      <c r="G145" s="2">
        <f t="shared" si="3"/>
        <v>-573</v>
      </c>
    </row>
    <row r="146" spans="1:10" x14ac:dyDescent="0.25">
      <c r="A146" s="18"/>
      <c r="B146" s="18" t="s">
        <v>99</v>
      </c>
      <c r="C146" s="2">
        <v>700000</v>
      </c>
      <c r="D146" s="2"/>
      <c r="E146" s="2"/>
      <c r="F146" s="2">
        <f t="shared" si="2"/>
        <v>700000</v>
      </c>
      <c r="G146" s="2">
        <f t="shared" si="3"/>
        <v>0</v>
      </c>
      <c r="H146" s="13" t="s">
        <v>121</v>
      </c>
    </row>
    <row r="147" spans="1:10" x14ac:dyDescent="0.25">
      <c r="A147" s="18"/>
      <c r="B147" s="18" t="s">
        <v>109</v>
      </c>
      <c r="C147" s="2">
        <v>180000</v>
      </c>
      <c r="D147" s="2">
        <v>180000</v>
      </c>
      <c r="E147" s="2">
        <f>9081+55572.5+32601.6+40902.2+53656.75+8150+17470</f>
        <v>217434.05</v>
      </c>
      <c r="F147" s="2">
        <f t="shared" si="2"/>
        <v>-37434.049999999988</v>
      </c>
      <c r="G147" s="2">
        <f t="shared" si="3"/>
        <v>-37434.049999999988</v>
      </c>
    </row>
    <row r="148" spans="1:10" x14ac:dyDescent="0.25">
      <c r="A148" s="18"/>
      <c r="B148" s="18" t="s">
        <v>110</v>
      </c>
      <c r="C148" s="2">
        <v>700000</v>
      </c>
      <c r="D148" s="2">
        <v>700000</v>
      </c>
      <c r="E148" s="2">
        <f>55900+131950+113200+126800+81100+53550+126500</f>
        <v>689000</v>
      </c>
      <c r="F148" s="2">
        <f t="shared" si="2"/>
        <v>11000</v>
      </c>
      <c r="G148" s="2">
        <f t="shared" si="3"/>
        <v>11000</v>
      </c>
    </row>
    <row r="149" spans="1:10" x14ac:dyDescent="0.25">
      <c r="A149" s="18"/>
      <c r="B149" s="18" t="s">
        <v>49</v>
      </c>
      <c r="C149" s="2">
        <v>30000</v>
      </c>
      <c r="D149" s="2">
        <v>30000</v>
      </c>
      <c r="E149" s="2">
        <f>5000+18000</f>
        <v>23000</v>
      </c>
      <c r="F149" s="2">
        <f t="shared" si="2"/>
        <v>7000</v>
      </c>
      <c r="G149" s="2">
        <f t="shared" si="3"/>
        <v>7000</v>
      </c>
    </row>
    <row r="150" spans="1:10" x14ac:dyDescent="0.25">
      <c r="A150" s="18"/>
      <c r="B150" s="18" t="s">
        <v>101</v>
      </c>
      <c r="C150" s="2">
        <v>20000</v>
      </c>
      <c r="D150" s="2"/>
      <c r="E150" s="2"/>
      <c r="F150" s="2">
        <f t="shared" si="2"/>
        <v>20000</v>
      </c>
      <c r="G150" s="2">
        <f t="shared" si="3"/>
        <v>0</v>
      </c>
    </row>
    <row r="151" spans="1:10" x14ac:dyDescent="0.25">
      <c r="A151" s="18"/>
      <c r="B151" s="18" t="s">
        <v>50</v>
      </c>
      <c r="C151" s="2">
        <v>20000</v>
      </c>
      <c r="D151" s="2">
        <v>10000</v>
      </c>
      <c r="E151" s="2">
        <f>1206+4260+300+3552</f>
        <v>9318</v>
      </c>
      <c r="F151" s="2">
        <f t="shared" si="2"/>
        <v>10682</v>
      </c>
      <c r="G151" s="2">
        <f t="shared" si="3"/>
        <v>682</v>
      </c>
    </row>
    <row r="152" spans="1:10" x14ac:dyDescent="0.25">
      <c r="A152" s="18"/>
      <c r="B152" s="18" t="s">
        <v>102</v>
      </c>
      <c r="C152" s="2">
        <v>10000</v>
      </c>
      <c r="D152" s="2">
        <v>10000</v>
      </c>
      <c r="E152" s="2">
        <v>10000</v>
      </c>
      <c r="F152" s="2">
        <f t="shared" si="2"/>
        <v>0</v>
      </c>
      <c r="G152" s="2">
        <f t="shared" si="3"/>
        <v>0</v>
      </c>
    </row>
    <row r="153" spans="1:10" x14ac:dyDescent="0.25">
      <c r="A153" s="18"/>
      <c r="B153" s="18" t="s">
        <v>51</v>
      </c>
      <c r="C153" s="2">
        <v>200000</v>
      </c>
      <c r="D153" s="2">
        <v>200000</v>
      </c>
      <c r="E153" s="2">
        <f>25671+9061+37101+72210.5+33516+20434.6+30020</f>
        <v>228014.1</v>
      </c>
      <c r="F153" s="2">
        <f t="shared" si="2"/>
        <v>-28014.100000000006</v>
      </c>
      <c r="G153" s="2">
        <f t="shared" si="3"/>
        <v>-28014.100000000006</v>
      </c>
    </row>
    <row r="154" spans="1:10" x14ac:dyDescent="0.25">
      <c r="A154" s="18"/>
      <c r="B154" s="18" t="s">
        <v>103</v>
      </c>
      <c r="C154" s="2">
        <v>500000</v>
      </c>
      <c r="D154" s="2"/>
      <c r="E154" s="2"/>
      <c r="F154" s="2">
        <f t="shared" si="2"/>
        <v>500000</v>
      </c>
      <c r="G154" s="2">
        <f t="shared" si="3"/>
        <v>0</v>
      </c>
      <c r="J154" s="14"/>
    </row>
    <row r="155" spans="1:10" x14ac:dyDescent="0.25">
      <c r="A155" s="18"/>
      <c r="B155" s="18" t="s">
        <v>52</v>
      </c>
      <c r="C155" s="2">
        <v>50000</v>
      </c>
      <c r="D155" s="2"/>
      <c r="E155" s="2">
        <v>32271.5</v>
      </c>
      <c r="F155" s="2">
        <f t="shared" si="2"/>
        <v>17728.5</v>
      </c>
      <c r="G155" s="2">
        <f t="shared" si="3"/>
        <v>-32271.5</v>
      </c>
    </row>
    <row r="156" spans="1:10" x14ac:dyDescent="0.25">
      <c r="A156" s="18"/>
      <c r="B156" s="18" t="s">
        <v>104</v>
      </c>
      <c r="C156" s="2">
        <v>700000</v>
      </c>
      <c r="D156" s="2">
        <v>200000</v>
      </c>
      <c r="E156" s="2">
        <v>194101</v>
      </c>
      <c r="F156" s="2">
        <f t="shared" si="2"/>
        <v>505899</v>
      </c>
      <c r="G156" s="2">
        <f t="shared" si="3"/>
        <v>5899</v>
      </c>
    </row>
    <row r="157" spans="1:10" x14ac:dyDescent="0.25">
      <c r="A157" s="18"/>
      <c r="B157" s="18" t="s">
        <v>34</v>
      </c>
      <c r="C157" s="2">
        <v>40000</v>
      </c>
      <c r="D157" s="2">
        <v>10000</v>
      </c>
      <c r="E157" s="2">
        <f>3100+1905+1800+2300+300</f>
        <v>9405</v>
      </c>
      <c r="F157" s="2">
        <f t="shared" si="2"/>
        <v>30595</v>
      </c>
      <c r="G157" s="2">
        <f t="shared" si="3"/>
        <v>595</v>
      </c>
    </row>
    <row r="158" spans="1:10" x14ac:dyDescent="0.25">
      <c r="A158" s="18"/>
      <c r="B158" s="18" t="s">
        <v>48</v>
      </c>
      <c r="C158" s="2">
        <v>35000</v>
      </c>
      <c r="D158" s="2"/>
      <c r="E158" s="2"/>
      <c r="F158" s="2">
        <f t="shared" si="2"/>
        <v>35000</v>
      </c>
      <c r="G158" s="2">
        <f t="shared" si="3"/>
        <v>0</v>
      </c>
      <c r="I158" s="13">
        <f>150*455</f>
        <v>68250</v>
      </c>
    </row>
    <row r="159" spans="1:10" x14ac:dyDescent="0.25">
      <c r="A159" s="18"/>
      <c r="B159" s="18" t="s">
        <v>37</v>
      </c>
      <c r="C159" s="2">
        <v>30000</v>
      </c>
      <c r="D159" s="2"/>
      <c r="E159" s="2"/>
      <c r="F159" s="2">
        <f t="shared" si="2"/>
        <v>30000</v>
      </c>
      <c r="G159" s="2">
        <f t="shared" si="3"/>
        <v>0</v>
      </c>
    </row>
    <row r="160" spans="1:10" x14ac:dyDescent="0.25">
      <c r="A160" s="18"/>
      <c r="B160" s="18" t="s">
        <v>105</v>
      </c>
      <c r="C160" s="2">
        <v>550000</v>
      </c>
      <c r="D160" s="2">
        <v>350000</v>
      </c>
      <c r="E160" s="2">
        <f>2990+320448+8782.5+3260</f>
        <v>335480.5</v>
      </c>
      <c r="F160" s="2">
        <f t="shared" si="2"/>
        <v>214519.5</v>
      </c>
      <c r="G160" s="2">
        <f t="shared" si="3"/>
        <v>14519.5</v>
      </c>
    </row>
    <row r="161" spans="1:7" x14ac:dyDescent="0.25">
      <c r="A161" s="18"/>
      <c r="B161" s="18" t="s">
        <v>41</v>
      </c>
      <c r="C161" s="2">
        <v>57600</v>
      </c>
      <c r="D161" s="2"/>
      <c r="E161" s="2"/>
      <c r="F161" s="2">
        <f t="shared" si="2"/>
        <v>57600</v>
      </c>
      <c r="G161" s="2"/>
    </row>
    <row r="162" spans="1:7" x14ac:dyDescent="0.25">
      <c r="A162" s="18"/>
      <c r="B162" s="18" t="s">
        <v>106</v>
      </c>
      <c r="C162" s="2">
        <v>10000</v>
      </c>
      <c r="D162" s="2">
        <v>5000</v>
      </c>
      <c r="E162" s="2">
        <v>5000</v>
      </c>
      <c r="F162" s="2">
        <f t="shared" si="2"/>
        <v>5000</v>
      </c>
      <c r="G162" s="2">
        <f t="shared" si="3"/>
        <v>0</v>
      </c>
    </row>
    <row r="163" spans="1:7" x14ac:dyDescent="0.25">
      <c r="A163" s="18"/>
      <c r="B163" s="18" t="s">
        <v>107</v>
      </c>
      <c r="C163" s="2">
        <v>24842.400000000001</v>
      </c>
      <c r="D163" s="2"/>
      <c r="E163" s="2"/>
      <c r="F163" s="2">
        <f t="shared" si="2"/>
        <v>24842.400000000001</v>
      </c>
      <c r="G163" s="2">
        <f t="shared" si="3"/>
        <v>0</v>
      </c>
    </row>
    <row r="164" spans="1:7" x14ac:dyDescent="0.25">
      <c r="A164" s="18"/>
      <c r="B164" s="18" t="s">
        <v>42</v>
      </c>
      <c r="C164" s="2">
        <v>15000</v>
      </c>
      <c r="D164" s="2"/>
      <c r="E164" s="2">
        <v>3450</v>
      </c>
      <c r="F164" s="2">
        <f t="shared" si="2"/>
        <v>11550</v>
      </c>
      <c r="G164" s="2">
        <f t="shared" si="3"/>
        <v>-3450</v>
      </c>
    </row>
    <row r="165" spans="1:7" x14ac:dyDescent="0.25">
      <c r="A165" s="18"/>
      <c r="B165" s="18" t="s">
        <v>43</v>
      </c>
      <c r="C165" s="2">
        <v>10000</v>
      </c>
      <c r="D165" s="2">
        <v>5000</v>
      </c>
      <c r="E165" s="2">
        <v>3490</v>
      </c>
      <c r="F165" s="2">
        <f t="shared" si="2"/>
        <v>6510</v>
      </c>
      <c r="G165" s="2">
        <f t="shared" si="3"/>
        <v>1510</v>
      </c>
    </row>
    <row r="166" spans="1:7" x14ac:dyDescent="0.25">
      <c r="A166" s="18"/>
      <c r="B166" s="18" t="s">
        <v>44</v>
      </c>
      <c r="C166" s="2">
        <v>15000</v>
      </c>
      <c r="D166" s="2"/>
      <c r="E166" s="2"/>
      <c r="F166" s="2">
        <f t="shared" si="2"/>
        <v>15000</v>
      </c>
      <c r="G166" s="2">
        <f t="shared" si="3"/>
        <v>0</v>
      </c>
    </row>
    <row r="167" spans="1:7" x14ac:dyDescent="0.25">
      <c r="A167" s="18"/>
      <c r="B167" s="18" t="s">
        <v>45</v>
      </c>
      <c r="C167" s="2">
        <v>86400</v>
      </c>
      <c r="D167" s="2">
        <v>60000</v>
      </c>
      <c r="E167" s="2">
        <f>7200+7200+14400+7200+7200+7200+7200</f>
        <v>57600</v>
      </c>
      <c r="F167" s="2">
        <f t="shared" si="2"/>
        <v>28800</v>
      </c>
      <c r="G167" s="2">
        <f t="shared" si="3"/>
        <v>2400</v>
      </c>
    </row>
    <row r="168" spans="1:7" x14ac:dyDescent="0.25">
      <c r="A168" s="18"/>
      <c r="B168" s="18" t="s">
        <v>46</v>
      </c>
      <c r="C168" s="2">
        <v>12000</v>
      </c>
      <c r="D168" s="2"/>
      <c r="E168" s="2"/>
      <c r="F168" s="2">
        <f t="shared" si="2"/>
        <v>12000</v>
      </c>
      <c r="G168" s="2">
        <f t="shared" si="3"/>
        <v>0</v>
      </c>
    </row>
    <row r="169" spans="1:7" x14ac:dyDescent="0.25">
      <c r="A169" s="18"/>
      <c r="B169" s="18" t="s">
        <v>47</v>
      </c>
      <c r="C169" s="2">
        <v>200000</v>
      </c>
      <c r="D169" s="2">
        <v>130000</v>
      </c>
      <c r="E169" s="2">
        <f>4500+21030+31328+39000+27080+6350+34000</f>
        <v>163288</v>
      </c>
      <c r="F169" s="2">
        <f t="shared" si="2"/>
        <v>36712</v>
      </c>
      <c r="G169" s="2">
        <f t="shared" si="3"/>
        <v>-33288</v>
      </c>
    </row>
    <row r="170" spans="1:7" x14ac:dyDescent="0.25">
      <c r="A170" s="18"/>
      <c r="B170" s="18" t="s">
        <v>108</v>
      </c>
      <c r="C170" s="2">
        <v>50000</v>
      </c>
      <c r="D170" s="2"/>
      <c r="E170" s="2"/>
      <c r="F170" s="2"/>
      <c r="G170" s="2"/>
    </row>
    <row r="171" spans="1:7" x14ac:dyDescent="0.25">
      <c r="A171" s="39"/>
      <c r="B171" s="39"/>
      <c r="C171" s="6"/>
      <c r="D171" s="6"/>
      <c r="E171" s="6"/>
      <c r="F171" s="2"/>
      <c r="G171" s="2">
        <f t="shared" si="3"/>
        <v>0</v>
      </c>
    </row>
    <row r="172" spans="1:7" x14ac:dyDescent="0.25">
      <c r="A172" s="40"/>
      <c r="B172" s="30" t="s">
        <v>27</v>
      </c>
      <c r="C172" s="8">
        <f>SUM(C130:C171)</f>
        <v>6189288.6000000006</v>
      </c>
      <c r="D172" s="8">
        <f>SUM(D130:D171)</f>
        <v>2710000</v>
      </c>
      <c r="E172" s="8">
        <f>SUM(E130:E171)</f>
        <v>2952593.89</v>
      </c>
      <c r="F172" s="8">
        <f>SUM(F130:F171)</f>
        <v>3186694.7099999995</v>
      </c>
      <c r="G172" s="8">
        <f>SUM(G130:G171)</f>
        <v>-242593.88999999998</v>
      </c>
    </row>
    <row r="173" spans="1:7" x14ac:dyDescent="0.25">
      <c r="C173" s="7"/>
    </row>
    <row r="174" spans="1:7" x14ac:dyDescent="0.25">
      <c r="C174" s="14"/>
      <c r="E174" s="14">
        <v>800000</v>
      </c>
      <c r="F174" s="13">
        <f>170*45</f>
        <v>7650</v>
      </c>
    </row>
    <row r="175" spans="1:7" x14ac:dyDescent="0.25">
      <c r="C175" s="14"/>
      <c r="E175" s="12">
        <f>170000+700000</f>
        <v>870000</v>
      </c>
    </row>
    <row r="177" spans="1:11" x14ac:dyDescent="0.25">
      <c r="A177" s="13" t="s">
        <v>0</v>
      </c>
      <c r="B177" s="36"/>
      <c r="C177" s="10"/>
      <c r="D177" s="10"/>
      <c r="E177" s="10"/>
      <c r="F177" s="10"/>
      <c r="G177" s="10"/>
    </row>
    <row r="178" spans="1:11" x14ac:dyDescent="0.25">
      <c r="A178" s="13" t="s">
        <v>1</v>
      </c>
      <c r="B178" s="36"/>
      <c r="C178" s="10"/>
      <c r="D178" s="10"/>
      <c r="E178" s="10"/>
      <c r="F178" s="10"/>
      <c r="G178" s="10"/>
    </row>
    <row r="179" spans="1:11" x14ac:dyDescent="0.25">
      <c r="A179" s="13" t="s">
        <v>2</v>
      </c>
      <c r="B179" s="36"/>
      <c r="C179" s="10"/>
      <c r="D179" s="10"/>
      <c r="E179" s="10"/>
      <c r="F179" s="10"/>
      <c r="G179" s="10"/>
    </row>
    <row r="180" spans="1:11" x14ac:dyDescent="0.25">
      <c r="A180" s="24" t="s">
        <v>122</v>
      </c>
      <c r="B180" s="36"/>
      <c r="C180" s="10"/>
      <c r="D180" s="10"/>
      <c r="E180" s="10"/>
      <c r="F180" s="10"/>
      <c r="G180" s="10"/>
    </row>
    <row r="181" spans="1:11" x14ac:dyDescent="0.25">
      <c r="A181" s="35"/>
      <c r="B181" s="36"/>
      <c r="C181" s="10"/>
      <c r="D181" s="10"/>
      <c r="E181" s="10"/>
      <c r="F181" s="10"/>
      <c r="G181" s="10"/>
    </row>
    <row r="182" spans="1:11" x14ac:dyDescent="0.25">
      <c r="A182" s="88" t="s">
        <v>3</v>
      </c>
      <c r="B182" s="88" t="s">
        <v>4</v>
      </c>
      <c r="C182" s="88" t="s">
        <v>5</v>
      </c>
      <c r="D182" s="88" t="s">
        <v>6</v>
      </c>
      <c r="E182" s="88" t="s">
        <v>7</v>
      </c>
      <c r="F182" s="15" t="s">
        <v>8</v>
      </c>
      <c r="G182" s="15" t="s">
        <v>8</v>
      </c>
    </row>
    <row r="183" spans="1:11" x14ac:dyDescent="0.25">
      <c r="A183" s="89"/>
      <c r="B183" s="89"/>
      <c r="C183" s="89"/>
      <c r="D183" s="89"/>
      <c r="E183" s="89"/>
      <c r="F183" s="16" t="s">
        <v>5</v>
      </c>
      <c r="G183" s="16" t="s">
        <v>6</v>
      </c>
    </row>
    <row r="184" spans="1:11" x14ac:dyDescent="0.25">
      <c r="A184" s="17"/>
      <c r="B184" s="17"/>
      <c r="C184" s="17"/>
      <c r="D184" s="17"/>
      <c r="E184" s="17"/>
      <c r="F184" s="17"/>
      <c r="G184" s="17"/>
    </row>
    <row r="185" spans="1:11" x14ac:dyDescent="0.25">
      <c r="A185" s="18"/>
      <c r="B185" s="28" t="s">
        <v>53</v>
      </c>
      <c r="C185" s="18"/>
      <c r="D185" s="18"/>
      <c r="E185" s="18"/>
      <c r="F185" s="18"/>
      <c r="G185" s="18"/>
    </row>
    <row r="186" spans="1:11" x14ac:dyDescent="0.25">
      <c r="A186" s="18"/>
      <c r="B186" s="29" t="s">
        <v>11</v>
      </c>
      <c r="C186" s="2"/>
      <c r="D186" s="2"/>
      <c r="E186" s="2"/>
      <c r="F186" s="2"/>
      <c r="G186" s="2"/>
    </row>
    <row r="187" spans="1:11" x14ac:dyDescent="0.25">
      <c r="A187" s="18"/>
      <c r="B187" s="4" t="s">
        <v>58</v>
      </c>
      <c r="C187" s="2">
        <v>151694.65</v>
      </c>
      <c r="D187" s="2">
        <f>C187</f>
        <v>151694.65</v>
      </c>
      <c r="E187" s="2">
        <f>64561.87+99928.23+58781.73+85100.13+4982.14+9990.2</f>
        <v>323344.30000000005</v>
      </c>
      <c r="F187" s="2">
        <f t="shared" ref="F187:F205" si="4">C187-E187</f>
        <v>-171649.65000000005</v>
      </c>
      <c r="G187" s="2">
        <f t="shared" ref="G187:G202" si="5">D187-E187</f>
        <v>-171649.65000000005</v>
      </c>
    </row>
    <row r="188" spans="1:11" x14ac:dyDescent="0.25">
      <c r="A188" s="18"/>
      <c r="B188" s="4" t="s">
        <v>59</v>
      </c>
      <c r="C188" s="2">
        <v>500000</v>
      </c>
      <c r="D188" s="2">
        <v>500000</v>
      </c>
      <c r="E188" s="2">
        <f>97500+97500+97500+97500+96000+99000</f>
        <v>585000</v>
      </c>
      <c r="F188" s="2">
        <f t="shared" si="4"/>
        <v>-85000</v>
      </c>
      <c r="G188" s="2">
        <f t="shared" si="5"/>
        <v>-85000</v>
      </c>
      <c r="I188" s="14">
        <f>E188*12</f>
        <v>7020000</v>
      </c>
    </row>
    <row r="189" spans="1:11" x14ac:dyDescent="0.25">
      <c r="A189" s="18"/>
      <c r="B189" s="29" t="s">
        <v>12</v>
      </c>
      <c r="C189" s="2"/>
      <c r="D189" s="2"/>
      <c r="E189" s="2"/>
      <c r="F189" s="2">
        <f t="shared" si="4"/>
        <v>0</v>
      </c>
      <c r="G189" s="2">
        <f t="shared" si="5"/>
        <v>0</v>
      </c>
      <c r="K189" s="13">
        <v>1000</v>
      </c>
    </row>
    <row r="190" spans="1:11" x14ac:dyDescent="0.25">
      <c r="A190" s="18"/>
      <c r="B190" s="4" t="s">
        <v>54</v>
      </c>
      <c r="C190" s="2">
        <v>1672836.33</v>
      </c>
      <c r="D190" s="2">
        <v>300000</v>
      </c>
      <c r="E190" s="2">
        <v>20000</v>
      </c>
      <c r="F190" s="2">
        <f t="shared" si="4"/>
        <v>1652836.33</v>
      </c>
      <c r="G190" s="2">
        <f t="shared" si="5"/>
        <v>280000</v>
      </c>
      <c r="I190" s="14">
        <f>C190/4</f>
        <v>418209.08250000002</v>
      </c>
      <c r="K190" s="13">
        <v>50000</v>
      </c>
    </row>
    <row r="191" spans="1:11" x14ac:dyDescent="0.25">
      <c r="A191" s="18"/>
      <c r="B191" s="4" t="s">
        <v>55</v>
      </c>
      <c r="C191" s="2">
        <v>15000</v>
      </c>
      <c r="D191" s="2"/>
      <c r="E191" s="2"/>
      <c r="F191" s="2">
        <f t="shared" si="4"/>
        <v>15000</v>
      </c>
      <c r="G191" s="2">
        <f t="shared" si="5"/>
        <v>0</v>
      </c>
      <c r="K191" s="13">
        <f>K189/K190</f>
        <v>0.02</v>
      </c>
    </row>
    <row r="192" spans="1:11" x14ac:dyDescent="0.25">
      <c r="A192" s="18"/>
      <c r="B192" s="4" t="s">
        <v>56</v>
      </c>
      <c r="C192" s="2">
        <v>20000</v>
      </c>
      <c r="D192" s="2"/>
      <c r="E192" s="2"/>
      <c r="F192" s="2">
        <f t="shared" si="4"/>
        <v>20000</v>
      </c>
      <c r="G192" s="2">
        <f t="shared" si="5"/>
        <v>0</v>
      </c>
      <c r="I192" s="13">
        <v>1500</v>
      </c>
    </row>
    <row r="193" spans="1:9" x14ac:dyDescent="0.25">
      <c r="A193" s="18"/>
      <c r="B193" s="4" t="s">
        <v>57</v>
      </c>
      <c r="C193" s="2">
        <v>50000</v>
      </c>
      <c r="D193" s="2">
        <v>30000</v>
      </c>
      <c r="E193" s="2">
        <v>23300</v>
      </c>
      <c r="F193" s="2">
        <f t="shared" si="4"/>
        <v>26700</v>
      </c>
      <c r="G193" s="2">
        <f t="shared" si="5"/>
        <v>6700</v>
      </c>
      <c r="I193" s="13">
        <v>10800</v>
      </c>
    </row>
    <row r="194" spans="1:9" x14ac:dyDescent="0.25">
      <c r="A194" s="18"/>
      <c r="B194" s="4" t="s">
        <v>60</v>
      </c>
      <c r="C194" s="2">
        <v>400000</v>
      </c>
      <c r="D194" s="2">
        <f>C194</f>
        <v>400000</v>
      </c>
      <c r="E194" s="2">
        <f>300000+450000</f>
        <v>750000</v>
      </c>
      <c r="F194" s="2">
        <f t="shared" si="4"/>
        <v>-350000</v>
      </c>
      <c r="G194" s="2">
        <f t="shared" si="5"/>
        <v>-350000</v>
      </c>
      <c r="I194" s="13">
        <v>7200</v>
      </c>
    </row>
    <row r="195" spans="1:9" x14ac:dyDescent="0.25">
      <c r="A195" s="18"/>
      <c r="B195" s="4" t="s">
        <v>111</v>
      </c>
      <c r="C195" s="2">
        <v>20000</v>
      </c>
      <c r="D195" s="2">
        <f>C195</f>
        <v>20000</v>
      </c>
      <c r="E195" s="2">
        <v>18061</v>
      </c>
      <c r="F195" s="2">
        <f t="shared" si="4"/>
        <v>1939</v>
      </c>
      <c r="G195" s="2">
        <f t="shared" si="5"/>
        <v>1939</v>
      </c>
      <c r="I195" s="13">
        <f>SUM(I192:I194)</f>
        <v>19500</v>
      </c>
    </row>
    <row r="196" spans="1:9" x14ac:dyDescent="0.25">
      <c r="A196" s="18"/>
      <c r="B196" s="4" t="s">
        <v>61</v>
      </c>
      <c r="C196" s="2">
        <v>300000</v>
      </c>
      <c r="D196" s="2">
        <v>300000</v>
      </c>
      <c r="E196" s="2">
        <f>72597.82+64200+55700</f>
        <v>192497.82</v>
      </c>
      <c r="F196" s="2">
        <f t="shared" si="4"/>
        <v>107502.18</v>
      </c>
      <c r="G196" s="2">
        <f t="shared" si="5"/>
        <v>107502.18</v>
      </c>
    </row>
    <row r="197" spans="1:9" x14ac:dyDescent="0.25">
      <c r="A197" s="18"/>
      <c r="B197" s="4" t="s">
        <v>112</v>
      </c>
      <c r="C197" s="2">
        <v>500000</v>
      </c>
      <c r="D197" s="2">
        <v>100000</v>
      </c>
      <c r="E197" s="2">
        <v>4150</v>
      </c>
      <c r="F197" s="2">
        <f t="shared" si="4"/>
        <v>495850</v>
      </c>
      <c r="G197" s="2">
        <f t="shared" si="5"/>
        <v>95850</v>
      </c>
    </row>
    <row r="198" spans="1:9" x14ac:dyDescent="0.25">
      <c r="A198" s="18"/>
      <c r="B198" s="4" t="s">
        <v>113</v>
      </c>
      <c r="C198" s="2">
        <v>50000</v>
      </c>
      <c r="D198" s="2">
        <v>50000</v>
      </c>
      <c r="E198" s="2">
        <v>47007</v>
      </c>
      <c r="F198" s="2">
        <f t="shared" si="4"/>
        <v>2993</v>
      </c>
      <c r="G198" s="2">
        <f t="shared" si="5"/>
        <v>2993</v>
      </c>
    </row>
    <row r="199" spans="1:9" x14ac:dyDescent="0.25">
      <c r="A199" s="18"/>
      <c r="B199" s="29" t="s">
        <v>13</v>
      </c>
      <c r="C199" s="2"/>
      <c r="D199" s="2"/>
      <c r="E199" s="2"/>
      <c r="F199" s="2">
        <f t="shared" si="4"/>
        <v>0</v>
      </c>
      <c r="G199" s="2">
        <f t="shared" si="5"/>
        <v>0</v>
      </c>
    </row>
    <row r="200" spans="1:9" x14ac:dyDescent="0.25">
      <c r="A200" s="18"/>
      <c r="B200" s="4" t="s">
        <v>114</v>
      </c>
      <c r="C200" s="2">
        <v>500000</v>
      </c>
      <c r="D200" s="2">
        <f>C200</f>
        <v>500000</v>
      </c>
      <c r="E200" s="2">
        <f>33000+371788.5</f>
        <v>404788.5</v>
      </c>
      <c r="F200" s="2">
        <f t="shared" si="4"/>
        <v>95211.5</v>
      </c>
      <c r="G200" s="2">
        <f t="shared" si="5"/>
        <v>95211.5</v>
      </c>
    </row>
    <row r="201" spans="1:9" x14ac:dyDescent="0.25">
      <c r="A201" s="18"/>
      <c r="B201" s="4" t="s">
        <v>62</v>
      </c>
      <c r="C201" s="2"/>
      <c r="D201" s="2"/>
      <c r="E201" s="2"/>
      <c r="F201" s="2">
        <f t="shared" si="4"/>
        <v>0</v>
      </c>
      <c r="G201" s="2">
        <f t="shared" si="5"/>
        <v>0</v>
      </c>
    </row>
    <row r="202" spans="1:9" x14ac:dyDescent="0.25">
      <c r="A202" s="18"/>
      <c r="B202" s="5" t="s">
        <v>63</v>
      </c>
      <c r="C202" s="2">
        <v>1500000</v>
      </c>
      <c r="D202" s="2"/>
      <c r="E202" s="2"/>
      <c r="F202" s="2">
        <f t="shared" si="4"/>
        <v>1500000</v>
      </c>
      <c r="G202" s="2">
        <f t="shared" si="5"/>
        <v>0</v>
      </c>
    </row>
    <row r="203" spans="1:9" x14ac:dyDescent="0.25">
      <c r="A203" s="18"/>
      <c r="B203" s="4" t="s">
        <v>115</v>
      </c>
      <c r="C203" s="2">
        <v>50000</v>
      </c>
      <c r="D203" s="2"/>
      <c r="E203" s="2"/>
      <c r="F203" s="2">
        <f t="shared" si="4"/>
        <v>50000</v>
      </c>
      <c r="G203" s="2"/>
    </row>
    <row r="204" spans="1:9" x14ac:dyDescent="0.25">
      <c r="A204" s="18"/>
      <c r="B204" s="4" t="s">
        <v>116</v>
      </c>
      <c r="C204" s="2">
        <v>80000</v>
      </c>
      <c r="D204" s="2"/>
      <c r="E204" s="2"/>
      <c r="F204" s="2">
        <f t="shared" si="4"/>
        <v>80000</v>
      </c>
      <c r="G204" s="2"/>
    </row>
    <row r="205" spans="1:9" x14ac:dyDescent="0.25">
      <c r="A205" s="18"/>
      <c r="B205" s="4" t="s">
        <v>117</v>
      </c>
      <c r="C205" s="2">
        <v>150000</v>
      </c>
      <c r="D205" s="2"/>
      <c r="E205" s="2">
        <v>144800</v>
      </c>
      <c r="F205" s="2">
        <f t="shared" si="4"/>
        <v>5200</v>
      </c>
      <c r="G205" s="2"/>
    </row>
    <row r="206" spans="1:9" x14ac:dyDescent="0.25">
      <c r="A206" s="18"/>
      <c r="B206" s="4"/>
      <c r="C206" s="2"/>
      <c r="D206" s="2"/>
      <c r="E206" s="2"/>
      <c r="F206" s="2"/>
      <c r="G206" s="2"/>
    </row>
    <row r="207" spans="1:9" x14ac:dyDescent="0.25">
      <c r="A207" s="18"/>
      <c r="B207" s="41" t="s">
        <v>27</v>
      </c>
      <c r="C207" s="8">
        <f>SUM(C187:C206)</f>
        <v>5959530.9800000004</v>
      </c>
      <c r="D207" s="8">
        <f>SUM(D187:D206)</f>
        <v>2351694.65</v>
      </c>
      <c r="E207" s="8">
        <f>SUM(E187:E206)</f>
        <v>2512948.62</v>
      </c>
      <c r="F207" s="8">
        <f>SUM(F187:F206)</f>
        <v>3446582.36</v>
      </c>
      <c r="G207" s="8">
        <f>SUM(G187:G206)</f>
        <v>-16453.97000000003</v>
      </c>
    </row>
    <row r="208" spans="1:9" ht="15.75" thickBot="1" x14ac:dyDescent="0.3">
      <c r="A208" s="42"/>
      <c r="B208" s="43" t="s">
        <v>64</v>
      </c>
      <c r="C208" s="20">
        <f>C207+C172+C117+C110+C103+C96+C89+C82+C75+C57+C50+C43+C36+C29+C22+C15</f>
        <v>33456726.550000004</v>
      </c>
      <c r="D208" s="20">
        <f>D207+D172+D117+D110+D103+D96+D89+D82+D75+D57+D50+D43+D36+D29+D22+D15</f>
        <v>18658769.539999999</v>
      </c>
      <c r="E208" s="20">
        <f>E207+E172+E117+E110+E103+E96+E89+E82+E75+E57+E50+E43+E36+E29+E22+E15</f>
        <v>21292355.240000006</v>
      </c>
      <c r="F208" s="20">
        <f>F207+F172+F117+F110+F103+F96+F89+F82+F75+F57+F50+F43+F36+F29+F22+F15</f>
        <v>12074371.310000002</v>
      </c>
      <c r="G208" s="20">
        <f>G207+G172+G117+G110+G103+G96+G89+G82+G75+G57+G50+G43+G36+G29+G22+G15</f>
        <v>-1696421.2500000007</v>
      </c>
    </row>
    <row r="209" spans="2:7" ht="15.75" thickTop="1" x14ac:dyDescent="0.25">
      <c r="C209" s="12"/>
      <c r="D209" s="12"/>
      <c r="E209" s="12"/>
      <c r="F209" s="12"/>
      <c r="G209" s="12"/>
    </row>
    <row r="210" spans="2:7" x14ac:dyDescent="0.25">
      <c r="B210" s="13" t="s">
        <v>65</v>
      </c>
      <c r="C210" s="12"/>
      <c r="D210" s="12"/>
      <c r="E210" s="12"/>
      <c r="F210" s="12"/>
      <c r="G210" s="12"/>
    </row>
    <row r="211" spans="2:7" x14ac:dyDescent="0.25">
      <c r="C211" s="12"/>
      <c r="D211" s="12"/>
      <c r="E211" s="12"/>
      <c r="F211" s="12"/>
      <c r="G211" s="12"/>
    </row>
    <row r="212" spans="2:7" x14ac:dyDescent="0.25">
      <c r="C212" s="12"/>
      <c r="D212" s="12"/>
      <c r="E212" s="12"/>
      <c r="F212" s="12"/>
      <c r="G212" s="12"/>
    </row>
    <row r="213" spans="2:7" x14ac:dyDescent="0.25">
      <c r="B213" s="44" t="s">
        <v>66</v>
      </c>
      <c r="C213" s="12"/>
      <c r="D213" s="12"/>
      <c r="E213" s="12"/>
      <c r="F213" s="12"/>
      <c r="G213" s="12"/>
    </row>
    <row r="214" spans="2:7" x14ac:dyDescent="0.25">
      <c r="B214" s="13" t="s">
        <v>67</v>
      </c>
      <c r="C214" s="12"/>
      <c r="D214" s="12"/>
      <c r="E214" s="12"/>
      <c r="F214" s="12"/>
      <c r="G214" s="12"/>
    </row>
    <row r="215" spans="2:7" x14ac:dyDescent="0.25">
      <c r="C215" s="12"/>
      <c r="D215" s="12"/>
      <c r="E215" s="12"/>
      <c r="F215" s="12"/>
      <c r="G215" s="12"/>
    </row>
    <row r="216" spans="2:7" x14ac:dyDescent="0.25">
      <c r="C216" s="12"/>
      <c r="D216" s="12"/>
      <c r="E216" s="12">
        <v>225800</v>
      </c>
      <c r="F216" s="12"/>
      <c r="G216" s="12"/>
    </row>
    <row r="217" spans="2:7" x14ac:dyDescent="0.25">
      <c r="C217" s="12"/>
      <c r="D217" s="12"/>
      <c r="E217" s="12">
        <v>72597.820000000007</v>
      </c>
      <c r="F217" s="12"/>
      <c r="G217" s="12"/>
    </row>
    <row r="218" spans="2:7" x14ac:dyDescent="0.25">
      <c r="C218" s="12"/>
      <c r="D218" s="12"/>
      <c r="E218" s="12">
        <f>SUM(E216:E217)</f>
        <v>298397.82</v>
      </c>
      <c r="F218" s="12" t="s">
        <v>118</v>
      </c>
      <c r="G218" s="12"/>
    </row>
    <row r="219" spans="2:7" x14ac:dyDescent="0.25">
      <c r="C219" s="12"/>
      <c r="D219" s="12"/>
      <c r="E219" s="12"/>
      <c r="F219" s="12">
        <f>6000+11939.5+11450</f>
        <v>29389.5</v>
      </c>
      <c r="G219" s="12"/>
    </row>
    <row r="220" spans="2:7" x14ac:dyDescent="0.25">
      <c r="C220" s="12"/>
      <c r="D220" s="12"/>
      <c r="E220" s="12">
        <f>E196+E136</f>
        <v>354097.82</v>
      </c>
      <c r="F220" s="12"/>
      <c r="G220" s="12"/>
    </row>
    <row r="221" spans="2:7" x14ac:dyDescent="0.25">
      <c r="C221" s="12"/>
      <c r="D221" s="12"/>
      <c r="E221" s="12">
        <v>25800</v>
      </c>
      <c r="F221" s="12"/>
      <c r="G221" s="12"/>
    </row>
    <row r="222" spans="2:7" x14ac:dyDescent="0.25">
      <c r="C222" s="12"/>
      <c r="D222" s="12"/>
      <c r="E222" s="12">
        <f>SUM(E220:E221)</f>
        <v>379897.82</v>
      </c>
      <c r="F222" s="12" t="s">
        <v>119</v>
      </c>
      <c r="G222" s="12"/>
    </row>
    <row r="223" spans="2:7" x14ac:dyDescent="0.25">
      <c r="C223" s="12"/>
      <c r="D223" s="12"/>
      <c r="E223" s="12">
        <f>E218-E222</f>
        <v>-81500</v>
      </c>
      <c r="F223" s="12">
        <f>4675+7118</f>
        <v>11793</v>
      </c>
      <c r="G223" s="12"/>
    </row>
    <row r="224" spans="2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  <row r="367" spans="3:7" x14ac:dyDescent="0.25">
      <c r="C367" s="12"/>
      <c r="D367" s="12"/>
      <c r="E367" s="12"/>
      <c r="F367" s="12"/>
      <c r="G367" s="12"/>
    </row>
    <row r="368" spans="3:7" x14ac:dyDescent="0.25">
      <c r="C368" s="12"/>
      <c r="D368" s="12"/>
      <c r="E368" s="12"/>
      <c r="F368" s="12"/>
      <c r="G368" s="12"/>
    </row>
    <row r="369" spans="3:7" x14ac:dyDescent="0.25">
      <c r="C369" s="12"/>
      <c r="D369" s="12"/>
      <c r="E369" s="12"/>
      <c r="F369" s="12"/>
      <c r="G369" s="12"/>
    </row>
    <row r="370" spans="3:7" x14ac:dyDescent="0.25">
      <c r="C370" s="12"/>
      <c r="D370" s="12"/>
      <c r="E370" s="12"/>
      <c r="F370" s="12"/>
      <c r="G370" s="12"/>
    </row>
    <row r="371" spans="3:7" x14ac:dyDescent="0.25">
      <c r="C371" s="12"/>
      <c r="D371" s="12"/>
      <c r="E371" s="12"/>
      <c r="F371" s="12"/>
      <c r="G371" s="12"/>
    </row>
    <row r="372" spans="3:7" x14ac:dyDescent="0.25">
      <c r="C372" s="12"/>
      <c r="D372" s="12"/>
      <c r="E372" s="12"/>
      <c r="F372" s="12"/>
      <c r="G372" s="12"/>
    </row>
    <row r="373" spans="3:7" x14ac:dyDescent="0.25">
      <c r="C373" s="12"/>
      <c r="D373" s="12"/>
      <c r="E373" s="12"/>
      <c r="F373" s="12"/>
      <c r="G373" s="12"/>
    </row>
    <row r="374" spans="3:7" x14ac:dyDescent="0.25">
      <c r="C374" s="12"/>
      <c r="D374" s="12"/>
      <c r="E374" s="12"/>
      <c r="F374" s="12"/>
      <c r="G374" s="12"/>
    </row>
    <row r="375" spans="3:7" x14ac:dyDescent="0.25">
      <c r="C375" s="12"/>
      <c r="D375" s="12"/>
      <c r="E375" s="12"/>
      <c r="F375" s="12"/>
      <c r="G375" s="12"/>
    </row>
    <row r="376" spans="3:7" x14ac:dyDescent="0.25">
      <c r="C376" s="12"/>
      <c r="D376" s="12"/>
      <c r="E376" s="12"/>
      <c r="F376" s="12"/>
      <c r="G376" s="12"/>
    </row>
    <row r="377" spans="3:7" x14ac:dyDescent="0.25">
      <c r="C377" s="12"/>
      <c r="D377" s="12"/>
      <c r="E377" s="12"/>
      <c r="F377" s="12"/>
      <c r="G377" s="12"/>
    </row>
    <row r="378" spans="3:7" x14ac:dyDescent="0.25">
      <c r="C378" s="12"/>
      <c r="D378" s="12"/>
      <c r="E378" s="12"/>
      <c r="F378" s="12"/>
      <c r="G378" s="12"/>
    </row>
    <row r="379" spans="3:7" x14ac:dyDescent="0.25">
      <c r="C379" s="12"/>
      <c r="D379" s="12"/>
      <c r="E379" s="12"/>
      <c r="F379" s="12"/>
      <c r="G379" s="12"/>
    </row>
    <row r="380" spans="3:7" x14ac:dyDescent="0.25">
      <c r="C380" s="12"/>
      <c r="D380" s="12"/>
      <c r="E380" s="12"/>
      <c r="F380" s="12"/>
      <c r="G380" s="12"/>
    </row>
    <row r="381" spans="3:7" x14ac:dyDescent="0.25">
      <c r="C381" s="12"/>
      <c r="D381" s="12"/>
      <c r="E381" s="12"/>
      <c r="F381" s="12"/>
      <c r="G381" s="12"/>
    </row>
    <row r="382" spans="3:7" x14ac:dyDescent="0.25">
      <c r="C382" s="12"/>
      <c r="D382" s="12"/>
      <c r="E382" s="12"/>
      <c r="F382" s="12"/>
      <c r="G382" s="12"/>
    </row>
    <row r="383" spans="3:7" x14ac:dyDescent="0.25">
      <c r="C383" s="12"/>
      <c r="D383" s="12"/>
      <c r="E383" s="12"/>
      <c r="F383" s="12"/>
      <c r="G383" s="12"/>
    </row>
  </sheetData>
  <mergeCells count="20">
    <mergeCell ref="A127:A128"/>
    <mergeCell ref="B127:B128"/>
    <mergeCell ref="C127:C128"/>
    <mergeCell ref="D127:D128"/>
    <mergeCell ref="E127:E128"/>
    <mergeCell ref="A182:A183"/>
    <mergeCell ref="B182:B183"/>
    <mergeCell ref="C182:C183"/>
    <mergeCell ref="D182:D183"/>
    <mergeCell ref="E182:E183"/>
    <mergeCell ref="A6:A7"/>
    <mergeCell ref="B6:B7"/>
    <mergeCell ref="C6:C7"/>
    <mergeCell ref="D6:D7"/>
    <mergeCell ref="E6:E7"/>
    <mergeCell ref="A67:A68"/>
    <mergeCell ref="B67:B68"/>
    <mergeCell ref="C67:C68"/>
    <mergeCell ref="D67:D68"/>
    <mergeCell ref="E67:E6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"/>
  <sheetViews>
    <sheetView topLeftCell="A427" workbookViewId="0">
      <selection activeCell="D449" sqref="D449"/>
    </sheetView>
  </sheetViews>
  <sheetFormatPr defaultRowHeight="15" x14ac:dyDescent="0.25"/>
  <cols>
    <col min="1" max="1" width="7.5703125" style="13" customWidth="1"/>
    <col min="2" max="2" width="41.42578125" style="13" customWidth="1"/>
    <col min="3" max="3" width="19.140625" style="13" customWidth="1"/>
    <col min="4" max="4" width="15" style="13" bestFit="1" customWidth="1"/>
    <col min="5" max="5" width="15.140625" style="13" customWidth="1"/>
    <col min="6" max="6" width="16.28515625" style="13" customWidth="1"/>
    <col min="7" max="7" width="14.28515625" style="13" customWidth="1"/>
    <col min="8" max="8" width="9.140625" style="13"/>
    <col min="9" max="9" width="15.140625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188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f>C11/2</f>
        <v>864963.49</v>
      </c>
      <c r="E11" s="11">
        <v>735313.7</v>
      </c>
      <c r="F11" s="2">
        <f>C11-E11</f>
        <v>994613.28</v>
      </c>
      <c r="G11" s="60">
        <f>D11-E11</f>
        <v>129649.79000000004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>
        <f>C12*0.7</f>
        <v>768586.43400000001</v>
      </c>
      <c r="E12" s="54">
        <v>881389.07</v>
      </c>
      <c r="F12" s="2">
        <f t="shared" ref="F12:F13" si="0">C12-E12</f>
        <v>216591.55000000016</v>
      </c>
      <c r="G12" s="60">
        <f t="shared" ref="G12:G13" si="1">D12-E12</f>
        <v>-112802.63599999994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/>
      <c r="F13" s="2">
        <f t="shared" si="0"/>
        <v>0</v>
      </c>
      <c r="G13" s="60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60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1633549.9240000001</v>
      </c>
      <c r="E15" s="8">
        <f>SUM(E11:E14)</f>
        <v>1616702.77</v>
      </c>
      <c r="F15" s="8">
        <f>SUM(F11:F14)</f>
        <v>1211204.83</v>
      </c>
      <c r="G15" s="61">
        <f>SUM(G11:G14)</f>
        <v>16847.154000000097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60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60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f>C18/2</f>
        <v>4204160.7</v>
      </c>
      <c r="E18" s="11">
        <v>2696044.46</v>
      </c>
      <c r="F18" s="2">
        <f>C18-E18</f>
        <v>5712276.9400000004</v>
      </c>
      <c r="G18" s="60">
        <f>D18-E18</f>
        <v>1508116.2400000002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>
        <f>C19*0.7</f>
        <v>753155.45200000005</v>
      </c>
      <c r="E19" s="54">
        <v>803432.32</v>
      </c>
      <c r="F19" s="2">
        <f>C19-E19</f>
        <v>272504.04000000015</v>
      </c>
      <c r="G19" s="60">
        <f>D19-E19</f>
        <v>-50276.8679999999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60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60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4957316.1520000007</v>
      </c>
      <c r="E22" s="8">
        <f>SUM(E18:E21)</f>
        <v>3499476.78</v>
      </c>
      <c r="F22" s="8">
        <f>SUM(F18:F21)</f>
        <v>5984780.9800000004</v>
      </c>
      <c r="G22" s="61">
        <f>SUM(G18:G21)</f>
        <v>1457839.3720000004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60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60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f>C25/2</f>
        <v>482111.42</v>
      </c>
      <c r="E25" s="11">
        <v>447725.82</v>
      </c>
      <c r="F25" s="2">
        <f>C25-E25</f>
        <v>516497.01999999996</v>
      </c>
      <c r="G25" s="60">
        <f>D25-E25</f>
        <v>34385.599999999977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f>C26*0.7</f>
        <v>96272.561000000002</v>
      </c>
      <c r="E26" s="54">
        <v>19223.04</v>
      </c>
      <c r="F26" s="2">
        <f>C26-E26</f>
        <v>118309.19</v>
      </c>
      <c r="G26" s="60">
        <f>D26-E26</f>
        <v>77049.521000000008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60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60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578383.98100000003</v>
      </c>
      <c r="E29" s="8">
        <f>SUM(E25:E28)</f>
        <v>466948.86</v>
      </c>
      <c r="F29" s="8">
        <f>SUM(F25:F28)</f>
        <v>634806.21</v>
      </c>
      <c r="G29" s="61">
        <f>SUM(G25:G28)</f>
        <v>111435.12099999998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60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60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f>C32/2</f>
        <v>366440.19</v>
      </c>
      <c r="E32" s="11">
        <v>341159.44</v>
      </c>
      <c r="F32" s="2">
        <f>C32-E32</f>
        <v>391720.94</v>
      </c>
      <c r="G32" s="60">
        <f>D32-E32</f>
        <v>25280.75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f>C33*0.7</f>
        <v>56614.851999999999</v>
      </c>
      <c r="E33" s="54">
        <v>14093.3</v>
      </c>
      <c r="F33" s="2">
        <f>C33-E33</f>
        <v>66785.06</v>
      </c>
      <c r="G33" s="60">
        <f>D33-E33</f>
        <v>42521.551999999996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60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60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423055.04200000002</v>
      </c>
      <c r="E36" s="8">
        <f>SUM(E32:E35)</f>
        <v>355252.74</v>
      </c>
      <c r="F36" s="8">
        <f>SUM(F32:F35)</f>
        <v>458506</v>
      </c>
      <c r="G36" s="61">
        <f>SUM(G32:G35)</f>
        <v>67802.301999999996</v>
      </c>
      <c r="L36" s="12"/>
    </row>
    <row r="37" spans="1:13" x14ac:dyDescent="0.25">
      <c r="A37" s="27"/>
      <c r="B37" s="18"/>
      <c r="C37" s="2"/>
      <c r="D37" s="2"/>
      <c r="E37" s="2"/>
      <c r="F37" s="2"/>
      <c r="G37" s="60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60"/>
      <c r="L38" s="12"/>
    </row>
    <row r="39" spans="1:13" x14ac:dyDescent="0.25">
      <c r="A39" s="27"/>
      <c r="B39" s="29" t="s">
        <v>11</v>
      </c>
      <c r="C39" s="2">
        <v>591829.98</v>
      </c>
      <c r="D39" s="2">
        <f>C39/2</f>
        <v>295914.99</v>
      </c>
      <c r="E39" s="11">
        <v>241827.22</v>
      </c>
      <c r="F39" s="2">
        <f>C39-E39</f>
        <v>350002.76</v>
      </c>
      <c r="G39" s="60">
        <f>D39-E39</f>
        <v>54087.76999999999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f>C40*0.7</f>
        <v>55582.45</v>
      </c>
      <c r="E40" s="54">
        <v>26612</v>
      </c>
      <c r="F40" s="2">
        <f>C40-E40</f>
        <v>52791.5</v>
      </c>
      <c r="G40" s="60">
        <f>D40-E40</f>
        <v>28970.449999999997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60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60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351497.44</v>
      </c>
      <c r="E43" s="8">
        <f>SUM(E39:E42)</f>
        <v>268439.21999999997</v>
      </c>
      <c r="F43" s="8">
        <f>SUM(F39:F42)</f>
        <v>402794.26</v>
      </c>
      <c r="G43" s="61">
        <f>SUM(G39:G42)</f>
        <v>83058.219999999987</v>
      </c>
    </row>
    <row r="44" spans="1:13" x14ac:dyDescent="0.25">
      <c r="A44" s="27"/>
      <c r="B44" s="18"/>
      <c r="C44" s="2"/>
      <c r="D44" s="2"/>
      <c r="E44" s="2"/>
      <c r="F44" s="2"/>
      <c r="G44" s="60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60"/>
    </row>
    <row r="46" spans="1:13" x14ac:dyDescent="0.25">
      <c r="A46" s="27"/>
      <c r="B46" s="29" t="s">
        <v>11</v>
      </c>
      <c r="C46" s="2">
        <v>1053344.46</v>
      </c>
      <c r="D46" s="2">
        <f>C46/2</f>
        <v>526672.23</v>
      </c>
      <c r="E46" s="11">
        <v>263823.77</v>
      </c>
      <c r="F46" s="2">
        <f>C46-E46</f>
        <v>789520.69</v>
      </c>
      <c r="G46" s="60">
        <f>D46-E46</f>
        <v>262848.45999999996</v>
      </c>
    </row>
    <row r="47" spans="1:13" x14ac:dyDescent="0.25">
      <c r="A47" s="27"/>
      <c r="B47" s="29" t="s">
        <v>12</v>
      </c>
      <c r="C47" s="2">
        <v>205007.27</v>
      </c>
      <c r="D47" s="2">
        <f>C47*0.7</f>
        <v>143505.08899999998</v>
      </c>
      <c r="E47" s="54">
        <v>47371</v>
      </c>
      <c r="F47" s="2">
        <f>C47-E47</f>
        <v>157636.26999999999</v>
      </c>
      <c r="G47" s="60">
        <f>D47-E47</f>
        <v>96134.088999999978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60">
        <f>D48-E48</f>
        <v>0</v>
      </c>
      <c r="H48" s="12"/>
    </row>
    <row r="49" spans="1:13" x14ac:dyDescent="0.25">
      <c r="A49" s="27"/>
      <c r="B49" s="29" t="s">
        <v>14</v>
      </c>
      <c r="C49" s="2"/>
      <c r="D49" s="2"/>
      <c r="E49" s="2"/>
      <c r="F49" s="2"/>
      <c r="G49" s="60"/>
      <c r="H49" s="12"/>
    </row>
    <row r="50" spans="1:13" x14ac:dyDescent="0.25">
      <c r="A50" s="27"/>
      <c r="B50" s="30" t="s">
        <v>27</v>
      </c>
      <c r="C50" s="8">
        <f>SUM(C46:C49)</f>
        <v>1258351.73</v>
      </c>
      <c r="D50" s="8">
        <f>SUM(D46:D49)</f>
        <v>670177.3189999999</v>
      </c>
      <c r="E50" s="8">
        <f>SUM(E46:E49)</f>
        <v>311194.77</v>
      </c>
      <c r="F50" s="8">
        <f>SUM(F46:F49)</f>
        <v>947156.96</v>
      </c>
      <c r="G50" s="61">
        <f>SUM(G46:G49)</f>
        <v>358982.54899999994</v>
      </c>
      <c r="H50" s="12"/>
    </row>
    <row r="51" spans="1:13" x14ac:dyDescent="0.25">
      <c r="A51" s="27"/>
      <c r="B51" s="18"/>
      <c r="C51" s="2"/>
      <c r="D51" s="2"/>
      <c r="E51" s="2"/>
      <c r="F51" s="2"/>
      <c r="G51" s="60"/>
      <c r="H51" s="12"/>
    </row>
    <row r="52" spans="1:13" x14ac:dyDescent="0.25">
      <c r="A52" s="27">
        <v>1091</v>
      </c>
      <c r="B52" s="28" t="s">
        <v>19</v>
      </c>
      <c r="C52" s="2"/>
      <c r="D52" s="2"/>
      <c r="E52" s="2"/>
      <c r="F52" s="2"/>
      <c r="G52" s="60"/>
      <c r="H52" s="12"/>
    </row>
    <row r="53" spans="1:13" x14ac:dyDescent="0.25">
      <c r="A53" s="27"/>
      <c r="B53" s="29" t="s">
        <v>11</v>
      </c>
      <c r="C53" s="2">
        <v>1583456.4</v>
      </c>
      <c r="D53" s="2">
        <f>C53/2</f>
        <v>791728.2</v>
      </c>
      <c r="E53" s="11">
        <v>716857.95</v>
      </c>
      <c r="F53" s="2">
        <f>C53-E53</f>
        <v>866598.45</v>
      </c>
      <c r="G53" s="60">
        <f>D53-E53</f>
        <v>74870.25</v>
      </c>
      <c r="H53" s="12"/>
    </row>
    <row r="54" spans="1:13" x14ac:dyDescent="0.25">
      <c r="A54" s="27"/>
      <c r="B54" s="29" t="s">
        <v>12</v>
      </c>
      <c r="C54" s="2">
        <v>321156.95</v>
      </c>
      <c r="D54" s="2">
        <f>C54*0.7</f>
        <v>224809.86499999999</v>
      </c>
      <c r="E54" s="54">
        <v>284022.86</v>
      </c>
      <c r="F54" s="2">
        <f>C54-E54</f>
        <v>37134.090000000026</v>
      </c>
      <c r="G54" s="60">
        <f>D54-E54</f>
        <v>-59212.994999999995</v>
      </c>
      <c r="H54" s="12"/>
    </row>
    <row r="55" spans="1:13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60">
        <f>D55-E55</f>
        <v>0</v>
      </c>
      <c r="H55" s="12"/>
    </row>
    <row r="56" spans="1:13" x14ac:dyDescent="0.25">
      <c r="A56" s="27"/>
      <c r="B56" s="29" t="s">
        <v>14</v>
      </c>
      <c r="C56" s="2"/>
      <c r="D56" s="2"/>
      <c r="E56" s="2"/>
      <c r="F56" s="2"/>
      <c r="G56" s="60"/>
      <c r="H56" s="12"/>
    </row>
    <row r="57" spans="1:13" x14ac:dyDescent="0.25">
      <c r="A57" s="31"/>
      <c r="B57" s="30" t="s">
        <v>27</v>
      </c>
      <c r="C57" s="8">
        <f>SUM(C53:C56)</f>
        <v>1904613.3499999999</v>
      </c>
      <c r="D57" s="8">
        <f>SUM(D53:D56)</f>
        <v>1016538.0649999999</v>
      </c>
      <c r="E57" s="8">
        <f>SUM(E53:E56)</f>
        <v>1000880.8099999999</v>
      </c>
      <c r="F57" s="8">
        <f>SUM(F53:F56)</f>
        <v>903732.54</v>
      </c>
      <c r="G57" s="61">
        <f>SUM(G53:G56)</f>
        <v>15657.255000000005</v>
      </c>
      <c r="H57" s="12"/>
    </row>
    <row r="58" spans="1:13" ht="15.75" thickBot="1" x14ac:dyDescent="0.3">
      <c r="A58" s="32"/>
      <c r="B58" s="33"/>
      <c r="C58" s="9"/>
      <c r="D58" s="9"/>
      <c r="E58" s="9"/>
      <c r="F58" s="9"/>
      <c r="G58" s="62"/>
      <c r="H58" s="12"/>
    </row>
    <row r="59" spans="1:13" x14ac:dyDescent="0.25">
      <c r="A59" s="35"/>
      <c r="B59" s="36"/>
      <c r="C59" s="10"/>
      <c r="D59" s="10"/>
      <c r="E59" s="10">
        <f>E12+E19+E26+E33+E40+E40+E54</f>
        <v>2055384.5899999999</v>
      </c>
      <c r="F59" s="10"/>
      <c r="G59" s="10"/>
      <c r="H59" s="12"/>
    </row>
    <row r="60" spans="1:13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13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13" x14ac:dyDescent="0.25">
      <c r="A62" s="13" t="s">
        <v>2</v>
      </c>
      <c r="B62" s="36"/>
      <c r="C62" s="10"/>
      <c r="D62" s="10"/>
      <c r="E62" s="10"/>
      <c r="F62" s="10"/>
      <c r="G62" s="10"/>
      <c r="H62" s="12"/>
      <c r="M62" s="13">
        <v>45000</v>
      </c>
    </row>
    <row r="63" spans="1:13" x14ac:dyDescent="0.25">
      <c r="A63" s="24" t="s">
        <v>188</v>
      </c>
      <c r="B63" s="36"/>
      <c r="C63" s="10"/>
      <c r="D63" s="10"/>
      <c r="E63" s="10"/>
      <c r="F63" s="10"/>
      <c r="G63" s="10"/>
      <c r="H63" s="12"/>
      <c r="M63" s="13">
        <v>15000</v>
      </c>
    </row>
    <row r="64" spans="1:13" x14ac:dyDescent="0.25">
      <c r="A64" s="35"/>
      <c r="B64" s="36"/>
      <c r="C64" s="10"/>
      <c r="D64" s="10"/>
      <c r="E64" s="10"/>
      <c r="F64" s="10"/>
      <c r="G64" s="10"/>
      <c r="H64" s="12"/>
      <c r="M64" s="13">
        <v>40000</v>
      </c>
    </row>
    <row r="65" spans="1:13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  <c r="M65" s="13">
        <v>25000</v>
      </c>
    </row>
    <row r="66" spans="1:13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  <c r="M66" s="13">
        <v>45000</v>
      </c>
    </row>
    <row r="67" spans="1:13" x14ac:dyDescent="0.25">
      <c r="A67" s="26"/>
      <c r="B67" s="17"/>
      <c r="C67" s="19"/>
      <c r="D67" s="19"/>
      <c r="E67" s="19"/>
      <c r="F67" s="19"/>
      <c r="G67" s="19"/>
      <c r="H67" s="12"/>
      <c r="M67" s="13">
        <v>40000</v>
      </c>
    </row>
    <row r="68" spans="1:13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  <c r="M68" s="13">
        <v>14000</v>
      </c>
    </row>
    <row r="69" spans="1:13" x14ac:dyDescent="0.25">
      <c r="A69" s="27"/>
      <c r="B69" s="29" t="s">
        <v>11</v>
      </c>
      <c r="C69" s="2">
        <v>757496.84</v>
      </c>
      <c r="D69" s="2">
        <f>C69/2</f>
        <v>378748.42</v>
      </c>
      <c r="E69" s="11">
        <v>318112.53000000003</v>
      </c>
      <c r="F69" s="2">
        <f>C69-E69</f>
        <v>439384.30999999994</v>
      </c>
      <c r="G69" s="60">
        <f>D69-E69</f>
        <v>60635.889999999956</v>
      </c>
      <c r="H69" s="12"/>
      <c r="M69" s="13">
        <f>SUM(M62:M68)</f>
        <v>224000</v>
      </c>
    </row>
    <row r="70" spans="1:13" x14ac:dyDescent="0.25">
      <c r="A70" s="27"/>
      <c r="B70" s="29" t="s">
        <v>12</v>
      </c>
      <c r="C70" s="2">
        <v>112211.77</v>
      </c>
      <c r="D70" s="2">
        <f>C70*0.7</f>
        <v>78548.239000000001</v>
      </c>
      <c r="E70" s="54">
        <v>51284.7</v>
      </c>
      <c r="F70" s="2">
        <f>C70-E70</f>
        <v>60927.070000000007</v>
      </c>
      <c r="G70" s="60">
        <f>D70-E70</f>
        <v>27263.539000000004</v>
      </c>
      <c r="H70" s="12"/>
    </row>
    <row r="71" spans="1:13" x14ac:dyDescent="0.25">
      <c r="A71" s="27"/>
      <c r="B71" s="29" t="s">
        <v>13</v>
      </c>
      <c r="C71" s="2">
        <v>10000</v>
      </c>
      <c r="D71" s="2">
        <f>C71*0.7</f>
        <v>7000</v>
      </c>
      <c r="E71" s="2">
        <v>5800</v>
      </c>
      <c r="F71" s="2">
        <f>C71-E71</f>
        <v>4200</v>
      </c>
      <c r="G71" s="60">
        <f>D71-E71</f>
        <v>1200</v>
      </c>
      <c r="H71" s="12"/>
    </row>
    <row r="72" spans="1:13" x14ac:dyDescent="0.25">
      <c r="A72" s="27"/>
      <c r="B72" s="29" t="s">
        <v>14</v>
      </c>
      <c r="C72" s="2"/>
      <c r="D72" s="2"/>
      <c r="E72" s="2"/>
      <c r="F72" s="2"/>
      <c r="G72" s="60"/>
      <c r="H72" s="12"/>
    </row>
    <row r="73" spans="1:13" x14ac:dyDescent="0.25">
      <c r="A73" s="18"/>
      <c r="B73" s="30" t="s">
        <v>27</v>
      </c>
      <c r="C73" s="8">
        <f>SUM(C69:C72)</f>
        <v>879708.61</v>
      </c>
      <c r="D73" s="8">
        <f>SUM(D69:D72)</f>
        <v>464296.65899999999</v>
      </c>
      <c r="E73" s="8">
        <f>SUM(E69:E72)</f>
        <v>375197.23000000004</v>
      </c>
      <c r="F73" s="8">
        <f>SUM(F69:F72)</f>
        <v>504511.37999999995</v>
      </c>
      <c r="G73" s="61">
        <f>SUM(G69:G72)</f>
        <v>89099.42899999996</v>
      </c>
      <c r="H73" s="12"/>
    </row>
    <row r="74" spans="1:13" x14ac:dyDescent="0.25">
      <c r="A74" s="27"/>
      <c r="B74" s="18"/>
      <c r="C74" s="2"/>
      <c r="D74" s="2"/>
      <c r="E74" s="2"/>
      <c r="F74" s="2"/>
      <c r="G74" s="60"/>
      <c r="H74" s="12"/>
    </row>
    <row r="75" spans="1:13" x14ac:dyDescent="0.25">
      <c r="A75" s="27">
        <v>6544</v>
      </c>
      <c r="B75" s="28" t="s">
        <v>21</v>
      </c>
      <c r="C75" s="18"/>
      <c r="D75" s="2"/>
      <c r="E75" s="2"/>
      <c r="F75" s="2"/>
      <c r="G75" s="60"/>
      <c r="H75" s="12"/>
    </row>
    <row r="76" spans="1:13" x14ac:dyDescent="0.25">
      <c r="A76" s="27"/>
      <c r="B76" s="29" t="s">
        <v>11</v>
      </c>
      <c r="C76" s="2">
        <v>1136593.6000000001</v>
      </c>
      <c r="D76" s="2">
        <f>C76/2</f>
        <v>568296.80000000005</v>
      </c>
      <c r="E76" s="11">
        <v>429271.78</v>
      </c>
      <c r="F76" s="2">
        <f>C76-E76</f>
        <v>707321.82000000007</v>
      </c>
      <c r="G76" s="60">
        <f>D76-E76</f>
        <v>139025.02000000002</v>
      </c>
      <c r="H76" s="12"/>
    </row>
    <row r="77" spans="1:13" x14ac:dyDescent="0.25">
      <c r="A77" s="27"/>
      <c r="B77" s="29" t="s">
        <v>12</v>
      </c>
      <c r="C77" s="2">
        <v>749098.9</v>
      </c>
      <c r="D77" s="2">
        <f>C77*0.7</f>
        <v>524369.23</v>
      </c>
      <c r="E77" s="54">
        <v>539670.48</v>
      </c>
      <c r="F77" s="2">
        <f>C77-E77</f>
        <v>209428.42000000004</v>
      </c>
      <c r="G77" s="60">
        <f>D77-E77</f>
        <v>-15301.25</v>
      </c>
      <c r="H77" s="12"/>
    </row>
    <row r="78" spans="1:13" x14ac:dyDescent="0.25">
      <c r="A78" s="27"/>
      <c r="B78" s="29" t="s">
        <v>13</v>
      </c>
      <c r="C78" s="2"/>
      <c r="D78" s="2"/>
      <c r="E78" s="2"/>
      <c r="F78" s="2"/>
      <c r="G78" s="60"/>
      <c r="H78" s="12"/>
    </row>
    <row r="79" spans="1:13" x14ac:dyDescent="0.25">
      <c r="A79" s="27"/>
      <c r="B79" s="29" t="s">
        <v>14</v>
      </c>
      <c r="C79" s="2"/>
      <c r="D79" s="2"/>
      <c r="E79" s="2"/>
      <c r="F79" s="2"/>
      <c r="G79" s="60"/>
      <c r="H79" s="12"/>
    </row>
    <row r="80" spans="1:13" x14ac:dyDescent="0.25">
      <c r="A80" s="27"/>
      <c r="B80" s="30" t="s">
        <v>27</v>
      </c>
      <c r="C80" s="8">
        <f>SUM(C76:C79)</f>
        <v>1885692.5</v>
      </c>
      <c r="D80" s="8">
        <f>SUM(D76:D79)</f>
        <v>1092666.03</v>
      </c>
      <c r="E80" s="8">
        <f>SUM(E76:E79)</f>
        <v>968942.26</v>
      </c>
      <c r="F80" s="8">
        <f>SUM(F76:F79)</f>
        <v>916750.24000000011</v>
      </c>
      <c r="G80" s="61">
        <f>SUM(G76:G79)</f>
        <v>123723.77000000002</v>
      </c>
      <c r="H80" s="12"/>
    </row>
    <row r="81" spans="1:8" x14ac:dyDescent="0.25">
      <c r="A81" s="27"/>
      <c r="B81" s="18"/>
      <c r="C81" s="2"/>
      <c r="D81" s="2"/>
      <c r="E81" s="2"/>
      <c r="F81" s="2"/>
      <c r="G81" s="60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60"/>
      <c r="H82" s="12"/>
    </row>
    <row r="83" spans="1:8" x14ac:dyDescent="0.25">
      <c r="A83" s="27"/>
      <c r="B83" s="29" t="s">
        <v>11</v>
      </c>
      <c r="C83" s="2">
        <v>2920190.6</v>
      </c>
      <c r="D83" s="2">
        <f>C83/2</f>
        <v>1460095.3</v>
      </c>
      <c r="E83" s="11">
        <v>1340328.3799999999</v>
      </c>
      <c r="F83" s="2">
        <f>C83-E83</f>
        <v>1579862.2200000002</v>
      </c>
      <c r="G83" s="60">
        <f>D83-E83</f>
        <v>119766.92000000016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f>C84*0.7</f>
        <v>122429.19499999999</v>
      </c>
      <c r="E84" s="54">
        <v>77325.98</v>
      </c>
      <c r="F84" s="2">
        <f>C84-E84</f>
        <v>97572.87000000001</v>
      </c>
      <c r="G84" s="60">
        <f>D84-E84</f>
        <v>45103.214999999997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60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60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1582524.4950000001</v>
      </c>
      <c r="E87" s="8">
        <f>SUM(E83:E86)</f>
        <v>1417654.3599999999</v>
      </c>
      <c r="F87" s="8">
        <f>SUM(F83:F86)</f>
        <v>1677435.0900000003</v>
      </c>
      <c r="G87" s="61">
        <f>SUM(G83:G86)</f>
        <v>164870.13500000015</v>
      </c>
      <c r="H87" s="12"/>
    </row>
    <row r="88" spans="1:8" x14ac:dyDescent="0.25">
      <c r="A88" s="27"/>
      <c r="B88" s="18"/>
      <c r="C88" s="2"/>
      <c r="D88" s="2"/>
      <c r="E88" s="2"/>
      <c r="F88" s="2"/>
      <c r="G88" s="60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60"/>
      <c r="H89" s="12"/>
    </row>
    <row r="90" spans="1:8" x14ac:dyDescent="0.25">
      <c r="A90" s="27"/>
      <c r="B90" s="29" t="s">
        <v>11</v>
      </c>
      <c r="C90" s="2">
        <v>1120789.58</v>
      </c>
      <c r="D90" s="2">
        <f>C90/2</f>
        <v>560394.79</v>
      </c>
      <c r="E90" s="11">
        <v>480377.69</v>
      </c>
      <c r="F90" s="2">
        <f>C90-E90</f>
        <v>640411.89000000013</v>
      </c>
      <c r="G90" s="60">
        <f>D90-E90</f>
        <v>80017.100000000035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f>C91*0.7</f>
        <v>132979.80499999999</v>
      </c>
      <c r="E91" s="54">
        <v>99835.5</v>
      </c>
      <c r="F91" s="2">
        <f>C91-E91</f>
        <v>90135.65</v>
      </c>
      <c r="G91" s="60">
        <f>D91-E91</f>
        <v>33144.304999999993</v>
      </c>
      <c r="H91" s="12"/>
    </row>
    <row r="92" spans="1:8" x14ac:dyDescent="0.25">
      <c r="A92" s="27"/>
      <c r="B92" s="29" t="s">
        <v>13</v>
      </c>
      <c r="C92" s="2">
        <v>25000</v>
      </c>
      <c r="D92" s="2"/>
      <c r="E92" s="2"/>
      <c r="F92" s="2"/>
      <c r="G92" s="60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60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693374.59499999997</v>
      </c>
      <c r="E94" s="8">
        <f>SUM(E90:E93)</f>
        <v>580213.18999999994</v>
      </c>
      <c r="F94" s="8">
        <f>SUM(F90:F93)</f>
        <v>730547.54000000015</v>
      </c>
      <c r="G94" s="61">
        <f>SUM(G90:G93)</f>
        <v>113161.40500000003</v>
      </c>
      <c r="H94" s="12"/>
    </row>
    <row r="95" spans="1:8" x14ac:dyDescent="0.25">
      <c r="A95" s="27"/>
      <c r="B95" s="18"/>
      <c r="C95" s="2"/>
      <c r="D95" s="2"/>
      <c r="E95" s="2"/>
      <c r="F95" s="2"/>
      <c r="G95" s="60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60"/>
      <c r="H96" s="12"/>
    </row>
    <row r="97" spans="1:9" x14ac:dyDescent="0.25">
      <c r="A97" s="27"/>
      <c r="B97" s="29" t="s">
        <v>11</v>
      </c>
      <c r="C97" s="2">
        <v>860982.08</v>
      </c>
      <c r="D97" s="2">
        <f>C97/2</f>
        <v>430491.04</v>
      </c>
      <c r="E97" s="2">
        <v>388920</v>
      </c>
      <c r="F97" s="2">
        <f>C97-E97</f>
        <v>472062.07999999996</v>
      </c>
      <c r="G97" s="60">
        <f>D97-E97</f>
        <v>41571.039999999979</v>
      </c>
      <c r="H97" s="12"/>
    </row>
    <row r="98" spans="1:9" x14ac:dyDescent="0.25">
      <c r="A98" s="27"/>
      <c r="B98" s="29" t="s">
        <v>12</v>
      </c>
      <c r="C98" s="2">
        <v>87772.800000000003</v>
      </c>
      <c r="D98" s="2">
        <f>C98*0.7</f>
        <v>61440.959999999999</v>
      </c>
      <c r="E98" s="54">
        <v>35988.29</v>
      </c>
      <c r="F98" s="2">
        <f>C98-E98</f>
        <v>51784.51</v>
      </c>
      <c r="G98" s="60">
        <f>D98-E98</f>
        <v>25452.67</v>
      </c>
      <c r="H98" s="12"/>
    </row>
    <row r="99" spans="1:9" x14ac:dyDescent="0.25">
      <c r="A99" s="27"/>
      <c r="B99" s="29" t="s">
        <v>13</v>
      </c>
      <c r="C99" s="2"/>
      <c r="D99" s="2"/>
      <c r="E99" s="2"/>
      <c r="F99" s="2"/>
      <c r="G99" s="60"/>
      <c r="H99" s="12"/>
    </row>
    <row r="100" spans="1:9" x14ac:dyDescent="0.25">
      <c r="A100" s="27"/>
      <c r="B100" s="29" t="s">
        <v>14</v>
      </c>
      <c r="C100" s="2"/>
      <c r="D100" s="2"/>
      <c r="E100" s="2"/>
      <c r="F100" s="2"/>
      <c r="G100" s="60"/>
      <c r="H100" s="12"/>
    </row>
    <row r="101" spans="1:9" x14ac:dyDescent="0.25">
      <c r="A101" s="27"/>
      <c r="B101" s="30" t="s">
        <v>27</v>
      </c>
      <c r="C101" s="8">
        <f>SUM(C97:C100)</f>
        <v>948754.88</v>
      </c>
      <c r="D101" s="8">
        <f>SUM(D97:D100)</f>
        <v>491932</v>
      </c>
      <c r="E101" s="8">
        <f>SUM(E97:E100)</f>
        <v>424908.29</v>
      </c>
      <c r="F101" s="8">
        <f>SUM(F97:F100)</f>
        <v>523846.58999999997</v>
      </c>
      <c r="G101" s="61">
        <f>SUM(G97:G100)</f>
        <v>67023.709999999977</v>
      </c>
      <c r="H101" s="12"/>
    </row>
    <row r="102" spans="1:9" x14ac:dyDescent="0.25">
      <c r="A102" s="27"/>
      <c r="B102" s="18"/>
      <c r="C102" s="2"/>
      <c r="D102" s="2"/>
      <c r="E102" s="2"/>
      <c r="F102" s="2"/>
      <c r="G102" s="60"/>
      <c r="H102" s="12"/>
    </row>
    <row r="103" spans="1:9" x14ac:dyDescent="0.25">
      <c r="A103" s="27">
        <v>8751</v>
      </c>
      <c r="B103" s="28" t="s">
        <v>25</v>
      </c>
      <c r="C103" s="2"/>
      <c r="D103" s="2"/>
      <c r="E103" s="2"/>
      <c r="F103" s="2"/>
      <c r="G103" s="60"/>
      <c r="H103" s="12"/>
    </row>
    <row r="104" spans="1:9" x14ac:dyDescent="0.25">
      <c r="A104" s="27"/>
      <c r="B104" s="29" t="s">
        <v>11</v>
      </c>
      <c r="C104" s="2">
        <v>1008030.66</v>
      </c>
      <c r="D104" s="2">
        <f>C104/2</f>
        <v>504015.33</v>
      </c>
      <c r="E104" s="11">
        <v>455417.55</v>
      </c>
      <c r="F104" s="2">
        <f>C104-E104</f>
        <v>552613.1100000001</v>
      </c>
      <c r="G104" s="60">
        <f>D104-E104</f>
        <v>48597.780000000028</v>
      </c>
      <c r="H104" s="12"/>
    </row>
    <row r="105" spans="1:9" x14ac:dyDescent="0.25">
      <c r="A105" s="27"/>
      <c r="B105" s="29" t="s">
        <v>12</v>
      </c>
      <c r="C105" s="2">
        <v>61275.5</v>
      </c>
      <c r="D105" s="2">
        <f>C105*0.7</f>
        <v>42892.85</v>
      </c>
      <c r="E105" s="54">
        <v>31281</v>
      </c>
      <c r="F105" s="2">
        <f>C105-E105</f>
        <v>29994.5</v>
      </c>
      <c r="G105" s="60">
        <f>D105-E105</f>
        <v>11611.849999999999</v>
      </c>
      <c r="H105" s="12"/>
      <c r="I105" s="14">
        <f>C105*0.7</f>
        <v>42892.85</v>
      </c>
    </row>
    <row r="106" spans="1:9" x14ac:dyDescent="0.25">
      <c r="A106" s="27"/>
      <c r="B106" s="29" t="s">
        <v>13</v>
      </c>
      <c r="C106" s="2"/>
      <c r="D106" s="2"/>
      <c r="E106" s="2"/>
      <c r="F106" s="2"/>
      <c r="G106" s="60"/>
      <c r="H106" s="12"/>
    </row>
    <row r="107" spans="1:9" x14ac:dyDescent="0.25">
      <c r="A107" s="27"/>
      <c r="B107" s="29" t="s">
        <v>14</v>
      </c>
      <c r="C107" s="2"/>
      <c r="D107" s="2"/>
      <c r="E107" s="2"/>
      <c r="F107" s="2"/>
      <c r="G107" s="60"/>
      <c r="H107" s="12"/>
    </row>
    <row r="108" spans="1:9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546908.18000000005</v>
      </c>
      <c r="E108" s="8">
        <f>SUM(E104:E107)</f>
        <v>486698.55</v>
      </c>
      <c r="F108" s="8">
        <f>SUM(F104:F107)</f>
        <v>582607.6100000001</v>
      </c>
      <c r="G108" s="61">
        <f>SUM(G104:G107)</f>
        <v>60209.630000000026</v>
      </c>
      <c r="H108" s="12"/>
    </row>
    <row r="109" spans="1:9" x14ac:dyDescent="0.25">
      <c r="A109" s="27"/>
      <c r="B109" s="18"/>
      <c r="C109" s="2"/>
      <c r="D109" s="2"/>
      <c r="E109" s="2"/>
      <c r="F109" s="2"/>
      <c r="G109" s="60"/>
      <c r="H109" s="12"/>
    </row>
    <row r="110" spans="1:9" x14ac:dyDescent="0.25">
      <c r="A110" s="27">
        <v>8811</v>
      </c>
      <c r="B110" s="28" t="s">
        <v>26</v>
      </c>
      <c r="C110" s="2"/>
      <c r="D110" s="2"/>
      <c r="E110" s="2"/>
      <c r="F110" s="2"/>
      <c r="G110" s="60"/>
      <c r="H110" s="12"/>
    </row>
    <row r="111" spans="1:9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60">
        <f>D111-E111</f>
        <v>0</v>
      </c>
      <c r="H111" s="12"/>
    </row>
    <row r="112" spans="1:9" x14ac:dyDescent="0.25">
      <c r="A112" s="27"/>
      <c r="B112" s="29" t="s">
        <v>12</v>
      </c>
      <c r="C112" s="2">
        <v>66400</v>
      </c>
      <c r="D112" s="2">
        <f>C112*0.7</f>
        <v>46480</v>
      </c>
      <c r="E112" s="11">
        <v>8535</v>
      </c>
      <c r="F112" s="2">
        <f>C112-E112</f>
        <v>57865</v>
      </c>
      <c r="G112" s="60">
        <f>D112-E112</f>
        <v>37945</v>
      </c>
      <c r="H112" s="12"/>
    </row>
    <row r="113" spans="1:10" x14ac:dyDescent="0.25">
      <c r="A113" s="27"/>
      <c r="B113" s="29" t="s">
        <v>13</v>
      </c>
      <c r="C113" s="2"/>
      <c r="D113" s="2"/>
      <c r="E113" s="2"/>
      <c r="F113" s="2"/>
      <c r="G113" s="60"/>
      <c r="H113" s="12"/>
    </row>
    <row r="114" spans="1:10" x14ac:dyDescent="0.25">
      <c r="A114" s="27"/>
      <c r="B114" s="29" t="s">
        <v>14</v>
      </c>
      <c r="C114" s="2"/>
      <c r="D114" s="2"/>
      <c r="E114" s="2"/>
      <c r="F114" s="2"/>
      <c r="G114" s="60"/>
      <c r="H114" s="12"/>
    </row>
    <row r="115" spans="1:10" x14ac:dyDescent="0.25">
      <c r="A115" s="31"/>
      <c r="B115" s="30" t="s">
        <v>27</v>
      </c>
      <c r="C115" s="8">
        <f>SUM(C111:C114)</f>
        <v>66400</v>
      </c>
      <c r="D115" s="8">
        <f>SUM(D111:D114)</f>
        <v>46480</v>
      </c>
      <c r="E115" s="8">
        <f>SUM(E111:E114)</f>
        <v>8535</v>
      </c>
      <c r="F115" s="8">
        <f>SUM(F111:F114)</f>
        <v>57865</v>
      </c>
      <c r="G115" s="61">
        <f>SUM(G111:G114)</f>
        <v>37945</v>
      </c>
      <c r="H115" s="12"/>
    </row>
    <row r="116" spans="1:10" ht="15.75" thickBot="1" x14ac:dyDescent="0.3">
      <c r="A116" s="37"/>
      <c r="B116" s="38"/>
      <c r="C116" s="9"/>
      <c r="D116" s="9"/>
      <c r="E116" s="9"/>
      <c r="F116" s="9"/>
      <c r="G116" s="62"/>
      <c r="H116" s="12"/>
    </row>
    <row r="117" spans="1:10" x14ac:dyDescent="0.25">
      <c r="C117" s="12"/>
      <c r="D117" s="12"/>
      <c r="E117" s="12"/>
      <c r="F117" s="12"/>
      <c r="G117" s="12"/>
      <c r="H117" s="12"/>
    </row>
    <row r="118" spans="1:10" x14ac:dyDescent="0.25">
      <c r="C118" s="12"/>
      <c r="D118" s="12"/>
      <c r="E118" s="12">
        <f>E70+E71+E77+E84+E91+E98+E105</f>
        <v>841185.95</v>
      </c>
      <c r="F118" s="12"/>
      <c r="G118" s="12"/>
      <c r="H118" s="12"/>
    </row>
    <row r="119" spans="1:10" x14ac:dyDescent="0.25">
      <c r="C119" s="12"/>
      <c r="D119" s="12"/>
      <c r="E119" s="12"/>
      <c r="F119" s="12"/>
      <c r="G119" s="12"/>
      <c r="H119" s="12"/>
    </row>
    <row r="120" spans="1:10" x14ac:dyDescent="0.25">
      <c r="A120" s="13" t="s">
        <v>0</v>
      </c>
      <c r="B120" s="36"/>
      <c r="C120" s="10"/>
      <c r="D120" s="10"/>
      <c r="F120" s="10"/>
      <c r="G120" s="10"/>
      <c r="H120" s="12"/>
    </row>
    <row r="121" spans="1:10" x14ac:dyDescent="0.25">
      <c r="A121" s="13" t="s">
        <v>1</v>
      </c>
      <c r="B121" s="36"/>
      <c r="C121" s="10"/>
      <c r="D121" s="10"/>
      <c r="E121" s="10"/>
      <c r="F121" s="10"/>
      <c r="G121" s="10"/>
      <c r="H121" s="12"/>
      <c r="I121" s="12">
        <v>37836.519999999997</v>
      </c>
    </row>
    <row r="122" spans="1:10" x14ac:dyDescent="0.25">
      <c r="A122" s="13" t="s">
        <v>2</v>
      </c>
      <c r="B122" s="36"/>
      <c r="C122" s="10"/>
      <c r="D122" s="10"/>
      <c r="E122" s="10"/>
      <c r="F122" s="10"/>
      <c r="G122" s="10"/>
      <c r="H122" s="12"/>
      <c r="I122" s="12">
        <f>I121*5%</f>
        <v>1891.826</v>
      </c>
      <c r="J122" s="13" t="s">
        <v>189</v>
      </c>
    </row>
    <row r="123" spans="1:10" x14ac:dyDescent="0.25">
      <c r="A123" s="24" t="s">
        <v>188</v>
      </c>
      <c r="B123" s="36"/>
      <c r="C123" s="10"/>
      <c r="D123" s="10"/>
      <c r="E123" s="10"/>
      <c r="F123" s="10"/>
      <c r="G123" s="10"/>
      <c r="H123" s="12"/>
      <c r="I123" s="12">
        <f>I122</f>
        <v>1891.826</v>
      </c>
      <c r="J123" s="13" t="s">
        <v>57</v>
      </c>
    </row>
    <row r="124" spans="1:10" x14ac:dyDescent="0.25">
      <c r="A124" s="35"/>
      <c r="B124" s="36"/>
      <c r="C124" s="10"/>
      <c r="D124" s="10"/>
      <c r="E124" s="10"/>
      <c r="F124" s="10"/>
      <c r="G124" s="10"/>
      <c r="H124" s="12"/>
      <c r="I124" s="12">
        <f>I121*1%</f>
        <v>378.36519999999996</v>
      </c>
      <c r="J124" s="13" t="s">
        <v>190</v>
      </c>
    </row>
    <row r="125" spans="1:10" x14ac:dyDescent="0.25">
      <c r="A125" s="91" t="s">
        <v>3</v>
      </c>
      <c r="B125" s="91" t="s">
        <v>4</v>
      </c>
      <c r="C125" s="91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  <c r="I125" s="12">
        <f>SUM(I122:I124)</f>
        <v>4162.0172000000002</v>
      </c>
    </row>
    <row r="126" spans="1:10" x14ac:dyDescent="0.25">
      <c r="A126" s="92"/>
      <c r="B126" s="92"/>
      <c r="C126" s="92"/>
      <c r="D126" s="89"/>
      <c r="E126" s="89"/>
      <c r="F126" s="16" t="s">
        <v>5</v>
      </c>
      <c r="G126" s="16" t="s">
        <v>6</v>
      </c>
      <c r="H126" s="12"/>
      <c r="I126" s="12">
        <f>I121-I125</f>
        <v>33674.502799999995</v>
      </c>
    </row>
    <row r="127" spans="1:10" ht="18.75" x14ac:dyDescent="0.3">
      <c r="A127" s="65"/>
      <c r="B127" s="65"/>
      <c r="C127" s="66"/>
      <c r="D127" s="19"/>
      <c r="E127" s="19"/>
      <c r="F127" s="19"/>
      <c r="G127" s="19"/>
      <c r="H127" s="12"/>
    </row>
    <row r="128" spans="1:10" ht="18.75" x14ac:dyDescent="0.3">
      <c r="A128" s="67" t="s">
        <v>29</v>
      </c>
      <c r="B128" s="67" t="s">
        <v>38</v>
      </c>
      <c r="C128" s="68">
        <v>35000</v>
      </c>
      <c r="D128" s="2">
        <f>C128/2</f>
        <v>17500</v>
      </c>
      <c r="E128" s="2"/>
      <c r="F128" s="2">
        <f t="shared" ref="F128:F156" si="2">C128-E128</f>
        <v>35000</v>
      </c>
      <c r="G128" s="60">
        <f t="shared" ref="G128:G157" si="3">D128-E128</f>
        <v>17500</v>
      </c>
      <c r="H128" s="12"/>
    </row>
    <row r="129" spans="1:10" ht="18.75" x14ac:dyDescent="0.3">
      <c r="A129" s="67"/>
      <c r="B129" s="67" t="s">
        <v>32</v>
      </c>
      <c r="C129" s="68">
        <v>250000</v>
      </c>
      <c r="D129" s="2">
        <f t="shared" ref="D129:D131" si="4">C129/2</f>
        <v>125000</v>
      </c>
      <c r="E129" s="54">
        <v>36854.17</v>
      </c>
      <c r="F129" s="2">
        <f>C129-E129</f>
        <v>213145.83000000002</v>
      </c>
      <c r="G129" s="60"/>
      <c r="H129" s="12"/>
    </row>
    <row r="130" spans="1:10" ht="18.75" x14ac:dyDescent="0.3">
      <c r="A130" s="67"/>
      <c r="B130" s="67" t="s">
        <v>35</v>
      </c>
      <c r="C130" s="68">
        <v>430000</v>
      </c>
      <c r="D130" s="2">
        <f t="shared" si="4"/>
        <v>215000</v>
      </c>
      <c r="E130" s="54">
        <v>389371</v>
      </c>
      <c r="F130" s="2">
        <f t="shared" ref="F130:F133" si="5">C130-E130</f>
        <v>40629</v>
      </c>
      <c r="G130" s="60"/>
      <c r="H130" s="12"/>
    </row>
    <row r="131" spans="1:10" ht="18.75" x14ac:dyDescent="0.3">
      <c r="A131" s="67"/>
      <c r="B131" s="67" t="s">
        <v>96</v>
      </c>
      <c r="C131" s="68">
        <v>200000</v>
      </c>
      <c r="D131" s="2">
        <f t="shared" si="4"/>
        <v>100000</v>
      </c>
      <c r="E131" s="54">
        <v>13304.93</v>
      </c>
      <c r="F131" s="2">
        <f t="shared" si="5"/>
        <v>186695.07</v>
      </c>
      <c r="G131" s="60"/>
      <c r="H131" s="12"/>
    </row>
    <row r="132" spans="1:10" ht="18.75" x14ac:dyDescent="0.3">
      <c r="A132" s="67"/>
      <c r="B132" s="67" t="s">
        <v>100</v>
      </c>
      <c r="C132" s="68">
        <v>300000</v>
      </c>
      <c r="D132" s="2"/>
      <c r="E132" s="2"/>
      <c r="F132" s="2">
        <f t="shared" si="5"/>
        <v>300000</v>
      </c>
      <c r="G132" s="60"/>
      <c r="H132" s="12"/>
    </row>
    <row r="133" spans="1:10" ht="18.75" x14ac:dyDescent="0.3">
      <c r="A133" s="67"/>
      <c r="B133" s="67" t="s">
        <v>181</v>
      </c>
      <c r="C133" s="68">
        <v>180000</v>
      </c>
      <c r="D133" s="2"/>
      <c r="E133" s="2"/>
      <c r="F133" s="2">
        <f t="shared" si="5"/>
        <v>180000</v>
      </c>
      <c r="G133" s="60"/>
      <c r="H133" s="12"/>
    </row>
    <row r="134" spans="1:10" ht="18.75" x14ac:dyDescent="0.3">
      <c r="A134" s="67"/>
      <c r="B134" s="67" t="s">
        <v>31</v>
      </c>
      <c r="C134" s="68"/>
      <c r="D134" s="2"/>
      <c r="E134" s="2"/>
      <c r="F134" s="2"/>
      <c r="G134" s="60"/>
      <c r="H134" s="12"/>
      <c r="I134" s="13">
        <f>230*22</f>
        <v>5060</v>
      </c>
    </row>
    <row r="135" spans="1:10" ht="18.75" x14ac:dyDescent="0.3">
      <c r="A135" s="67"/>
      <c r="B135" s="69" t="s">
        <v>146</v>
      </c>
      <c r="C135" s="68">
        <v>300000</v>
      </c>
      <c r="D135" s="2">
        <v>300000</v>
      </c>
      <c r="E135" s="54">
        <f>251287.5+72900</f>
        <v>324187.5</v>
      </c>
      <c r="F135" s="2">
        <f t="shared" ref="F135:F137" si="6">C135-E135</f>
        <v>-24187.5</v>
      </c>
      <c r="G135" s="60"/>
      <c r="H135" s="12"/>
      <c r="I135" s="13">
        <f>I134*12</f>
        <v>60720</v>
      </c>
    </row>
    <row r="136" spans="1:10" ht="18.75" x14ac:dyDescent="0.3">
      <c r="A136" s="67"/>
      <c r="B136" s="69" t="s">
        <v>147</v>
      </c>
      <c r="C136" s="68">
        <v>400000</v>
      </c>
      <c r="D136" s="2">
        <v>400000</v>
      </c>
      <c r="E136" s="54">
        <v>400000</v>
      </c>
      <c r="F136" s="2">
        <f t="shared" si="6"/>
        <v>0</v>
      </c>
      <c r="G136" s="60"/>
      <c r="H136" s="12"/>
    </row>
    <row r="137" spans="1:10" ht="18.75" x14ac:dyDescent="0.3">
      <c r="A137" s="67"/>
      <c r="B137" s="69" t="s">
        <v>148</v>
      </c>
      <c r="C137" s="68">
        <v>200000</v>
      </c>
      <c r="D137" s="2"/>
      <c r="E137" s="2"/>
      <c r="F137" s="2">
        <f t="shared" si="6"/>
        <v>200000</v>
      </c>
      <c r="G137" s="60"/>
      <c r="H137" s="12"/>
      <c r="I137" s="12">
        <v>32882308.219999999</v>
      </c>
    </row>
    <row r="138" spans="1:10" ht="18.75" x14ac:dyDescent="0.3">
      <c r="A138" s="67"/>
      <c r="B138" s="69" t="s">
        <v>149</v>
      </c>
      <c r="C138" s="68">
        <v>100000</v>
      </c>
      <c r="D138" s="2"/>
      <c r="E138" s="2"/>
      <c r="F138" s="2">
        <f t="shared" si="2"/>
        <v>100000</v>
      </c>
      <c r="G138" s="60">
        <f t="shared" si="3"/>
        <v>0</v>
      </c>
      <c r="H138" s="12"/>
      <c r="I138" s="12">
        <v>17921</v>
      </c>
    </row>
    <row r="139" spans="1:10" ht="18.75" x14ac:dyDescent="0.3">
      <c r="A139" s="67"/>
      <c r="B139" s="67" t="s">
        <v>151</v>
      </c>
      <c r="C139" s="68">
        <v>125000</v>
      </c>
      <c r="D139" s="2"/>
      <c r="E139" s="54">
        <v>8000</v>
      </c>
      <c r="F139" s="2">
        <f t="shared" si="2"/>
        <v>117000</v>
      </c>
      <c r="G139" s="60">
        <f t="shared" si="3"/>
        <v>-8000</v>
      </c>
      <c r="H139" s="12"/>
      <c r="I139" s="13">
        <f>I137/I138</f>
        <v>1834.8478444283242</v>
      </c>
      <c r="J139" s="12"/>
    </row>
    <row r="140" spans="1:10" ht="18.75" x14ac:dyDescent="0.3">
      <c r="A140" s="67"/>
      <c r="B140" s="70" t="s">
        <v>150</v>
      </c>
      <c r="C140" s="68">
        <v>20000</v>
      </c>
      <c r="D140" s="2">
        <v>10000</v>
      </c>
      <c r="E140" s="2"/>
      <c r="F140" s="2">
        <f>C129-E140</f>
        <v>250000</v>
      </c>
      <c r="G140" s="60">
        <f t="shared" si="3"/>
        <v>10000</v>
      </c>
      <c r="H140" s="12"/>
      <c r="I140" s="12">
        <v>22067089.800000001</v>
      </c>
      <c r="J140" s="12">
        <v>857870</v>
      </c>
    </row>
    <row r="141" spans="1:10" ht="18.75" x14ac:dyDescent="0.3">
      <c r="A141" s="67"/>
      <c r="B141" s="67" t="s">
        <v>98</v>
      </c>
      <c r="C141" s="68">
        <v>80000</v>
      </c>
      <c r="D141" s="2">
        <v>40000</v>
      </c>
      <c r="E141" s="54">
        <v>8719</v>
      </c>
      <c r="F141" s="2">
        <f>C141-E141</f>
        <v>71281</v>
      </c>
      <c r="G141" s="60"/>
      <c r="H141" s="12"/>
      <c r="I141" s="13">
        <f>I140/I137</f>
        <v>0.67109308909701604</v>
      </c>
      <c r="J141" s="12"/>
    </row>
    <row r="142" spans="1:10" ht="18.75" x14ac:dyDescent="0.3">
      <c r="A142" s="67"/>
      <c r="B142" s="67" t="s">
        <v>94</v>
      </c>
      <c r="C142" s="68">
        <v>75000</v>
      </c>
      <c r="D142" s="2">
        <f>C142/2</f>
        <v>37500</v>
      </c>
      <c r="E142" s="54">
        <v>2000</v>
      </c>
      <c r="F142" s="2">
        <f t="shared" si="2"/>
        <v>73000</v>
      </c>
      <c r="G142" s="60">
        <f t="shared" si="3"/>
        <v>35500</v>
      </c>
      <c r="H142" s="12"/>
      <c r="J142" s="12"/>
    </row>
    <row r="143" spans="1:10" ht="18.75" x14ac:dyDescent="0.3">
      <c r="A143" s="67"/>
      <c r="B143" s="67" t="s">
        <v>179</v>
      </c>
      <c r="C143" s="68">
        <v>75000</v>
      </c>
      <c r="D143" s="2">
        <f>C143/2</f>
        <v>37500</v>
      </c>
      <c r="E143" s="2"/>
      <c r="F143" s="2">
        <f>C143-E143</f>
        <v>75000</v>
      </c>
      <c r="G143" s="60"/>
      <c r="H143" s="12"/>
      <c r="J143" s="12"/>
    </row>
    <row r="144" spans="1:10" ht="18.75" x14ac:dyDescent="0.3">
      <c r="A144" s="67"/>
      <c r="B144" s="67" t="s">
        <v>110</v>
      </c>
      <c r="C144" s="68">
        <v>1200000</v>
      </c>
      <c r="D144" s="2">
        <f>C144/2</f>
        <v>600000</v>
      </c>
      <c r="E144" s="54">
        <v>1412767.5</v>
      </c>
      <c r="F144" s="2">
        <f t="shared" si="2"/>
        <v>-212767.5</v>
      </c>
      <c r="G144" s="60">
        <f t="shared" si="3"/>
        <v>-812767.5</v>
      </c>
      <c r="H144" s="12"/>
      <c r="J144" s="12"/>
    </row>
    <row r="145" spans="1:10" ht="18.75" x14ac:dyDescent="0.3">
      <c r="A145" s="67"/>
      <c r="B145" s="67" t="s">
        <v>49</v>
      </c>
      <c r="C145" s="68">
        <v>100000</v>
      </c>
      <c r="D145" s="2">
        <v>100000</v>
      </c>
      <c r="E145" s="54">
        <v>100000</v>
      </c>
      <c r="F145" s="2">
        <f t="shared" si="2"/>
        <v>0</v>
      </c>
      <c r="G145" s="60">
        <f t="shared" si="3"/>
        <v>0</v>
      </c>
      <c r="H145" s="12"/>
      <c r="J145" s="12">
        <f>J140*55%</f>
        <v>471828.50000000006</v>
      </c>
    </row>
    <row r="146" spans="1:10" ht="18.75" x14ac:dyDescent="0.3">
      <c r="A146" s="67"/>
      <c r="B146" s="67" t="s">
        <v>33</v>
      </c>
      <c r="C146" s="68">
        <v>150000</v>
      </c>
      <c r="D146" s="2">
        <f t="shared" ref="D146:D153" si="7">C146/2</f>
        <v>75000</v>
      </c>
      <c r="E146" s="54">
        <v>157300</v>
      </c>
      <c r="F146" s="2">
        <f>C146-E146</f>
        <v>-7300</v>
      </c>
      <c r="G146" s="60"/>
      <c r="H146" s="12"/>
      <c r="J146" s="12"/>
    </row>
    <row r="147" spans="1:10" ht="18.75" x14ac:dyDescent="0.3">
      <c r="A147" s="67"/>
      <c r="B147" s="67" t="s">
        <v>152</v>
      </c>
      <c r="C147" s="68">
        <v>70000</v>
      </c>
      <c r="D147" s="2">
        <f t="shared" si="7"/>
        <v>35000</v>
      </c>
      <c r="E147" s="2"/>
      <c r="F147" s="2">
        <f>C147-D147</f>
        <v>35000</v>
      </c>
      <c r="G147" s="60"/>
      <c r="H147" s="12"/>
      <c r="J147" s="12"/>
    </row>
    <row r="148" spans="1:10" ht="18.75" x14ac:dyDescent="0.3">
      <c r="A148" s="67"/>
      <c r="B148" s="67" t="s">
        <v>153</v>
      </c>
      <c r="C148" s="68">
        <v>800000</v>
      </c>
      <c r="D148" s="2">
        <v>300000</v>
      </c>
      <c r="E148" s="54">
        <v>287781.34999999998</v>
      </c>
      <c r="F148" s="2">
        <f t="shared" si="2"/>
        <v>512218.65</v>
      </c>
      <c r="G148" s="60">
        <f t="shared" si="3"/>
        <v>12218.650000000023</v>
      </c>
      <c r="J148" s="12"/>
    </row>
    <row r="149" spans="1:10" ht="18.75" x14ac:dyDescent="0.3">
      <c r="A149" s="67"/>
      <c r="B149" s="67" t="s">
        <v>154</v>
      </c>
      <c r="C149" s="68">
        <v>20000</v>
      </c>
      <c r="D149" s="2">
        <v>5000</v>
      </c>
      <c r="E149" s="2"/>
      <c r="F149" s="2">
        <f t="shared" si="2"/>
        <v>20000</v>
      </c>
      <c r="G149" s="60"/>
      <c r="J149" s="12"/>
    </row>
    <row r="150" spans="1:10" ht="18.75" x14ac:dyDescent="0.3">
      <c r="A150" s="67"/>
      <c r="B150" s="67" t="s">
        <v>102</v>
      </c>
      <c r="C150" s="68">
        <v>15000</v>
      </c>
      <c r="D150" s="2">
        <f t="shared" si="7"/>
        <v>7500</v>
      </c>
      <c r="E150" s="54">
        <v>9233.5</v>
      </c>
      <c r="F150" s="2">
        <f t="shared" si="2"/>
        <v>5766.5</v>
      </c>
      <c r="G150" s="60">
        <f t="shared" si="3"/>
        <v>-1733.5</v>
      </c>
      <c r="J150" s="12"/>
    </row>
    <row r="151" spans="1:10" ht="18.75" x14ac:dyDescent="0.3">
      <c r="A151" s="67"/>
      <c r="B151" s="67" t="s">
        <v>51</v>
      </c>
      <c r="C151" s="68">
        <v>750000</v>
      </c>
      <c r="D151" s="2">
        <v>150000</v>
      </c>
      <c r="E151" s="54">
        <v>79965</v>
      </c>
      <c r="F151" s="2">
        <f t="shared" si="2"/>
        <v>670035</v>
      </c>
      <c r="G151" s="60">
        <f t="shared" si="3"/>
        <v>70035</v>
      </c>
      <c r="J151" s="12"/>
    </row>
    <row r="152" spans="1:10" ht="18.75" x14ac:dyDescent="0.3">
      <c r="A152" s="67"/>
      <c r="B152" s="67" t="s">
        <v>52</v>
      </c>
      <c r="C152" s="68">
        <v>50000</v>
      </c>
      <c r="D152" s="2">
        <f t="shared" si="7"/>
        <v>25000</v>
      </c>
      <c r="E152" s="2"/>
      <c r="F152" s="2">
        <f t="shared" si="2"/>
        <v>50000</v>
      </c>
      <c r="G152" s="60">
        <f t="shared" si="3"/>
        <v>25000</v>
      </c>
    </row>
    <row r="153" spans="1:10" ht="18.75" x14ac:dyDescent="0.3">
      <c r="A153" s="67"/>
      <c r="B153" s="67" t="s">
        <v>184</v>
      </c>
      <c r="C153" s="68">
        <v>200000</v>
      </c>
      <c r="D153" s="2">
        <f t="shared" si="7"/>
        <v>100000</v>
      </c>
      <c r="E153" s="2"/>
      <c r="F153" s="2">
        <f t="shared" si="2"/>
        <v>200000</v>
      </c>
      <c r="G153" s="60">
        <f t="shared" si="3"/>
        <v>100000</v>
      </c>
    </row>
    <row r="154" spans="1:10" ht="18.75" x14ac:dyDescent="0.3">
      <c r="A154" s="67"/>
      <c r="B154" s="67" t="s">
        <v>155</v>
      </c>
      <c r="C154" s="68">
        <v>40247.599999999999</v>
      </c>
      <c r="D154" s="2">
        <v>10000</v>
      </c>
      <c r="E154" s="2"/>
      <c r="F154" s="2">
        <f t="shared" si="2"/>
        <v>40247.599999999999</v>
      </c>
      <c r="G154" s="60">
        <f t="shared" si="3"/>
        <v>10000</v>
      </c>
    </row>
    <row r="155" spans="1:10" ht="18.75" x14ac:dyDescent="0.3">
      <c r="A155" s="67"/>
      <c r="B155" s="67" t="s">
        <v>180</v>
      </c>
      <c r="C155" s="68">
        <v>400000</v>
      </c>
      <c r="D155" s="2"/>
      <c r="E155" s="2"/>
      <c r="F155" s="2">
        <f t="shared" si="2"/>
        <v>400000</v>
      </c>
      <c r="G155" s="60"/>
    </row>
    <row r="156" spans="1:10" ht="18.75" x14ac:dyDescent="0.3">
      <c r="A156" s="67"/>
      <c r="B156" s="67" t="s">
        <v>104</v>
      </c>
      <c r="C156" s="68">
        <v>700000</v>
      </c>
      <c r="D156" s="2">
        <f>C156/2</f>
        <v>350000</v>
      </c>
      <c r="E156" s="54">
        <v>388202</v>
      </c>
      <c r="F156" s="2">
        <f t="shared" si="2"/>
        <v>311798</v>
      </c>
      <c r="G156" s="60">
        <f t="shared" si="3"/>
        <v>-38202</v>
      </c>
    </row>
    <row r="157" spans="1:10" ht="18.75" x14ac:dyDescent="0.3">
      <c r="A157" s="71"/>
      <c r="B157" s="71"/>
      <c r="C157" s="72"/>
      <c r="D157" s="6"/>
      <c r="E157" s="6"/>
      <c r="F157" s="2"/>
      <c r="G157" s="60">
        <f t="shared" si="3"/>
        <v>0</v>
      </c>
    </row>
    <row r="158" spans="1:10" ht="18.75" x14ac:dyDescent="0.3">
      <c r="A158" s="73"/>
      <c r="B158" s="74" t="s">
        <v>27</v>
      </c>
      <c r="C158" s="75">
        <f>SUM(C128:C157)</f>
        <v>7265247.5999999996</v>
      </c>
      <c r="D158" s="8">
        <f>SUM(D128:D157)</f>
        <v>3040000</v>
      </c>
      <c r="E158" s="8">
        <f>SUM(E128:E157)</f>
        <v>3617685.95</v>
      </c>
      <c r="F158" s="8">
        <f>SUM(F128:F157)</f>
        <v>3842561.65</v>
      </c>
      <c r="G158" s="61">
        <f>SUM(G128:G157)</f>
        <v>-580449.35</v>
      </c>
    </row>
    <row r="159" spans="1:10" x14ac:dyDescent="0.25">
      <c r="C159" s="7"/>
    </row>
    <row r="160" spans="1:10" x14ac:dyDescent="0.25">
      <c r="C160" s="14"/>
    </row>
    <row r="161" spans="1:9" x14ac:dyDescent="0.25">
      <c r="C161" s="14"/>
    </row>
    <row r="163" spans="1:9" x14ac:dyDescent="0.25">
      <c r="A163" s="13" t="s">
        <v>0</v>
      </c>
      <c r="B163" s="36"/>
      <c r="C163" s="10"/>
      <c r="D163" s="10"/>
      <c r="E163" s="10"/>
      <c r="F163" s="10"/>
      <c r="G163" s="10"/>
    </row>
    <row r="164" spans="1:9" x14ac:dyDescent="0.25">
      <c r="A164" s="13" t="s">
        <v>1</v>
      </c>
      <c r="B164" s="36"/>
      <c r="C164" s="10"/>
      <c r="D164" s="10"/>
      <c r="E164" s="10"/>
      <c r="F164" s="10"/>
      <c r="G164" s="10"/>
    </row>
    <row r="165" spans="1:9" x14ac:dyDescent="0.25">
      <c r="A165" s="13" t="s">
        <v>2</v>
      </c>
      <c r="B165" s="36"/>
      <c r="C165" s="10"/>
      <c r="D165" s="10"/>
      <c r="E165" s="10"/>
      <c r="F165" s="10"/>
      <c r="G165" s="10"/>
    </row>
    <row r="166" spans="1:9" x14ac:dyDescent="0.25">
      <c r="A166" s="24" t="s">
        <v>188</v>
      </c>
      <c r="B166" s="36"/>
      <c r="C166" s="10"/>
      <c r="D166" s="10"/>
      <c r="E166" s="10"/>
      <c r="F166" s="10"/>
      <c r="G166" s="10"/>
    </row>
    <row r="167" spans="1:9" x14ac:dyDescent="0.25">
      <c r="A167" s="35"/>
      <c r="B167" s="36"/>
      <c r="C167" s="10"/>
      <c r="D167" s="10"/>
      <c r="E167" s="10"/>
      <c r="F167" s="10"/>
      <c r="G167" s="10"/>
    </row>
    <row r="168" spans="1:9" x14ac:dyDescent="0.25">
      <c r="A168" s="88" t="s">
        <v>3</v>
      </c>
      <c r="B168" s="88" t="s">
        <v>4</v>
      </c>
      <c r="C168" s="88" t="s">
        <v>5</v>
      </c>
      <c r="D168" s="88" t="s">
        <v>6</v>
      </c>
      <c r="E168" s="88" t="s">
        <v>7</v>
      </c>
      <c r="F168" s="15" t="s">
        <v>8</v>
      </c>
      <c r="G168" s="15" t="s">
        <v>8</v>
      </c>
    </row>
    <row r="169" spans="1:9" x14ac:dyDescent="0.25">
      <c r="A169" s="89"/>
      <c r="B169" s="89"/>
      <c r="C169" s="89"/>
      <c r="D169" s="89"/>
      <c r="E169" s="89"/>
      <c r="F169" s="16" t="s">
        <v>5</v>
      </c>
      <c r="G169" s="16" t="s">
        <v>6</v>
      </c>
    </row>
    <row r="170" spans="1:9" x14ac:dyDescent="0.25">
      <c r="A170" s="17"/>
      <c r="B170" s="17"/>
      <c r="C170" s="17"/>
      <c r="D170" s="17"/>
      <c r="E170" s="17"/>
      <c r="F170" s="17"/>
      <c r="G170" s="17"/>
    </row>
    <row r="171" spans="1:9" x14ac:dyDescent="0.25">
      <c r="A171" s="18"/>
      <c r="B171" s="28" t="s">
        <v>53</v>
      </c>
      <c r="C171" s="18"/>
      <c r="D171" s="18"/>
      <c r="E171" s="18"/>
      <c r="F171" s="18"/>
      <c r="G171" s="63"/>
    </row>
    <row r="172" spans="1:9" x14ac:dyDescent="0.25">
      <c r="A172" s="18"/>
      <c r="B172" s="29" t="s">
        <v>11</v>
      </c>
      <c r="C172" s="2"/>
      <c r="D172" s="2"/>
      <c r="E172" s="2"/>
      <c r="F172" s="2"/>
      <c r="G172" s="64"/>
    </row>
    <row r="173" spans="1:9" x14ac:dyDescent="0.25">
      <c r="A173" s="18"/>
      <c r="B173" s="4" t="s">
        <v>58</v>
      </c>
      <c r="C173" s="2">
        <v>320000</v>
      </c>
      <c r="D173" s="2">
        <v>320000</v>
      </c>
      <c r="E173" s="54">
        <v>291229.73</v>
      </c>
      <c r="F173" s="2">
        <f t="shared" ref="F173:F187" si="8">C173-E173</f>
        <v>28770.270000000019</v>
      </c>
      <c r="G173" s="2">
        <f t="shared" ref="G173:G187" si="9">D173-E173</f>
        <v>28770.270000000019</v>
      </c>
    </row>
    <row r="174" spans="1:9" x14ac:dyDescent="0.25">
      <c r="A174" s="18"/>
      <c r="B174" s="4" t="s">
        <v>59</v>
      </c>
      <c r="C174" s="2">
        <v>1060000</v>
      </c>
      <c r="D174" s="2">
        <f>C174/2</f>
        <v>530000</v>
      </c>
      <c r="E174" s="54">
        <v>886000</v>
      </c>
      <c r="F174" s="2">
        <f t="shared" si="8"/>
        <v>174000</v>
      </c>
      <c r="G174" s="2">
        <f t="shared" si="9"/>
        <v>-356000</v>
      </c>
      <c r="I174" s="14">
        <f>E174*12</f>
        <v>10632000</v>
      </c>
    </row>
    <row r="175" spans="1:9" x14ac:dyDescent="0.25">
      <c r="A175" s="18"/>
      <c r="B175" s="29" t="s">
        <v>12</v>
      </c>
      <c r="C175" s="2"/>
      <c r="D175" s="2"/>
      <c r="E175" s="2"/>
      <c r="F175" s="2">
        <f t="shared" si="8"/>
        <v>0</v>
      </c>
      <c r="G175" s="2">
        <f t="shared" si="9"/>
        <v>0</v>
      </c>
    </row>
    <row r="176" spans="1:9" x14ac:dyDescent="0.25">
      <c r="A176" s="18"/>
      <c r="B176" s="4" t="s">
        <v>54</v>
      </c>
      <c r="C176" s="2">
        <v>2176195.09</v>
      </c>
      <c r="D176" s="2">
        <v>761294</v>
      </c>
      <c r="E176" s="54">
        <v>661917.99</v>
      </c>
      <c r="F176" s="2">
        <f t="shared" si="8"/>
        <v>1514277.0999999999</v>
      </c>
      <c r="G176" s="2">
        <f t="shared" si="9"/>
        <v>99376.010000000009</v>
      </c>
      <c r="I176" s="14">
        <f>C176/4</f>
        <v>544048.77249999996</v>
      </c>
    </row>
    <row r="177" spans="1:7" x14ac:dyDescent="0.25">
      <c r="A177" s="18"/>
      <c r="B177" s="4" t="s">
        <v>55</v>
      </c>
      <c r="C177" s="2">
        <v>15000</v>
      </c>
      <c r="D177" s="2"/>
      <c r="E177" s="2"/>
      <c r="F177" s="2">
        <f t="shared" si="8"/>
        <v>15000</v>
      </c>
      <c r="G177" s="2">
        <f t="shared" si="9"/>
        <v>0</v>
      </c>
    </row>
    <row r="178" spans="1:7" x14ac:dyDescent="0.25">
      <c r="A178" s="18"/>
      <c r="B178" s="4" t="s">
        <v>56</v>
      </c>
      <c r="C178" s="2">
        <v>20000</v>
      </c>
      <c r="D178" s="2">
        <f t="shared" ref="D178:D183" si="10">C178*0.7</f>
        <v>14000</v>
      </c>
      <c r="E178" s="54">
        <v>5000</v>
      </c>
      <c r="F178" s="2">
        <f t="shared" si="8"/>
        <v>15000</v>
      </c>
      <c r="G178" s="2">
        <f t="shared" si="9"/>
        <v>9000</v>
      </c>
    </row>
    <row r="179" spans="1:7" x14ac:dyDescent="0.25">
      <c r="A179" s="18"/>
      <c r="B179" s="4" t="s">
        <v>175</v>
      </c>
      <c r="C179" s="2">
        <v>2176195.09</v>
      </c>
      <c r="D179" s="2">
        <f t="shared" si="10"/>
        <v>1523336.5629999998</v>
      </c>
      <c r="E179" s="54">
        <v>1010216.38</v>
      </c>
      <c r="F179" s="2">
        <f t="shared" si="8"/>
        <v>1165978.71</v>
      </c>
      <c r="G179" s="2">
        <f t="shared" si="9"/>
        <v>513120.18299999984</v>
      </c>
    </row>
    <row r="180" spans="1:7" x14ac:dyDescent="0.25">
      <c r="A180" s="18"/>
      <c r="B180" s="4" t="s">
        <v>176</v>
      </c>
      <c r="C180" s="2">
        <v>435239.01</v>
      </c>
      <c r="D180" s="2">
        <f t="shared" si="10"/>
        <v>304667.30699999997</v>
      </c>
      <c r="E180" s="54">
        <v>48500</v>
      </c>
      <c r="F180" s="2">
        <f t="shared" si="8"/>
        <v>386739.01</v>
      </c>
      <c r="G180" s="2"/>
    </row>
    <row r="181" spans="1:7" x14ac:dyDescent="0.25">
      <c r="A181" s="18"/>
      <c r="B181" s="58" t="s">
        <v>177</v>
      </c>
      <c r="C181" s="2">
        <v>363262.38</v>
      </c>
      <c r="D181" s="2">
        <f t="shared" si="10"/>
        <v>254283.666</v>
      </c>
      <c r="E181" s="54">
        <v>125634</v>
      </c>
      <c r="F181" s="2">
        <f t="shared" si="8"/>
        <v>237628.38</v>
      </c>
      <c r="G181" s="2">
        <f t="shared" si="9"/>
        <v>128649.666</v>
      </c>
    </row>
    <row r="182" spans="1:7" x14ac:dyDescent="0.25">
      <c r="A182" s="18"/>
      <c r="B182" s="4" t="s">
        <v>178</v>
      </c>
      <c r="C182" s="2">
        <v>100172.48</v>
      </c>
      <c r="D182" s="2">
        <f t="shared" si="10"/>
        <v>70120.73599999999</v>
      </c>
      <c r="E182" s="54">
        <v>67160</v>
      </c>
      <c r="F182" s="2">
        <f t="shared" si="8"/>
        <v>33012.479999999996</v>
      </c>
      <c r="G182" s="2">
        <f t="shared" si="9"/>
        <v>2960.7359999999899</v>
      </c>
    </row>
    <row r="183" spans="1:7" x14ac:dyDescent="0.25">
      <c r="A183" s="18"/>
      <c r="B183" s="4" t="s">
        <v>113</v>
      </c>
      <c r="C183" s="2">
        <v>150000</v>
      </c>
      <c r="D183" s="2">
        <f t="shared" si="10"/>
        <v>105000</v>
      </c>
      <c r="E183" s="54">
        <v>209265</v>
      </c>
      <c r="F183" s="2">
        <f t="shared" si="8"/>
        <v>-59265</v>
      </c>
      <c r="G183" s="2"/>
    </row>
    <row r="184" spans="1:7" x14ac:dyDescent="0.25">
      <c r="A184" s="18"/>
      <c r="B184" s="29" t="s">
        <v>13</v>
      </c>
      <c r="C184" s="2"/>
      <c r="D184" s="2"/>
      <c r="E184" s="2"/>
      <c r="F184" s="2">
        <f t="shared" si="8"/>
        <v>0</v>
      </c>
      <c r="G184" s="2">
        <f t="shared" si="9"/>
        <v>0</v>
      </c>
    </row>
    <row r="185" spans="1:7" x14ac:dyDescent="0.25">
      <c r="A185" s="18"/>
      <c r="B185" s="4" t="s">
        <v>159</v>
      </c>
      <c r="C185" s="2">
        <v>500000</v>
      </c>
      <c r="D185" s="2">
        <f>C185*0.7</f>
        <v>350000</v>
      </c>
      <c r="E185" s="54">
        <v>379714.22</v>
      </c>
      <c r="F185" s="2">
        <f t="shared" si="8"/>
        <v>120285.78000000003</v>
      </c>
      <c r="G185" s="2">
        <f t="shared" si="9"/>
        <v>-29714.219999999972</v>
      </c>
    </row>
    <row r="186" spans="1:7" x14ac:dyDescent="0.25">
      <c r="A186" s="18"/>
      <c r="B186" s="4" t="s">
        <v>62</v>
      </c>
      <c r="C186" s="2"/>
      <c r="D186" s="2"/>
      <c r="E186" s="2"/>
      <c r="F186" s="2">
        <f t="shared" si="8"/>
        <v>0</v>
      </c>
      <c r="G186" s="2">
        <f t="shared" si="9"/>
        <v>0</v>
      </c>
    </row>
    <row r="187" spans="1:7" x14ac:dyDescent="0.25">
      <c r="A187" s="18"/>
      <c r="B187" s="5" t="s">
        <v>63</v>
      </c>
      <c r="C187" s="2">
        <v>1600000</v>
      </c>
      <c r="D187" s="2">
        <f>C187*0.7</f>
        <v>1120000</v>
      </c>
      <c r="E187" s="54">
        <v>1564814.07</v>
      </c>
      <c r="F187" s="2">
        <f t="shared" si="8"/>
        <v>35185.929999999935</v>
      </c>
      <c r="G187" s="2">
        <f t="shared" si="9"/>
        <v>-444814.07000000007</v>
      </c>
    </row>
    <row r="188" spans="1:7" x14ac:dyDescent="0.25">
      <c r="A188" s="18"/>
      <c r="B188" s="4"/>
      <c r="C188" s="2"/>
      <c r="D188" s="2">
        <f>C188</f>
        <v>0</v>
      </c>
      <c r="E188" s="2"/>
      <c r="F188" s="2"/>
      <c r="G188" s="2"/>
    </row>
    <row r="189" spans="1:7" x14ac:dyDescent="0.25">
      <c r="A189" s="18"/>
      <c r="B189" s="41" t="s">
        <v>27</v>
      </c>
      <c r="C189" s="8">
        <f>SUM(C173:C188)</f>
        <v>8916064.0500000007</v>
      </c>
      <c r="D189" s="8">
        <f>SUM(D173:D188)</f>
        <v>5352702.2719999999</v>
      </c>
      <c r="E189" s="8">
        <f>SUM(E173:E188)</f>
        <v>5249451.3900000006</v>
      </c>
      <c r="F189" s="8">
        <f>SUM(F173:F188)</f>
        <v>3666612.6599999992</v>
      </c>
      <c r="G189" s="8">
        <f>SUM(G173:G188)</f>
        <v>-48651.425000000221</v>
      </c>
    </row>
    <row r="190" spans="1:7" ht="15.75" thickBot="1" x14ac:dyDescent="0.3">
      <c r="A190" s="42"/>
      <c r="B190" s="43" t="s">
        <v>64</v>
      </c>
      <c r="C190" s="20">
        <f>C189+C158+C115+C108+C101+C94+C87+C80+C73+C57+C50+C43+C36+C29+C22+C15</f>
        <v>43523901.710000001</v>
      </c>
      <c r="D190" s="20">
        <f>D189+D158+D115+D108+D101+D94+D87+D80+D73+D57+D50+D43+D36+D29+D22+D15</f>
        <v>22941402.153999995</v>
      </c>
      <c r="E190" s="20">
        <f>E189+E158+E115+E108+E101+E94+E87+E80+E73+E57+E50+E43+E36+E29+E22+E15</f>
        <v>20648182.169999998</v>
      </c>
      <c r="F190" s="20">
        <f>F189+F158+F115+F108+F101+F94+F87+F80+F73+F57+F50+F43+F36+F29+F22+F15</f>
        <v>23045719.539999999</v>
      </c>
      <c r="G190" s="20">
        <f>G189+G158+G115+G108+G101+G94+G87+G80+G73+G57+G50+G43+G36+G29+G22+G15</f>
        <v>2138554.2770000007</v>
      </c>
    </row>
    <row r="191" spans="1:7" ht="15.75" thickTop="1" x14ac:dyDescent="0.25">
      <c r="C191" s="12"/>
      <c r="D191" s="12"/>
      <c r="E191" s="12"/>
      <c r="F191" s="12"/>
      <c r="G191" s="12"/>
    </row>
    <row r="192" spans="1:7" x14ac:dyDescent="0.25">
      <c r="B192" s="13" t="s">
        <v>65</v>
      </c>
      <c r="C192" s="12"/>
      <c r="D192" s="12"/>
      <c r="E192" s="12"/>
      <c r="F192" s="12"/>
      <c r="G192" s="12"/>
    </row>
    <row r="193" spans="2:12" x14ac:dyDescent="0.25">
      <c r="C193" s="12"/>
      <c r="D193" s="12">
        <f>D173+D174+D178+D182+D183+D185+D187</f>
        <v>2509120.736</v>
      </c>
      <c r="E193" s="12">
        <f>E173+E174+E178+E182+E183+E185+E187</f>
        <v>3403183.02</v>
      </c>
      <c r="F193" s="12" t="s">
        <v>186</v>
      </c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B195" s="44" t="s">
        <v>66</v>
      </c>
      <c r="C195" s="12"/>
      <c r="D195" s="12"/>
      <c r="F195" s="12"/>
      <c r="G195" s="12"/>
    </row>
    <row r="196" spans="2:12" x14ac:dyDescent="0.25">
      <c r="B196" s="13" t="s">
        <v>67</v>
      </c>
    </row>
    <row r="200" spans="2:12" x14ac:dyDescent="0.25">
      <c r="C200" s="12"/>
      <c r="D200" s="90" t="s">
        <v>164</v>
      </c>
      <c r="E200" s="90"/>
      <c r="F200" s="12"/>
      <c r="G200" s="12"/>
    </row>
    <row r="201" spans="2:12" x14ac:dyDescent="0.25">
      <c r="C201" s="12"/>
      <c r="D201" s="12" t="s">
        <v>162</v>
      </c>
      <c r="E201" s="12" t="s">
        <v>163</v>
      </c>
      <c r="F201" s="12"/>
      <c r="G201" s="12"/>
      <c r="H201" s="57">
        <v>0.8</v>
      </c>
      <c r="I201" s="12">
        <v>2159415</v>
      </c>
      <c r="L201" s="13">
        <f>20*20</f>
        <v>400</v>
      </c>
    </row>
    <row r="202" spans="2:12" x14ac:dyDescent="0.25">
      <c r="C202" s="12" t="s">
        <v>160</v>
      </c>
      <c r="D202" s="12">
        <f>5518028.2+D46</f>
        <v>6044700.4299999997</v>
      </c>
      <c r="E202" s="12">
        <v>1646631.99</v>
      </c>
      <c r="F202" s="12"/>
      <c r="G202" s="12"/>
      <c r="H202" s="57">
        <v>0.2</v>
      </c>
      <c r="I202" s="12">
        <v>539854</v>
      </c>
      <c r="L202" s="13">
        <f>15*20</f>
        <v>300</v>
      </c>
    </row>
    <row r="203" spans="2:12" x14ac:dyDescent="0.25">
      <c r="C203" s="12" t="s">
        <v>161</v>
      </c>
      <c r="D203" s="12">
        <f>D190-D202</f>
        <v>16896701.723999996</v>
      </c>
      <c r="E203" s="12">
        <v>130701.19</v>
      </c>
      <c r="F203" s="12"/>
      <c r="G203" s="12"/>
      <c r="I203" s="12"/>
    </row>
    <row r="204" spans="2:12" x14ac:dyDescent="0.25">
      <c r="C204" s="56">
        <v>0.2</v>
      </c>
      <c r="D204" s="12"/>
      <c r="E204" s="12">
        <v>133869.85</v>
      </c>
      <c r="F204" s="12"/>
      <c r="G204" s="12"/>
      <c r="I204" s="12"/>
      <c r="L204" s="13">
        <f>SUM(L201:L203)</f>
        <v>700</v>
      </c>
    </row>
    <row r="205" spans="2:12" x14ac:dyDescent="0.25">
      <c r="C205" s="56">
        <v>0.05</v>
      </c>
      <c r="D205" s="12">
        <v>404890.34</v>
      </c>
      <c r="E205" s="12">
        <v>14850</v>
      </c>
      <c r="F205" s="12"/>
      <c r="G205" s="12"/>
      <c r="I205" s="12">
        <f>SUM(I201:I204)</f>
        <v>2699269</v>
      </c>
    </row>
    <row r="206" spans="2:12" x14ac:dyDescent="0.25">
      <c r="C206" s="12" t="s">
        <v>120</v>
      </c>
      <c r="D206" s="12"/>
      <c r="E206" s="12">
        <v>7200</v>
      </c>
      <c r="F206" s="12"/>
      <c r="G206" s="12">
        <f>I205-E190</f>
        <v>-17948913.169999998</v>
      </c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F208" s="12"/>
      <c r="G208" s="12"/>
      <c r="I208" s="12"/>
    </row>
    <row r="209" spans="3:9" x14ac:dyDescent="0.25">
      <c r="C209" s="12" t="s">
        <v>143</v>
      </c>
      <c r="D209" s="12">
        <f>SUM(D202:D208)</f>
        <v>23346292.493999995</v>
      </c>
      <c r="E209" s="12">
        <f>SUM(E202:E207)</f>
        <v>1933253.03</v>
      </c>
      <c r="F209" s="12"/>
      <c r="G209" s="12"/>
      <c r="I209" s="12"/>
    </row>
    <row r="210" spans="3:9" x14ac:dyDescent="0.25">
      <c r="C210" s="12"/>
      <c r="D210" s="12"/>
      <c r="E210" s="12">
        <f>E190-E209</f>
        <v>18714929.139999997</v>
      </c>
      <c r="F210" s="12"/>
      <c r="G210" s="12"/>
      <c r="I210" s="12"/>
    </row>
    <row r="211" spans="3:9" x14ac:dyDescent="0.25">
      <c r="C211" s="12"/>
      <c r="D211" s="12">
        <f>32391227</f>
        <v>32391227</v>
      </c>
      <c r="E211" s="12">
        <f>E209-E190</f>
        <v>-18714929.139999997</v>
      </c>
      <c r="F211" s="12"/>
      <c r="G211" s="12"/>
      <c r="I211" s="12"/>
    </row>
    <row r="212" spans="3:9" x14ac:dyDescent="0.25">
      <c r="C212" s="12"/>
      <c r="D212" s="12">
        <f>D211*5%</f>
        <v>1619561.35</v>
      </c>
      <c r="E212" s="12"/>
      <c r="F212" s="12"/>
      <c r="G212" s="12"/>
    </row>
    <row r="213" spans="3:9" x14ac:dyDescent="0.25">
      <c r="C213" s="12"/>
      <c r="D213" s="12">
        <f>D212/4</f>
        <v>404890.33750000002</v>
      </c>
      <c r="E213" s="12">
        <f>E173+E174</f>
        <v>1177229.73</v>
      </c>
      <c r="F213" s="12"/>
      <c r="G213" s="12"/>
    </row>
    <row r="214" spans="3:9" x14ac:dyDescent="0.25">
      <c r="C214" s="12"/>
      <c r="D214" s="12"/>
      <c r="E214" s="12"/>
      <c r="F214" s="12"/>
      <c r="G214" s="12"/>
    </row>
    <row r="215" spans="3:9" x14ac:dyDescent="0.25">
      <c r="C215" s="12"/>
      <c r="D215" s="12"/>
      <c r="E215" s="12">
        <f>E202+E203</f>
        <v>1777333.18</v>
      </c>
      <c r="F215" s="12"/>
      <c r="G215" s="12"/>
    </row>
    <row r="216" spans="3:9" x14ac:dyDescent="0.25">
      <c r="C216" s="12"/>
      <c r="D216" s="12"/>
      <c r="E216" s="12"/>
      <c r="F216" s="12"/>
      <c r="G216" s="12"/>
    </row>
    <row r="217" spans="3:9" x14ac:dyDescent="0.25">
      <c r="C217" s="12"/>
      <c r="D217" s="12"/>
      <c r="E217" s="12"/>
      <c r="F217" s="12"/>
      <c r="G217" s="12"/>
    </row>
    <row r="218" spans="3:9" x14ac:dyDescent="0.25">
      <c r="C218" s="12"/>
      <c r="D218" s="12"/>
      <c r="E218" s="12"/>
      <c r="F218" s="12"/>
      <c r="G218" s="12"/>
    </row>
    <row r="219" spans="3:9" x14ac:dyDescent="0.25">
      <c r="C219" s="12"/>
      <c r="D219" s="12"/>
      <c r="E219" s="12"/>
      <c r="F219" s="12"/>
      <c r="G219" s="12"/>
    </row>
    <row r="220" spans="3:9" x14ac:dyDescent="0.25">
      <c r="C220" s="12"/>
      <c r="D220" s="12"/>
      <c r="E220" s="12"/>
      <c r="F220" s="12"/>
      <c r="G220" s="12"/>
    </row>
    <row r="221" spans="3:9" x14ac:dyDescent="0.25">
      <c r="C221" s="12"/>
      <c r="D221" s="12"/>
      <c r="E221" s="12"/>
      <c r="F221" s="12"/>
      <c r="G221" s="12"/>
    </row>
    <row r="222" spans="3:9" x14ac:dyDescent="0.25">
      <c r="C222" s="12"/>
      <c r="D222" s="12"/>
      <c r="E222" s="12"/>
      <c r="F222" s="12"/>
      <c r="G222" s="12"/>
    </row>
    <row r="223" spans="3:9" x14ac:dyDescent="0.25">
      <c r="C223" s="12"/>
      <c r="D223" s="12"/>
      <c r="E223" s="12"/>
      <c r="F223" s="12"/>
      <c r="G223" s="12"/>
    </row>
    <row r="224" spans="3:9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>
        <f>20*25</f>
        <v>500</v>
      </c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</sheetData>
  <mergeCells count="21">
    <mergeCell ref="D200:E200"/>
    <mergeCell ref="A125:A126"/>
    <mergeCell ref="B125:B126"/>
    <mergeCell ref="C125:C126"/>
    <mergeCell ref="D125:D126"/>
    <mergeCell ref="E125:E126"/>
    <mergeCell ref="A168:A169"/>
    <mergeCell ref="B168:B169"/>
    <mergeCell ref="C168:C169"/>
    <mergeCell ref="D168:D169"/>
    <mergeCell ref="E168:E169"/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4" sqref="F14"/>
    </sheetView>
  </sheetViews>
  <sheetFormatPr defaultRowHeight="15" x14ac:dyDescent="0.25"/>
  <cols>
    <col min="1" max="1" width="12.7109375" customWidth="1"/>
    <col min="2" max="2" width="20.140625" customWidth="1"/>
    <col min="3" max="3" width="15.28515625" customWidth="1"/>
    <col min="8" max="8" width="13.140625" customWidth="1"/>
  </cols>
  <sheetData>
    <row r="1" spans="1:8" ht="18.75" x14ac:dyDescent="0.3">
      <c r="A1" s="76"/>
      <c r="B1" s="76" t="s">
        <v>191</v>
      </c>
      <c r="C1" s="76" t="s">
        <v>192</v>
      </c>
      <c r="H1" s="1">
        <v>151003.57999999999</v>
      </c>
    </row>
    <row r="2" spans="1:8" ht="18.75" x14ac:dyDescent="0.3">
      <c r="A2" s="76" t="s">
        <v>126</v>
      </c>
      <c r="B2" s="77">
        <f>200000-35000</f>
        <v>165000</v>
      </c>
      <c r="C2" s="77"/>
      <c r="H2" s="1">
        <v>271467.74</v>
      </c>
    </row>
    <row r="3" spans="1:8" ht="18.75" x14ac:dyDescent="0.3">
      <c r="A3" s="76" t="s">
        <v>193</v>
      </c>
      <c r="B3" s="78">
        <f>575119/2</f>
        <v>287559.5</v>
      </c>
      <c r="C3" s="77"/>
      <c r="H3" s="1">
        <v>287522.28000000003</v>
      </c>
    </row>
    <row r="4" spans="1:8" ht="18.75" x14ac:dyDescent="0.3">
      <c r="A4" s="76" t="s">
        <v>194</v>
      </c>
      <c r="B4" s="77">
        <f>575119-46200-46200</f>
        <v>482719</v>
      </c>
      <c r="C4" s="77"/>
      <c r="H4" s="1">
        <v>78391.92</v>
      </c>
    </row>
    <row r="5" spans="1:8" ht="18.75" x14ac:dyDescent="0.3">
      <c r="A5" s="76" t="s">
        <v>195</v>
      </c>
      <c r="B5" s="77">
        <v>125922</v>
      </c>
      <c r="C5" s="77"/>
      <c r="H5" s="1">
        <v>110192.55</v>
      </c>
    </row>
    <row r="6" spans="1:8" ht="18.75" x14ac:dyDescent="0.3">
      <c r="A6" s="76" t="s">
        <v>140</v>
      </c>
      <c r="B6" s="77">
        <f>46200*2</f>
        <v>92400</v>
      </c>
      <c r="C6" s="77"/>
      <c r="H6" s="1">
        <v>115907.96</v>
      </c>
    </row>
    <row r="7" spans="1:8" ht="18.75" x14ac:dyDescent="0.3">
      <c r="A7" s="76"/>
      <c r="B7" s="77"/>
      <c r="C7" s="77"/>
    </row>
    <row r="8" spans="1:8" ht="18.75" x14ac:dyDescent="0.3">
      <c r="A8" s="76"/>
      <c r="B8" s="77"/>
      <c r="C8" s="77"/>
    </row>
    <row r="9" spans="1:8" ht="18.75" x14ac:dyDescent="0.3">
      <c r="A9" s="76"/>
      <c r="B9" s="77"/>
      <c r="C9" s="77"/>
      <c r="H9" s="3">
        <f>SUM(H1:H8)</f>
        <v>1014486.03</v>
      </c>
    </row>
    <row r="10" spans="1:8" ht="18.75" x14ac:dyDescent="0.3">
      <c r="A10" s="76"/>
      <c r="B10" s="77"/>
      <c r="C10" s="77"/>
    </row>
    <row r="11" spans="1:8" ht="19.5" thickBot="1" x14ac:dyDescent="0.35">
      <c r="A11" s="76" t="s">
        <v>27</v>
      </c>
      <c r="B11" s="79">
        <f>SUM(B2:B10)</f>
        <v>1153600.5</v>
      </c>
      <c r="C11" s="77"/>
    </row>
    <row r="12" spans="1:8" x14ac:dyDescent="0.25">
      <c r="B12" s="1"/>
      <c r="C12" s="1"/>
    </row>
    <row r="13" spans="1:8" x14ac:dyDescent="0.25">
      <c r="B13" s="1"/>
      <c r="C13" s="1"/>
    </row>
    <row r="14" spans="1:8" x14ac:dyDescent="0.25">
      <c r="B14" s="1"/>
      <c r="C14" s="1"/>
    </row>
    <row r="15" spans="1:8" x14ac:dyDescent="0.25">
      <c r="B15" s="1"/>
      <c r="C15" s="1"/>
    </row>
    <row r="16" spans="1:8" x14ac:dyDescent="0.25">
      <c r="B16" s="1"/>
      <c r="C16" s="1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opLeftCell="A45" workbookViewId="0">
      <selection activeCell="E67" sqref="E67"/>
    </sheetView>
  </sheetViews>
  <sheetFormatPr defaultRowHeight="15" x14ac:dyDescent="0.25"/>
  <cols>
    <col min="1" max="1" width="6.28515625" style="13" customWidth="1"/>
    <col min="2" max="2" width="37.85546875" style="13" customWidth="1"/>
    <col min="3" max="3" width="15" style="13" customWidth="1"/>
    <col min="4" max="4" width="13.85546875" style="13" customWidth="1"/>
    <col min="5" max="5" width="15" style="13" customWidth="1"/>
    <col min="6" max="6" width="15.85546875" style="13" customWidth="1"/>
    <col min="7" max="7" width="14.42578125" style="13" customWidth="1"/>
    <col min="8" max="8" width="14.28515625" style="13" bestFit="1" customWidth="1"/>
    <col min="9" max="9" width="14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E1" s="13" t="s">
        <v>247</v>
      </c>
      <c r="G1" s="13" t="s">
        <v>231</v>
      </c>
    </row>
    <row r="3" spans="1:19" x14ac:dyDescent="0.25">
      <c r="A3" s="95" t="s">
        <v>232</v>
      </c>
      <c r="B3" s="95"/>
      <c r="C3" s="95"/>
      <c r="D3" s="95"/>
      <c r="E3" s="95"/>
      <c r="F3" s="95"/>
      <c r="G3" s="95"/>
    </row>
    <row r="4" spans="1:19" x14ac:dyDescent="0.25">
      <c r="A4" s="97" t="s">
        <v>233</v>
      </c>
      <c r="B4" s="97"/>
      <c r="C4" s="97"/>
      <c r="D4" s="97"/>
      <c r="E4" s="97"/>
      <c r="F4" s="97"/>
      <c r="G4" s="97"/>
    </row>
    <row r="5" spans="1:19" x14ac:dyDescent="0.25">
      <c r="A5" s="95" t="s">
        <v>0</v>
      </c>
      <c r="B5" s="95"/>
      <c r="C5" s="95"/>
      <c r="D5" s="95"/>
      <c r="E5" s="95"/>
      <c r="F5" s="95"/>
      <c r="G5" s="95"/>
    </row>
    <row r="6" spans="1:19" x14ac:dyDescent="0.25">
      <c r="A6" s="82"/>
      <c r="B6" s="82"/>
      <c r="C6" s="82"/>
      <c r="D6" s="82"/>
      <c r="E6" s="82"/>
      <c r="F6" s="82"/>
      <c r="G6" s="82"/>
    </row>
    <row r="7" spans="1:19" ht="15.75" x14ac:dyDescent="0.25">
      <c r="A7" s="94" t="s">
        <v>234</v>
      </c>
      <c r="B7" s="94"/>
      <c r="C7" s="94"/>
      <c r="D7" s="94"/>
      <c r="E7" s="94"/>
      <c r="F7" s="94"/>
      <c r="G7" s="94"/>
      <c r="J7" s="12">
        <v>50000</v>
      </c>
      <c r="K7" s="13" t="s">
        <v>76</v>
      </c>
      <c r="M7" s="12">
        <v>33000</v>
      </c>
      <c r="N7" s="13" t="s">
        <v>81</v>
      </c>
    </row>
    <row r="8" spans="1:19" ht="15.75" x14ac:dyDescent="0.25">
      <c r="A8" s="94" t="s">
        <v>2</v>
      </c>
      <c r="B8" s="94"/>
      <c r="C8" s="94"/>
      <c r="D8" s="94"/>
      <c r="E8" s="94"/>
      <c r="F8" s="94"/>
      <c r="G8" s="94"/>
      <c r="J8" s="12">
        <v>24000</v>
      </c>
      <c r="K8" s="13" t="s">
        <v>78</v>
      </c>
      <c r="M8" s="12">
        <v>46000</v>
      </c>
      <c r="N8" s="13" t="s">
        <v>82</v>
      </c>
    </row>
    <row r="9" spans="1:19" x14ac:dyDescent="0.25">
      <c r="A9" s="96" t="s">
        <v>246</v>
      </c>
      <c r="B9" s="96"/>
      <c r="C9" s="96"/>
      <c r="D9" s="96"/>
      <c r="E9" s="96"/>
      <c r="F9" s="96"/>
      <c r="G9" s="96"/>
      <c r="J9" s="12">
        <v>70000</v>
      </c>
      <c r="M9" s="12">
        <v>52000</v>
      </c>
      <c r="N9" s="13" t="s">
        <v>83</v>
      </c>
      <c r="R9" s="12">
        <v>52000</v>
      </c>
      <c r="S9" s="12">
        <v>45000</v>
      </c>
    </row>
    <row r="10" spans="1:19" x14ac:dyDescent="0.25">
      <c r="A10" s="13" t="s">
        <v>156</v>
      </c>
      <c r="J10" s="12"/>
      <c r="M10" s="12">
        <v>28000</v>
      </c>
      <c r="N10" s="13" t="s">
        <v>84</v>
      </c>
      <c r="S10" s="12">
        <v>15000</v>
      </c>
    </row>
    <row r="11" spans="1:19" x14ac:dyDescent="0.25">
      <c r="A11" s="88" t="s">
        <v>3</v>
      </c>
      <c r="B11" s="88" t="s">
        <v>4</v>
      </c>
      <c r="C11" s="88" t="s">
        <v>5</v>
      </c>
      <c r="D11" s="88" t="s">
        <v>6</v>
      </c>
      <c r="E11" s="88" t="s">
        <v>7</v>
      </c>
      <c r="F11" s="15" t="s">
        <v>8</v>
      </c>
      <c r="G11" s="15" t="s">
        <v>8</v>
      </c>
      <c r="I11" s="12"/>
      <c r="J11" s="12"/>
      <c r="M11" s="12"/>
      <c r="R11" s="12">
        <v>10000</v>
      </c>
      <c r="S11" s="12">
        <v>40000</v>
      </c>
    </row>
    <row r="12" spans="1:19" ht="15.75" thickBot="1" x14ac:dyDescent="0.3">
      <c r="A12" s="89"/>
      <c r="B12" s="89"/>
      <c r="C12" s="89"/>
      <c r="D12" s="89"/>
      <c r="E12" s="89"/>
      <c r="F12" s="16" t="s">
        <v>5</v>
      </c>
      <c r="G12" s="16" t="s">
        <v>6</v>
      </c>
      <c r="I12" s="12"/>
      <c r="J12" s="12">
        <v>130000</v>
      </c>
      <c r="K12" s="13" t="s">
        <v>77</v>
      </c>
      <c r="M12" s="25">
        <f>SUM(M7:M11)</f>
        <v>159000</v>
      </c>
      <c r="R12" s="12">
        <v>2000</v>
      </c>
      <c r="S12" s="12">
        <v>45000</v>
      </c>
    </row>
    <row r="13" spans="1:19" ht="15.75" thickTop="1" x14ac:dyDescent="0.25">
      <c r="A13" s="26" t="s">
        <v>236</v>
      </c>
      <c r="B13" s="17" t="s">
        <v>237</v>
      </c>
      <c r="C13" s="17"/>
      <c r="D13" s="17"/>
      <c r="E13" s="17"/>
      <c r="F13" s="17"/>
      <c r="G13" s="17"/>
      <c r="I13" s="12"/>
      <c r="J13" s="12">
        <v>54000</v>
      </c>
      <c r="K13" s="13" t="s">
        <v>79</v>
      </c>
      <c r="M13" s="12"/>
      <c r="R13" s="12">
        <v>45000</v>
      </c>
      <c r="S13" s="12">
        <v>40000</v>
      </c>
    </row>
    <row r="14" spans="1:19" x14ac:dyDescent="0.25">
      <c r="A14" s="27"/>
      <c r="B14" s="18"/>
      <c r="C14" s="18"/>
      <c r="D14" s="18"/>
      <c r="E14" s="18"/>
      <c r="F14" s="18"/>
      <c r="G14" s="18"/>
      <c r="I14" s="12">
        <f>8428.54/6</f>
        <v>1404.7566666666669</v>
      </c>
      <c r="J14" s="12"/>
      <c r="K14" s="13" t="s">
        <v>80</v>
      </c>
      <c r="M14" s="12"/>
      <c r="R14" s="12">
        <v>10000</v>
      </c>
      <c r="S14" s="12">
        <v>25000</v>
      </c>
    </row>
    <row r="15" spans="1:19" x14ac:dyDescent="0.25">
      <c r="A15" s="27">
        <v>1000</v>
      </c>
      <c r="B15" s="28" t="s">
        <v>9</v>
      </c>
      <c r="C15" s="18"/>
      <c r="D15" s="2"/>
      <c r="E15" s="2"/>
      <c r="F15" s="2"/>
      <c r="G15" s="2"/>
      <c r="I15" s="12">
        <f>14568.64/9</f>
        <v>1618.7377777777776</v>
      </c>
      <c r="J15" s="12"/>
      <c r="M15" s="12">
        <v>16000</v>
      </c>
      <c r="N15" s="13" t="s">
        <v>85</v>
      </c>
      <c r="S15" s="12">
        <v>14000</v>
      </c>
    </row>
    <row r="16" spans="1:19" x14ac:dyDescent="0.25">
      <c r="A16" s="27"/>
      <c r="B16" s="29" t="s">
        <v>11</v>
      </c>
      <c r="C16" s="2">
        <v>16958072.879999999</v>
      </c>
      <c r="D16" s="2">
        <v>16958072.879999999</v>
      </c>
      <c r="E16" s="2">
        <v>16958072.879999999</v>
      </c>
      <c r="F16" s="2">
        <f>C16-E16</f>
        <v>0</v>
      </c>
      <c r="G16" s="2">
        <f>D16-E16</f>
        <v>0</v>
      </c>
      <c r="H16" s="2">
        <f>1738387.04+8585093.16+1080068.32+833611.96+686641.8+1170532.04+1726562.96+858385.92+1199582.96</f>
        <v>17878866.16</v>
      </c>
      <c r="J16" s="12">
        <v>2000</v>
      </c>
      <c r="M16" s="12">
        <v>9000</v>
      </c>
      <c r="R16" s="12"/>
      <c r="S16" s="12"/>
    </row>
    <row r="17" spans="1:19" x14ac:dyDescent="0.25">
      <c r="A17" s="27"/>
      <c r="B17" s="29" t="s">
        <v>12</v>
      </c>
      <c r="C17" s="2">
        <v>7859205.96</v>
      </c>
      <c r="D17" s="2">
        <v>7859205.96</v>
      </c>
      <c r="E17" s="11">
        <f>1054639.02+874603.25+50013.98+26193.5+41702+72103+209040+62706+609700.14+38250.17+518571+29072.08+1212+369187.5+500000+49725+8719+32000+1848327.5+100000</f>
        <v>6495765.1400000006</v>
      </c>
      <c r="F17" s="2">
        <f t="shared" ref="F17:F18" si="0">C17-E17</f>
        <v>1363440.8199999994</v>
      </c>
      <c r="G17" s="2">
        <f t="shared" ref="G17:G18" si="1">D17-E17</f>
        <v>1363440.8199999994</v>
      </c>
      <c r="H17" s="2">
        <f>1215123.27+1180936.36+151285.45+118966.2+824008.79+114943.85+225508+380872.05+123432.95+38596+430000+120000+300000+200000+145000+40000+150000+75000+1500000+100000</f>
        <v>7433672.9200000009</v>
      </c>
      <c r="J17" s="12">
        <v>2000</v>
      </c>
      <c r="L17" s="12"/>
      <c r="M17" s="12">
        <v>10000</v>
      </c>
      <c r="R17" s="12"/>
      <c r="S17" s="12"/>
    </row>
    <row r="18" spans="1:19" x14ac:dyDescent="0.25">
      <c r="A18" s="27"/>
      <c r="B18" s="29" t="s">
        <v>13</v>
      </c>
      <c r="C18" s="2">
        <v>730000</v>
      </c>
      <c r="D18" s="2">
        <v>730000</v>
      </c>
      <c r="E18" s="2">
        <v>5800</v>
      </c>
      <c r="F18" s="2">
        <f t="shared" si="0"/>
        <v>724200</v>
      </c>
      <c r="G18" s="2">
        <f t="shared" si="1"/>
        <v>724200</v>
      </c>
      <c r="H18" s="12">
        <v>9055000</v>
      </c>
      <c r="I18" s="12"/>
      <c r="J18" s="12">
        <v>500</v>
      </c>
      <c r="L18" s="12"/>
      <c r="M18" s="12"/>
      <c r="R18" s="12"/>
      <c r="S18" s="12"/>
    </row>
    <row r="19" spans="1:19" x14ac:dyDescent="0.25">
      <c r="A19" s="27"/>
      <c r="B19" s="29" t="s">
        <v>14</v>
      </c>
      <c r="C19" s="2"/>
      <c r="D19" s="2"/>
      <c r="E19" s="2"/>
      <c r="F19" s="2"/>
      <c r="G19" s="2"/>
      <c r="I19" s="12">
        <f>17.88*44</f>
        <v>786.71999999999991</v>
      </c>
      <c r="J19" s="12">
        <v>25000</v>
      </c>
      <c r="L19" s="12">
        <v>15</v>
      </c>
      <c r="R19" s="12"/>
      <c r="S19" s="12"/>
    </row>
    <row r="20" spans="1:19" x14ac:dyDescent="0.25">
      <c r="A20" s="27"/>
      <c r="B20" s="30" t="s">
        <v>27</v>
      </c>
      <c r="C20" s="59">
        <f t="shared" ref="C20:H20" si="2">SUM(C16:C19)</f>
        <v>25547278.84</v>
      </c>
      <c r="D20" s="59">
        <f t="shared" ref="D20" si="3">SUM(D16:D19)</f>
        <v>25547278.84</v>
      </c>
      <c r="E20" s="8">
        <f t="shared" si="2"/>
        <v>23459638.02</v>
      </c>
      <c r="F20" s="8">
        <f t="shared" si="2"/>
        <v>2087640.8199999994</v>
      </c>
      <c r="G20" s="8">
        <f t="shared" si="2"/>
        <v>2087640.8199999994</v>
      </c>
      <c r="H20" s="14">
        <f t="shared" si="2"/>
        <v>34367539.079999998</v>
      </c>
      <c r="I20" s="12"/>
      <c r="J20" s="12">
        <v>1500</v>
      </c>
      <c r="L20" s="12">
        <v>49</v>
      </c>
      <c r="M20" s="14">
        <f>SUM(M15:M19)</f>
        <v>35000</v>
      </c>
      <c r="R20" s="12">
        <f>SUM(R9:R19)</f>
        <v>119000</v>
      </c>
      <c r="S20" s="12">
        <f>SUM(S9:S19)</f>
        <v>224000</v>
      </c>
    </row>
    <row r="21" spans="1:19" x14ac:dyDescent="0.25">
      <c r="A21" s="27"/>
      <c r="B21" s="18"/>
      <c r="C21" s="2"/>
      <c r="D21" s="2"/>
      <c r="E21" s="2"/>
      <c r="F21" s="2"/>
      <c r="G21" s="2"/>
      <c r="I21" s="12"/>
      <c r="J21" s="12">
        <v>500</v>
      </c>
      <c r="L21" s="12">
        <v>27</v>
      </c>
      <c r="R21" s="12">
        <f>R20-54000</f>
        <v>65000</v>
      </c>
      <c r="S21" s="14">
        <f>S20-130000</f>
        <v>94000</v>
      </c>
    </row>
    <row r="22" spans="1:19" x14ac:dyDescent="0.25">
      <c r="A22" s="27">
        <v>4000</v>
      </c>
      <c r="B22" s="28" t="s">
        <v>238</v>
      </c>
      <c r="C22" s="2"/>
      <c r="D22" s="2"/>
      <c r="E22" s="2"/>
      <c r="F22" s="2"/>
      <c r="G22" s="2"/>
      <c r="I22" s="12"/>
      <c r="J22" s="12">
        <v>10000</v>
      </c>
      <c r="L22" s="12"/>
      <c r="M22" s="14">
        <v>2000</v>
      </c>
      <c r="N22" s="13" t="s">
        <v>92</v>
      </c>
      <c r="R22" s="12"/>
      <c r="S22" s="14">
        <f>R21+S21</f>
        <v>159000</v>
      </c>
    </row>
    <row r="23" spans="1:19" x14ac:dyDescent="0.25">
      <c r="A23" s="27"/>
      <c r="B23" s="29" t="s">
        <v>11</v>
      </c>
      <c r="C23" s="2">
        <v>4040980.18</v>
      </c>
      <c r="D23" s="2">
        <v>4040980.18</v>
      </c>
      <c r="E23" s="2">
        <v>4040980.18</v>
      </c>
      <c r="F23" s="2">
        <f>C23-E23</f>
        <v>0</v>
      </c>
      <c r="G23" s="2">
        <f>D23-E23</f>
        <v>0</v>
      </c>
      <c r="H23" s="12">
        <v>33547278.84</v>
      </c>
      <c r="I23" s="12"/>
      <c r="J23" s="12">
        <v>5000</v>
      </c>
      <c r="L23" s="12">
        <f>SUM(L19:L22)</f>
        <v>91</v>
      </c>
      <c r="M23" s="12">
        <v>8000</v>
      </c>
      <c r="R23" s="12"/>
    </row>
    <row r="24" spans="1:19" x14ac:dyDescent="0.25">
      <c r="A24" s="27"/>
      <c r="B24" s="29" t="s">
        <v>12</v>
      </c>
      <c r="C24" s="2">
        <v>584870</v>
      </c>
      <c r="D24" s="2">
        <v>584870</v>
      </c>
      <c r="E24" s="11">
        <f>124957.16+166043.5+157300</f>
        <v>448300.66000000003</v>
      </c>
      <c r="F24" s="2">
        <f>C24-E24</f>
        <v>136569.33999999997</v>
      </c>
      <c r="G24" s="2">
        <f>D24-E24</f>
        <v>136569.33999999997</v>
      </c>
      <c r="H24" s="14">
        <f>H23-8000000</f>
        <v>25547278.84</v>
      </c>
      <c r="I24" s="12"/>
      <c r="J24" s="12">
        <v>3000</v>
      </c>
      <c r="L24" s="14">
        <f>L23-58</f>
        <v>33</v>
      </c>
      <c r="M24" s="12">
        <v>40000</v>
      </c>
      <c r="N24" s="13" t="s">
        <v>90</v>
      </c>
      <c r="R24" s="12"/>
    </row>
    <row r="25" spans="1:19" x14ac:dyDescent="0.25">
      <c r="A25" s="27"/>
      <c r="B25" s="29" t="s">
        <v>13</v>
      </c>
      <c r="C25" s="2">
        <v>25000</v>
      </c>
      <c r="D25" s="2">
        <v>25000</v>
      </c>
      <c r="E25" s="2">
        <v>8932</v>
      </c>
      <c r="F25" s="2">
        <f>C25-E25</f>
        <v>16068</v>
      </c>
      <c r="G25" s="2">
        <f>D25-E25</f>
        <v>16068</v>
      </c>
      <c r="I25" s="12"/>
      <c r="J25" s="12">
        <v>3000</v>
      </c>
      <c r="M25" s="12">
        <v>45000</v>
      </c>
      <c r="N25" s="13" t="s">
        <v>87</v>
      </c>
      <c r="R25" s="12"/>
    </row>
    <row r="26" spans="1:19" x14ac:dyDescent="0.25">
      <c r="A26" s="27"/>
      <c r="B26" s="29" t="s">
        <v>14</v>
      </c>
      <c r="C26" s="2"/>
      <c r="D26" s="2"/>
      <c r="E26" s="2"/>
      <c r="F26" s="2"/>
      <c r="G26" s="2"/>
      <c r="J26" s="12">
        <f>7*1500</f>
        <v>10500</v>
      </c>
      <c r="M26" s="12">
        <v>14000</v>
      </c>
      <c r="N26" s="13" t="s">
        <v>86</v>
      </c>
      <c r="R26" s="12"/>
    </row>
    <row r="27" spans="1:19" x14ac:dyDescent="0.25">
      <c r="A27" s="27"/>
      <c r="B27" s="30" t="s">
        <v>27</v>
      </c>
      <c r="C27" s="59">
        <f>SUM(C23:C26)</f>
        <v>4650850.18</v>
      </c>
      <c r="D27" s="59">
        <f>SUM(D23:D26)</f>
        <v>4650850.18</v>
      </c>
      <c r="E27" s="8">
        <f>SUM(E23:E26)</f>
        <v>4498212.84</v>
      </c>
      <c r="F27" s="8">
        <f>SUM(F23:F26)</f>
        <v>152637.33999999997</v>
      </c>
      <c r="G27" s="8">
        <f>SUM(G23:G26)</f>
        <v>152637.33999999997</v>
      </c>
      <c r="J27" s="12">
        <f>SUM(J16:J26)</f>
        <v>63000</v>
      </c>
      <c r="M27" s="14">
        <v>15000</v>
      </c>
      <c r="N27" s="13" t="s">
        <v>91</v>
      </c>
      <c r="R27" s="12"/>
    </row>
    <row r="28" spans="1:19" x14ac:dyDescent="0.25">
      <c r="A28" s="27"/>
      <c r="B28" s="18"/>
      <c r="C28" s="2"/>
      <c r="D28" s="2"/>
      <c r="E28" s="2"/>
      <c r="F28" s="2"/>
      <c r="G28" s="2"/>
      <c r="J28" s="12">
        <f>J27-12500</f>
        <v>50500</v>
      </c>
      <c r="M28" s="14">
        <v>25000</v>
      </c>
      <c r="N28" s="13" t="s">
        <v>88</v>
      </c>
      <c r="R28" s="12"/>
    </row>
    <row r="29" spans="1:19" x14ac:dyDescent="0.25">
      <c r="A29" s="27">
        <v>8000</v>
      </c>
      <c r="B29" s="28" t="s">
        <v>239</v>
      </c>
      <c r="C29" s="2"/>
      <c r="D29" s="2"/>
      <c r="E29" s="2"/>
      <c r="F29" s="2"/>
      <c r="G29" s="2"/>
      <c r="J29" s="12">
        <v>34000</v>
      </c>
      <c r="M29" s="14">
        <v>10000</v>
      </c>
      <c r="N29" s="13" t="s">
        <v>89</v>
      </c>
      <c r="R29" s="12"/>
    </row>
    <row r="30" spans="1:19" ht="15.75" thickBot="1" x14ac:dyDescent="0.3">
      <c r="A30" s="27"/>
      <c r="B30" s="29" t="s">
        <v>11</v>
      </c>
      <c r="C30" s="2">
        <v>1869012.74</v>
      </c>
      <c r="D30" s="2">
        <v>1869012.74</v>
      </c>
      <c r="E30" s="2">
        <v>1869012.74</v>
      </c>
      <c r="F30" s="2">
        <f>C30-E30</f>
        <v>0</v>
      </c>
      <c r="G30" s="2">
        <f>D30-E30</f>
        <v>0</v>
      </c>
      <c r="J30" s="25">
        <f>J28-J29</f>
        <v>16500</v>
      </c>
      <c r="M30" s="14">
        <f>SUM(M22:M29)</f>
        <v>159000</v>
      </c>
      <c r="R30" s="12"/>
    </row>
    <row r="31" spans="1:19" ht="15.75" thickTop="1" x14ac:dyDescent="0.25">
      <c r="A31" s="27"/>
      <c r="B31" s="29" t="s">
        <v>12</v>
      </c>
      <c r="C31" s="2">
        <v>1940695.9</v>
      </c>
      <c r="D31" s="2">
        <v>1940695.9</v>
      </c>
      <c r="E31" s="2">
        <f>61302.75+47661+288981.35+9233.5+161919+411</f>
        <v>569508.6</v>
      </c>
      <c r="F31" s="2">
        <f>C31-E31</f>
        <v>1371187.2999999998</v>
      </c>
      <c r="G31" s="2">
        <f>D31-E31</f>
        <v>1371187.2999999998</v>
      </c>
      <c r="J31" s="12"/>
      <c r="L31" s="12">
        <v>300</v>
      </c>
      <c r="M31" s="12">
        <v>5000</v>
      </c>
      <c r="R31" s="12"/>
    </row>
    <row r="32" spans="1:19" x14ac:dyDescent="0.25">
      <c r="A32" s="18"/>
      <c r="B32" s="29" t="s">
        <v>13</v>
      </c>
      <c r="C32" s="2">
        <v>550000</v>
      </c>
      <c r="D32" s="2">
        <v>550000</v>
      </c>
      <c r="E32" s="2">
        <f>150000+400000</f>
        <v>550000</v>
      </c>
      <c r="F32" s="2">
        <f>C32-E32</f>
        <v>0</v>
      </c>
      <c r="G32" s="2">
        <f>D32-E32</f>
        <v>0</v>
      </c>
      <c r="J32" s="12"/>
      <c r="L32" s="12">
        <v>1000</v>
      </c>
      <c r="M32" s="12">
        <v>2958</v>
      </c>
      <c r="R32" s="12"/>
    </row>
    <row r="33" spans="1:18" x14ac:dyDescent="0.25">
      <c r="A33" s="18"/>
      <c r="B33" s="29" t="s">
        <v>14</v>
      </c>
      <c r="C33" s="2"/>
      <c r="D33" s="2"/>
      <c r="E33" s="2"/>
      <c r="F33" s="2"/>
      <c r="G33" s="2"/>
      <c r="J33" s="12"/>
      <c r="L33" s="12">
        <v>500</v>
      </c>
      <c r="M33" s="12">
        <v>3650.5</v>
      </c>
      <c r="R33" s="12"/>
    </row>
    <row r="34" spans="1:18" x14ac:dyDescent="0.25">
      <c r="A34" s="18"/>
      <c r="B34" s="30" t="s">
        <v>27</v>
      </c>
      <c r="C34" s="8">
        <f>SUM(C30:C33)</f>
        <v>4359708.6399999997</v>
      </c>
      <c r="D34" s="8">
        <f>SUM(D30:D33)</f>
        <v>4359708.6399999997</v>
      </c>
      <c r="E34" s="8">
        <f>SUM(E30:E33)</f>
        <v>2988521.34</v>
      </c>
      <c r="F34" s="8">
        <f>SUM(F30:F33)</f>
        <v>1371187.2999999998</v>
      </c>
      <c r="G34" s="8">
        <f>SUM(G30:G33)</f>
        <v>1371187.2999999998</v>
      </c>
      <c r="L34" s="12">
        <v>100</v>
      </c>
      <c r="M34" s="12">
        <v>5302.5</v>
      </c>
    </row>
    <row r="35" spans="1:18" x14ac:dyDescent="0.25">
      <c r="A35" s="18"/>
      <c r="B35" s="18"/>
      <c r="C35" s="2"/>
      <c r="D35" s="2"/>
      <c r="E35" s="2"/>
      <c r="F35" s="2"/>
      <c r="G35" s="2"/>
      <c r="L35" s="12"/>
      <c r="M35" s="12">
        <v>3350</v>
      </c>
    </row>
    <row r="36" spans="1:18" x14ac:dyDescent="0.25">
      <c r="A36" s="27">
        <v>9000</v>
      </c>
      <c r="B36" s="28" t="s">
        <v>240</v>
      </c>
      <c r="C36" s="2"/>
      <c r="D36" s="2"/>
      <c r="E36" s="2"/>
      <c r="F36" s="2"/>
      <c r="G36" s="2"/>
      <c r="L36" s="12"/>
    </row>
    <row r="37" spans="1:18" x14ac:dyDescent="0.25">
      <c r="A37" s="27"/>
      <c r="B37" s="29" t="s">
        <v>11</v>
      </c>
      <c r="C37" s="2">
        <f>320000+1060000</f>
        <v>1380000</v>
      </c>
      <c r="D37" s="2">
        <f>320000+1060000</f>
        <v>1380000</v>
      </c>
      <c r="E37" s="2">
        <f>320000+1060000</f>
        <v>1380000</v>
      </c>
      <c r="F37" s="2">
        <f>C37-E37</f>
        <v>0</v>
      </c>
      <c r="G37" s="2">
        <f>D37-E37</f>
        <v>0</v>
      </c>
      <c r="L37" s="12">
        <f>SUM(L31:L36)</f>
        <v>1900</v>
      </c>
    </row>
    <row r="38" spans="1:18" x14ac:dyDescent="0.25">
      <c r="A38" s="27"/>
      <c r="B38" s="29" t="s">
        <v>12</v>
      </c>
      <c r="C38" s="2">
        <v>4999401.67</v>
      </c>
      <c r="D38" s="2">
        <v>4999401.67</v>
      </c>
      <c r="E38" s="2">
        <f>695761.26+5000+1170391.38+59720+286634+67160+237155</f>
        <v>2521821.6399999997</v>
      </c>
      <c r="F38" s="2">
        <f>C38-E38</f>
        <v>2477580.0300000003</v>
      </c>
      <c r="G38" s="2">
        <f>D38-E38</f>
        <v>2477580.0300000003</v>
      </c>
    </row>
    <row r="39" spans="1:18" x14ac:dyDescent="0.25">
      <c r="A39" s="27"/>
      <c r="B39" s="29" t="s">
        <v>13</v>
      </c>
      <c r="C39" s="2">
        <f>113400+100000+73262.38+1600000+700000</f>
        <v>2586662.38</v>
      </c>
      <c r="D39" s="2">
        <f>113400+100000+73262.38+1600000+700000</f>
        <v>2586662.38</v>
      </c>
      <c r="E39" s="2">
        <f>388839.22+1564814.07+582303</f>
        <v>2535956.29</v>
      </c>
      <c r="F39" s="2">
        <f>C39-E39</f>
        <v>50706.089999999851</v>
      </c>
      <c r="G39" s="2">
        <f>D39-E39</f>
        <v>50706.089999999851</v>
      </c>
      <c r="M39" s="14">
        <f>SUM(M31:M38)</f>
        <v>20261</v>
      </c>
    </row>
    <row r="40" spans="1:18" x14ac:dyDescent="0.25">
      <c r="A40" s="27"/>
      <c r="B40" s="29" t="s">
        <v>14</v>
      </c>
      <c r="C40" s="2"/>
      <c r="D40" s="2"/>
      <c r="E40" s="2"/>
      <c r="F40" s="2"/>
      <c r="G40" s="2"/>
    </row>
    <row r="41" spans="1:18" x14ac:dyDescent="0.25">
      <c r="A41" s="27"/>
      <c r="B41" s="30" t="s">
        <v>27</v>
      </c>
      <c r="C41" s="8">
        <f>SUM(C37:C40)</f>
        <v>8966064.0500000007</v>
      </c>
      <c r="D41" s="8">
        <f>SUM(D37:D40)</f>
        <v>8966064.0500000007</v>
      </c>
      <c r="E41" s="8">
        <f>SUM(E37:E40)</f>
        <v>6437777.9299999997</v>
      </c>
      <c r="F41" s="8">
        <f>SUM(F37:F40)</f>
        <v>2528286.12</v>
      </c>
      <c r="G41" s="8">
        <f>SUM(G37:G40)</f>
        <v>2528286.12</v>
      </c>
    </row>
    <row r="42" spans="1:18" x14ac:dyDescent="0.25">
      <c r="A42" s="27"/>
      <c r="B42" s="83"/>
      <c r="C42" s="2"/>
      <c r="D42" s="2"/>
      <c r="E42" s="2"/>
      <c r="F42" s="2"/>
      <c r="G42" s="2"/>
    </row>
    <row r="43" spans="1:18" x14ac:dyDescent="0.25">
      <c r="A43" s="27"/>
      <c r="B43" s="28" t="s">
        <v>241</v>
      </c>
      <c r="C43" s="2"/>
      <c r="D43" s="2"/>
      <c r="E43" s="2"/>
      <c r="F43" s="2"/>
      <c r="G43" s="2"/>
    </row>
    <row r="44" spans="1:18" x14ac:dyDescent="0.25">
      <c r="A44" s="27"/>
      <c r="B44" s="29" t="s">
        <v>11</v>
      </c>
      <c r="C44" s="2">
        <f t="shared" ref="C44:G46" si="4">C16+C23+C30+C37</f>
        <v>24248065.799999997</v>
      </c>
      <c r="D44" s="2">
        <f t="shared" si="4"/>
        <v>24248065.799999997</v>
      </c>
      <c r="E44" s="2">
        <f t="shared" si="4"/>
        <v>24248065.799999997</v>
      </c>
      <c r="F44" s="2">
        <f t="shared" si="4"/>
        <v>0</v>
      </c>
      <c r="G44" s="2">
        <f t="shared" si="4"/>
        <v>0</v>
      </c>
    </row>
    <row r="45" spans="1:18" x14ac:dyDescent="0.25">
      <c r="A45" s="27"/>
      <c r="B45" s="29" t="s">
        <v>12</v>
      </c>
      <c r="C45" s="2">
        <f t="shared" si="4"/>
        <v>15384173.530000001</v>
      </c>
      <c r="D45" s="2">
        <f t="shared" si="4"/>
        <v>15384173.530000001</v>
      </c>
      <c r="E45" s="2">
        <f t="shared" si="4"/>
        <v>10035396.039999999</v>
      </c>
      <c r="F45" s="2">
        <f t="shared" si="4"/>
        <v>5348777.4899999993</v>
      </c>
      <c r="G45" s="2">
        <f t="shared" si="4"/>
        <v>5348777.4899999993</v>
      </c>
      <c r="I45" s="23">
        <f>10000-7600</f>
        <v>2400</v>
      </c>
    </row>
    <row r="46" spans="1:18" x14ac:dyDescent="0.25">
      <c r="A46" s="27"/>
      <c r="B46" s="29" t="s">
        <v>13</v>
      </c>
      <c r="C46" s="2">
        <f t="shared" si="4"/>
        <v>3891662.38</v>
      </c>
      <c r="D46" s="2">
        <f t="shared" si="4"/>
        <v>3891662.38</v>
      </c>
      <c r="E46" s="2">
        <f t="shared" si="4"/>
        <v>3100688.29</v>
      </c>
      <c r="F46" s="2">
        <f t="shared" si="4"/>
        <v>790974.08999999985</v>
      </c>
      <c r="G46" s="2">
        <f t="shared" si="4"/>
        <v>790974.08999999985</v>
      </c>
    </row>
    <row r="47" spans="1:18" x14ac:dyDescent="0.25">
      <c r="A47" s="27"/>
      <c r="B47" s="29" t="s">
        <v>14</v>
      </c>
      <c r="C47" s="2"/>
      <c r="D47" s="2"/>
      <c r="E47" s="2"/>
      <c r="F47" s="2"/>
      <c r="G47" s="2"/>
    </row>
    <row r="48" spans="1:18" ht="15.75" thickBot="1" x14ac:dyDescent="0.3">
      <c r="A48" s="84"/>
      <c r="B48" s="85" t="s">
        <v>242</v>
      </c>
      <c r="C48" s="86">
        <f>SUM(C44:C47)</f>
        <v>43523901.710000001</v>
      </c>
      <c r="D48" s="86">
        <f>SUM(D44:D47)</f>
        <v>43523901.710000001</v>
      </c>
      <c r="E48" s="86">
        <f>SUM(E44:E47)</f>
        <v>37384150.129999995</v>
      </c>
      <c r="F48" s="86">
        <f>SUM(F44:F47)</f>
        <v>6139751.5799999991</v>
      </c>
      <c r="G48" s="86">
        <f>SUM(G44:G47)</f>
        <v>6139751.5799999991</v>
      </c>
      <c r="I48" s="14">
        <f>C48-43523901.71</f>
        <v>0</v>
      </c>
    </row>
    <row r="49" spans="1:9" x14ac:dyDescent="0.25">
      <c r="A49" s="35"/>
      <c r="B49" s="36"/>
      <c r="C49" s="10"/>
      <c r="D49" s="10"/>
      <c r="E49" s="10"/>
      <c r="F49" s="10"/>
      <c r="G49" s="10"/>
      <c r="H49" s="12"/>
    </row>
    <row r="51" spans="1:9" x14ac:dyDescent="0.25">
      <c r="A51" s="88" t="s">
        <v>3</v>
      </c>
      <c r="B51" s="88" t="s">
        <v>4</v>
      </c>
      <c r="C51" s="88" t="s">
        <v>5</v>
      </c>
      <c r="D51" s="88" t="s">
        <v>6</v>
      </c>
      <c r="E51" s="88" t="s">
        <v>7</v>
      </c>
      <c r="F51" s="15" t="s">
        <v>8</v>
      </c>
      <c r="G51" s="15" t="s">
        <v>8</v>
      </c>
    </row>
    <row r="52" spans="1:9" x14ac:dyDescent="0.25">
      <c r="A52" s="89"/>
      <c r="B52" s="89"/>
      <c r="C52" s="89"/>
      <c r="D52" s="89"/>
      <c r="E52" s="89"/>
      <c r="F52" s="16" t="s">
        <v>5</v>
      </c>
      <c r="G52" s="16" t="s">
        <v>6</v>
      </c>
    </row>
    <row r="53" spans="1:9" x14ac:dyDescent="0.25">
      <c r="A53" s="26" t="s">
        <v>248</v>
      </c>
      <c r="B53" s="17" t="s">
        <v>249</v>
      </c>
      <c r="C53" s="17"/>
      <c r="D53" s="17"/>
      <c r="E53" s="17"/>
      <c r="F53" s="17"/>
      <c r="G53" s="17"/>
    </row>
    <row r="54" spans="1:9" x14ac:dyDescent="0.25">
      <c r="A54" s="27"/>
      <c r="B54" s="18"/>
      <c r="C54" s="18"/>
      <c r="D54" s="18"/>
      <c r="E54" s="18"/>
      <c r="F54" s="18"/>
      <c r="G54" s="18"/>
    </row>
    <row r="55" spans="1:9" x14ac:dyDescent="0.25">
      <c r="A55" s="27">
        <v>1000</v>
      </c>
      <c r="B55" s="28" t="s">
        <v>9</v>
      </c>
      <c r="C55" s="18"/>
      <c r="D55" s="2"/>
      <c r="E55" s="2"/>
      <c r="F55" s="2"/>
      <c r="G55" s="2"/>
    </row>
    <row r="56" spans="1:9" x14ac:dyDescent="0.25">
      <c r="A56" s="27"/>
      <c r="B56" s="29" t="s">
        <v>11</v>
      </c>
      <c r="C56" s="2"/>
      <c r="D56" s="2"/>
      <c r="E56" s="2"/>
      <c r="F56" s="2"/>
      <c r="G56" s="2"/>
    </row>
    <row r="57" spans="1:9" x14ac:dyDescent="0.25">
      <c r="A57" s="27"/>
      <c r="B57" s="29" t="s">
        <v>12</v>
      </c>
      <c r="C57" s="2">
        <f>17753.4+228624.15+(-280466.54)+150000+15008+279262+79830+10500+40000+42500+(-994205)+30000</f>
        <v>-381193.99</v>
      </c>
      <c r="D57" s="2">
        <f>17753.4+228624.15+(-280466.54)+150000+15008+279262+79830+10500+40000+42500+(-994205)+30000</f>
        <v>-381193.99</v>
      </c>
      <c r="E57" s="2">
        <f>24000+21250+70000+70000</f>
        <v>185250</v>
      </c>
      <c r="F57" s="2">
        <f t="shared" ref="F57:F58" si="5">C57-E57</f>
        <v>-566443.99</v>
      </c>
      <c r="G57" s="2">
        <f t="shared" ref="G57:G58" si="6">D57-E57</f>
        <v>-566443.99</v>
      </c>
      <c r="I57" s="2" t="s">
        <v>250</v>
      </c>
    </row>
    <row r="58" spans="1:9" x14ac:dyDescent="0.25">
      <c r="A58" s="27"/>
      <c r="B58" s="29" t="s">
        <v>13</v>
      </c>
      <c r="C58" s="2">
        <f>(-42652)+(-34900)+35000+7067+2400</f>
        <v>-33085</v>
      </c>
      <c r="D58" s="2">
        <f>(-42652)+(-34900)+35000+7067+2400</f>
        <v>-33085</v>
      </c>
      <c r="E58" s="2">
        <v>0</v>
      </c>
      <c r="F58" s="2">
        <f t="shared" si="5"/>
        <v>-33085</v>
      </c>
      <c r="G58" s="2">
        <f t="shared" si="6"/>
        <v>-33085</v>
      </c>
    </row>
    <row r="59" spans="1:9" x14ac:dyDescent="0.25">
      <c r="A59" s="27"/>
      <c r="B59" s="29" t="s">
        <v>14</v>
      </c>
      <c r="C59" s="2"/>
      <c r="D59" s="2"/>
      <c r="E59" s="2"/>
      <c r="F59" s="2"/>
      <c r="G59" s="2"/>
      <c r="I59" s="12">
        <v>17753.400000000001</v>
      </c>
    </row>
    <row r="60" spans="1:9" x14ac:dyDescent="0.25">
      <c r="A60" s="27"/>
      <c r="B60" s="30" t="s">
        <v>27</v>
      </c>
      <c r="C60" s="8">
        <f t="shared" ref="C60:D60" si="7">SUM(C56:C59)</f>
        <v>-414278.99</v>
      </c>
      <c r="D60" s="8">
        <f t="shared" si="7"/>
        <v>-414278.99</v>
      </c>
      <c r="E60" s="8">
        <f t="shared" ref="E60:G60" si="8">SUM(E56:E59)</f>
        <v>185250</v>
      </c>
      <c r="F60" s="8">
        <f t="shared" si="8"/>
        <v>-599528.99</v>
      </c>
      <c r="G60" s="8">
        <f t="shared" si="8"/>
        <v>-599528.99</v>
      </c>
      <c r="I60" s="12">
        <v>228624.15</v>
      </c>
    </row>
    <row r="61" spans="1:9" x14ac:dyDescent="0.25">
      <c r="A61" s="27"/>
      <c r="B61" s="18"/>
      <c r="C61" s="2"/>
      <c r="D61" s="2"/>
      <c r="E61" s="2"/>
      <c r="F61" s="2"/>
      <c r="G61" s="2"/>
      <c r="I61" s="12">
        <v>150000</v>
      </c>
    </row>
    <row r="62" spans="1:9" x14ac:dyDescent="0.25">
      <c r="A62" s="27">
        <v>4000</v>
      </c>
      <c r="B62" s="28" t="s">
        <v>238</v>
      </c>
      <c r="C62" s="2"/>
      <c r="D62" s="2"/>
      <c r="E62" s="2"/>
      <c r="F62" s="2"/>
      <c r="G62" s="2"/>
      <c r="I62" s="12">
        <v>15008</v>
      </c>
    </row>
    <row r="63" spans="1:9" x14ac:dyDescent="0.25">
      <c r="A63" s="27"/>
      <c r="B63" s="29" t="s">
        <v>11</v>
      </c>
      <c r="C63" s="2"/>
      <c r="D63" s="2"/>
      <c r="E63" s="2"/>
      <c r="F63" s="2"/>
      <c r="G63" s="2"/>
      <c r="I63" s="12">
        <v>279262</v>
      </c>
    </row>
    <row r="64" spans="1:9" x14ac:dyDescent="0.25">
      <c r="A64" s="27"/>
      <c r="B64" s="29" t="s">
        <v>12</v>
      </c>
      <c r="C64" s="2">
        <f>(-7805)+(-374)+15000+7400</f>
        <v>14221</v>
      </c>
      <c r="D64" s="2">
        <f>(-7805)+(-374)+15000+7400</f>
        <v>14221</v>
      </c>
      <c r="E64" s="2"/>
      <c r="F64" s="2">
        <f t="shared" ref="F64" si="9">C64-E64</f>
        <v>14221</v>
      </c>
      <c r="G64" s="2">
        <f t="shared" ref="G64" si="10">D64-E64</f>
        <v>14221</v>
      </c>
      <c r="I64" s="12">
        <v>79830</v>
      </c>
    </row>
    <row r="65" spans="1:10" x14ac:dyDescent="0.25">
      <c r="A65" s="27"/>
      <c r="B65" s="29" t="s">
        <v>13</v>
      </c>
      <c r="C65" s="2"/>
      <c r="D65" s="2"/>
      <c r="E65" s="2"/>
      <c r="F65" s="2">
        <f>C65-E65</f>
        <v>0</v>
      </c>
      <c r="G65" s="2">
        <f>D65-E65</f>
        <v>0</v>
      </c>
      <c r="I65" s="12">
        <v>10500</v>
      </c>
      <c r="J65" s="13">
        <f>600000-192944.93</f>
        <v>407055.07</v>
      </c>
    </row>
    <row r="66" spans="1:10" x14ac:dyDescent="0.25">
      <c r="A66" s="27"/>
      <c r="B66" s="29" t="s">
        <v>14</v>
      </c>
      <c r="C66" s="2"/>
      <c r="D66" s="2"/>
      <c r="E66" s="2"/>
      <c r="F66" s="2"/>
      <c r="G66" s="2"/>
      <c r="I66" s="12">
        <v>40000</v>
      </c>
    </row>
    <row r="67" spans="1:10" x14ac:dyDescent="0.25">
      <c r="A67" s="27"/>
      <c r="B67" s="30" t="s">
        <v>27</v>
      </c>
      <c r="C67" s="8">
        <f>SUM(C63:C66)</f>
        <v>14221</v>
      </c>
      <c r="D67" s="8">
        <f>SUM(D63:D66)</f>
        <v>14221</v>
      </c>
      <c r="E67" s="8">
        <f>SUM(E63:E66)</f>
        <v>0</v>
      </c>
      <c r="F67" s="8">
        <f>SUM(F63:F66)</f>
        <v>14221</v>
      </c>
      <c r="G67" s="8">
        <f>SUM(G63:G66)</f>
        <v>14221</v>
      </c>
      <c r="I67" s="12">
        <v>42500</v>
      </c>
    </row>
    <row r="68" spans="1:10" x14ac:dyDescent="0.25">
      <c r="A68" s="27"/>
      <c r="B68" s="18"/>
      <c r="C68" s="2"/>
      <c r="D68" s="2"/>
      <c r="E68" s="2"/>
      <c r="F68" s="2"/>
      <c r="G68" s="2"/>
      <c r="I68" s="12">
        <v>30000</v>
      </c>
    </row>
    <row r="69" spans="1:10" x14ac:dyDescent="0.25">
      <c r="A69" s="27">
        <v>8000</v>
      </c>
      <c r="B69" s="28" t="s">
        <v>239</v>
      </c>
      <c r="C69" s="2"/>
      <c r="D69" s="2"/>
      <c r="E69" s="2"/>
      <c r="F69" s="2"/>
      <c r="G69" s="2"/>
      <c r="I69" s="12">
        <f>SUM(I59:I68)</f>
        <v>893477.55</v>
      </c>
    </row>
    <row r="70" spans="1:10" x14ac:dyDescent="0.25">
      <c r="A70" s="27"/>
      <c r="B70" s="29" t="s">
        <v>11</v>
      </c>
      <c r="C70" s="2"/>
      <c r="D70" s="2"/>
      <c r="E70" s="2"/>
      <c r="F70" s="2"/>
      <c r="G70" s="2"/>
    </row>
    <row r="71" spans="1:10" x14ac:dyDescent="0.25">
      <c r="A71" s="27"/>
      <c r="B71" s="29" t="s">
        <v>12</v>
      </c>
      <c r="C71" s="2">
        <f>925694.5+20000+11050+407055.07+32750+26000</f>
        <v>1422549.57</v>
      </c>
      <c r="D71" s="2">
        <f>925694.5+20000+11050+407055.07+32750+26000</f>
        <v>1422549.57</v>
      </c>
      <c r="E71" s="2"/>
      <c r="F71" s="2">
        <f t="shared" ref="F71:F72" si="11">C71-E71</f>
        <v>1422549.57</v>
      </c>
      <c r="G71" s="2">
        <f t="shared" ref="G71:G72" si="12">D71-E71</f>
        <v>1422549.57</v>
      </c>
      <c r="I71" s="13">
        <f>280466.54+994205</f>
        <v>1274671.54</v>
      </c>
    </row>
    <row r="72" spans="1:10" x14ac:dyDescent="0.25">
      <c r="A72" s="18"/>
      <c r="B72" s="29" t="s">
        <v>13</v>
      </c>
      <c r="C72" s="2">
        <f>35000+150000+5.99</f>
        <v>185005.99</v>
      </c>
      <c r="D72" s="2">
        <f>35000+150000+5.99</f>
        <v>185005.99</v>
      </c>
      <c r="E72" s="2"/>
      <c r="F72" s="2">
        <f t="shared" si="11"/>
        <v>185005.99</v>
      </c>
      <c r="G72" s="2">
        <f t="shared" si="12"/>
        <v>185005.99</v>
      </c>
      <c r="I72" s="14">
        <f>I71-I69</f>
        <v>381193.99</v>
      </c>
    </row>
    <row r="73" spans="1:10" x14ac:dyDescent="0.25">
      <c r="A73" s="18"/>
      <c r="B73" s="29" t="s">
        <v>14</v>
      </c>
      <c r="C73" s="2"/>
      <c r="D73" s="2"/>
      <c r="E73" s="2"/>
      <c r="F73" s="2"/>
      <c r="G73" s="2"/>
    </row>
    <row r="74" spans="1:10" x14ac:dyDescent="0.25">
      <c r="A74" s="18"/>
      <c r="B74" s="30" t="s">
        <v>27</v>
      </c>
      <c r="C74" s="8">
        <f>SUM(C70:C73)</f>
        <v>1607555.56</v>
      </c>
      <c r="D74" s="8">
        <f>SUM(D70:D73)</f>
        <v>1607555.56</v>
      </c>
      <c r="E74" s="8">
        <f>SUM(E70:E73)</f>
        <v>0</v>
      </c>
      <c r="F74" s="8">
        <f>SUM(F70:F73)</f>
        <v>1607555.56</v>
      </c>
      <c r="G74" s="8">
        <f>SUM(G70:G73)</f>
        <v>1607555.56</v>
      </c>
    </row>
    <row r="75" spans="1:10" x14ac:dyDescent="0.25">
      <c r="A75" s="18"/>
      <c r="B75" s="18"/>
      <c r="C75" s="2"/>
      <c r="D75" s="2"/>
      <c r="E75" s="2"/>
      <c r="F75" s="2"/>
      <c r="G75" s="2"/>
    </row>
    <row r="76" spans="1:10" x14ac:dyDescent="0.25">
      <c r="A76" s="27"/>
      <c r="B76" s="18"/>
      <c r="C76" s="2"/>
      <c r="D76" s="2"/>
      <c r="E76" s="2"/>
      <c r="F76" s="2"/>
      <c r="G76" s="2"/>
    </row>
    <row r="77" spans="1:10" x14ac:dyDescent="0.25">
      <c r="A77" s="27">
        <v>9000</v>
      </c>
      <c r="B77" s="28" t="s">
        <v>240</v>
      </c>
      <c r="C77" s="2"/>
      <c r="D77" s="2"/>
      <c r="E77" s="2"/>
      <c r="F77" s="2"/>
      <c r="G77" s="2"/>
    </row>
    <row r="78" spans="1:10" x14ac:dyDescent="0.25">
      <c r="A78" s="27"/>
      <c r="B78" s="29" t="s">
        <v>11</v>
      </c>
      <c r="C78" s="2"/>
      <c r="D78" s="2"/>
      <c r="E78" s="2"/>
      <c r="F78" s="2"/>
      <c r="G78" s="2"/>
    </row>
    <row r="79" spans="1:10" x14ac:dyDescent="0.25">
      <c r="A79" s="27"/>
      <c r="B79" s="29" t="s">
        <v>12</v>
      </c>
      <c r="C79" s="2"/>
      <c r="D79" s="2"/>
      <c r="E79" s="2"/>
      <c r="F79" s="2">
        <f>C79-E79</f>
        <v>0</v>
      </c>
      <c r="G79" s="2">
        <f>D79-E79</f>
        <v>0</v>
      </c>
    </row>
    <row r="80" spans="1:10" x14ac:dyDescent="0.25">
      <c r="A80" s="27"/>
      <c r="B80" s="29" t="s">
        <v>13</v>
      </c>
      <c r="C80" s="2">
        <f>(-76404)</f>
        <v>-76404</v>
      </c>
      <c r="D80" s="2">
        <f>(-76404)</f>
        <v>-76404</v>
      </c>
      <c r="E80" s="2"/>
      <c r="F80" s="2">
        <f>C80-E80</f>
        <v>-76404</v>
      </c>
      <c r="G80" s="2">
        <f>D80-E80</f>
        <v>-76404</v>
      </c>
    </row>
    <row r="81" spans="1:7" x14ac:dyDescent="0.25">
      <c r="A81" s="27"/>
      <c r="B81" s="29" t="s">
        <v>14</v>
      </c>
      <c r="C81" s="2"/>
      <c r="D81" s="2"/>
      <c r="E81" s="2"/>
      <c r="F81" s="2"/>
      <c r="G81" s="2"/>
    </row>
    <row r="82" spans="1:7" x14ac:dyDescent="0.25">
      <c r="A82" s="27"/>
      <c r="B82" s="30" t="s">
        <v>27</v>
      </c>
      <c r="C82" s="8">
        <f>SUM(C78:C81)</f>
        <v>-76404</v>
      </c>
      <c r="D82" s="8">
        <f>SUM(D78:D81)</f>
        <v>-76404</v>
      </c>
      <c r="E82" s="8">
        <f>SUM(E78:E81)</f>
        <v>0</v>
      </c>
      <c r="F82" s="8">
        <f>SUM(F78:F81)</f>
        <v>-76404</v>
      </c>
      <c r="G82" s="8">
        <f>SUM(G78:G81)</f>
        <v>-76404</v>
      </c>
    </row>
    <row r="83" spans="1:7" x14ac:dyDescent="0.25">
      <c r="A83" s="27"/>
      <c r="B83" s="83"/>
      <c r="C83" s="2"/>
      <c r="D83" s="2"/>
      <c r="E83" s="2"/>
      <c r="F83" s="2"/>
      <c r="G83" s="2"/>
    </row>
    <row r="84" spans="1:7" x14ac:dyDescent="0.25">
      <c r="A84" s="27"/>
      <c r="B84" s="28" t="s">
        <v>243</v>
      </c>
      <c r="C84" s="2"/>
      <c r="D84" s="2"/>
      <c r="E84" s="2"/>
      <c r="F84" s="2"/>
      <c r="G84" s="2"/>
    </row>
    <row r="85" spans="1:7" x14ac:dyDescent="0.25">
      <c r="A85" s="27"/>
      <c r="B85" s="29" t="s">
        <v>11</v>
      </c>
      <c r="C85" s="2">
        <f t="shared" ref="C85:G87" si="13">C56+C63+C70+C78</f>
        <v>0</v>
      </c>
      <c r="D85" s="2">
        <f t="shared" si="13"/>
        <v>0</v>
      </c>
      <c r="E85" s="2">
        <f t="shared" si="13"/>
        <v>0</v>
      </c>
      <c r="F85" s="2">
        <f t="shared" si="13"/>
        <v>0</v>
      </c>
      <c r="G85" s="2">
        <f t="shared" si="13"/>
        <v>0</v>
      </c>
    </row>
    <row r="86" spans="1:7" x14ac:dyDescent="0.25">
      <c r="A86" s="27"/>
      <c r="B86" s="29" t="s">
        <v>12</v>
      </c>
      <c r="C86" s="2">
        <f t="shared" si="13"/>
        <v>1055576.58</v>
      </c>
      <c r="D86" s="2">
        <f t="shared" si="13"/>
        <v>1055576.58</v>
      </c>
      <c r="E86" s="2">
        <f t="shared" si="13"/>
        <v>185250</v>
      </c>
      <c r="F86" s="2">
        <f t="shared" si="13"/>
        <v>870326.58000000007</v>
      </c>
      <c r="G86" s="2">
        <f t="shared" si="13"/>
        <v>870326.58000000007</v>
      </c>
    </row>
    <row r="87" spans="1:7" x14ac:dyDescent="0.25">
      <c r="A87" s="27"/>
      <c r="B87" s="29" t="s">
        <v>13</v>
      </c>
      <c r="C87" s="2">
        <f t="shared" si="13"/>
        <v>75516.989999999991</v>
      </c>
      <c r="D87" s="2">
        <f t="shared" si="13"/>
        <v>75516.989999999991</v>
      </c>
      <c r="E87" s="2">
        <f t="shared" si="13"/>
        <v>0</v>
      </c>
      <c r="F87" s="2">
        <f t="shared" si="13"/>
        <v>75516.989999999991</v>
      </c>
      <c r="G87" s="2">
        <f t="shared" si="13"/>
        <v>75516.989999999991</v>
      </c>
    </row>
    <row r="88" spans="1:7" x14ac:dyDescent="0.25">
      <c r="A88" s="27"/>
      <c r="B88" s="29" t="s">
        <v>14</v>
      </c>
      <c r="C88" s="2"/>
      <c r="D88" s="2"/>
      <c r="E88" s="2"/>
      <c r="F88" s="2"/>
      <c r="G88" s="2"/>
    </row>
    <row r="89" spans="1:7" ht="15.75" thickBot="1" x14ac:dyDescent="0.3">
      <c r="A89" s="84"/>
      <c r="B89" s="85" t="s">
        <v>242</v>
      </c>
      <c r="C89" s="86">
        <f>SUM(C85:C88)</f>
        <v>1131093.57</v>
      </c>
      <c r="D89" s="86">
        <f>SUM(D85:D88)</f>
        <v>1131093.57</v>
      </c>
      <c r="E89" s="86">
        <f>SUM(E85:E88)</f>
        <v>185250</v>
      </c>
      <c r="F89" s="86">
        <f>SUM(F85:F88)</f>
        <v>945843.57000000007</v>
      </c>
      <c r="G89" s="86">
        <f>SUM(G85:G88)</f>
        <v>945843.57000000007</v>
      </c>
    </row>
    <row r="91" spans="1:7" x14ac:dyDescent="0.25">
      <c r="B91" s="87" t="s">
        <v>65</v>
      </c>
    </row>
    <row r="94" spans="1:7" x14ac:dyDescent="0.25">
      <c r="B94" s="13" t="s">
        <v>66</v>
      </c>
    </row>
    <row r="95" spans="1:7" x14ac:dyDescent="0.25">
      <c r="B95" s="13" t="s">
        <v>67</v>
      </c>
    </row>
    <row r="103" spans="1:7" x14ac:dyDescent="0.25">
      <c r="G103" s="13" t="s">
        <v>231</v>
      </c>
    </row>
    <row r="106" spans="1:7" x14ac:dyDescent="0.25">
      <c r="A106" s="95" t="s">
        <v>232</v>
      </c>
      <c r="B106" s="95"/>
      <c r="C106" s="95"/>
      <c r="D106" s="95"/>
      <c r="E106" s="95"/>
      <c r="F106" s="95"/>
      <c r="G106" s="95"/>
    </row>
    <row r="107" spans="1:7" x14ac:dyDescent="0.25">
      <c r="A107" s="97" t="s">
        <v>233</v>
      </c>
      <c r="B107" s="97"/>
      <c r="C107" s="97"/>
      <c r="D107" s="97"/>
      <c r="E107" s="97"/>
      <c r="F107" s="97"/>
      <c r="G107" s="97"/>
    </row>
    <row r="108" spans="1:7" x14ac:dyDescent="0.25">
      <c r="A108" s="95" t="s">
        <v>0</v>
      </c>
      <c r="B108" s="95"/>
      <c r="C108" s="95"/>
      <c r="D108" s="95"/>
      <c r="E108" s="95"/>
      <c r="F108" s="95"/>
      <c r="G108" s="95"/>
    </row>
    <row r="109" spans="1:7" x14ac:dyDescent="0.25">
      <c r="A109" s="82"/>
      <c r="B109" s="82"/>
      <c r="C109" s="82"/>
      <c r="D109" s="82"/>
      <c r="E109" s="82"/>
      <c r="F109" s="82"/>
      <c r="G109" s="82"/>
    </row>
    <row r="110" spans="1:7" ht="15.75" x14ac:dyDescent="0.25">
      <c r="A110" s="94" t="s">
        <v>234</v>
      </c>
      <c r="B110" s="94"/>
      <c r="C110" s="94"/>
      <c r="D110" s="94"/>
      <c r="E110" s="94"/>
      <c r="F110" s="94"/>
      <c r="G110" s="94"/>
    </row>
    <row r="111" spans="1:7" ht="15.75" x14ac:dyDescent="0.25">
      <c r="A111" s="94" t="s">
        <v>2</v>
      </c>
      <c r="B111" s="94"/>
      <c r="C111" s="94"/>
      <c r="D111" s="94"/>
      <c r="E111" s="94"/>
      <c r="F111" s="94"/>
      <c r="G111" s="94"/>
    </row>
    <row r="112" spans="1:7" x14ac:dyDescent="0.25">
      <c r="A112" s="96" t="s">
        <v>235</v>
      </c>
      <c r="B112" s="96"/>
      <c r="C112" s="96"/>
      <c r="D112" s="96"/>
      <c r="E112" s="96"/>
      <c r="F112" s="96"/>
      <c r="G112" s="96"/>
    </row>
    <row r="113" spans="1:10" x14ac:dyDescent="0.25">
      <c r="A113" s="13" t="s">
        <v>156</v>
      </c>
    </row>
    <row r="114" spans="1:10" x14ac:dyDescent="0.25">
      <c r="A114" s="88" t="s">
        <v>3</v>
      </c>
      <c r="B114" s="88" t="s">
        <v>4</v>
      </c>
      <c r="C114" s="88" t="s">
        <v>5</v>
      </c>
      <c r="D114" s="88" t="s">
        <v>6</v>
      </c>
      <c r="E114" s="88" t="s">
        <v>7</v>
      </c>
      <c r="F114" s="15" t="s">
        <v>8</v>
      </c>
      <c r="G114" s="15" t="s">
        <v>8</v>
      </c>
    </row>
    <row r="115" spans="1:10" x14ac:dyDescent="0.25">
      <c r="A115" s="89"/>
      <c r="B115" s="89"/>
      <c r="C115" s="89"/>
      <c r="D115" s="89"/>
      <c r="E115" s="89"/>
      <c r="F115" s="16" t="s">
        <v>5</v>
      </c>
      <c r="G115" s="16" t="s">
        <v>6</v>
      </c>
    </row>
    <row r="116" spans="1:10" x14ac:dyDescent="0.25">
      <c r="A116" s="26" t="s">
        <v>236</v>
      </c>
      <c r="B116" s="17" t="s">
        <v>237</v>
      </c>
      <c r="C116" s="17"/>
      <c r="D116" s="17"/>
      <c r="E116" s="17"/>
      <c r="F116" s="17"/>
      <c r="G116" s="17"/>
    </row>
    <row r="117" spans="1:10" x14ac:dyDescent="0.25">
      <c r="A117" s="27"/>
      <c r="B117" s="18"/>
      <c r="C117" s="18"/>
      <c r="D117" s="18"/>
      <c r="E117" s="18"/>
      <c r="F117" s="18"/>
      <c r="G117" s="18"/>
    </row>
    <row r="118" spans="1:10" x14ac:dyDescent="0.25">
      <c r="A118" s="27"/>
      <c r="B118" s="18" t="s">
        <v>244</v>
      </c>
      <c r="C118" s="18"/>
      <c r="D118" s="18"/>
      <c r="E118" s="18"/>
      <c r="F118" s="18"/>
      <c r="G118" s="18"/>
    </row>
    <row r="119" spans="1:10" x14ac:dyDescent="0.25">
      <c r="A119" s="27"/>
      <c r="B119" s="18"/>
      <c r="C119" s="18"/>
      <c r="D119" s="18"/>
      <c r="E119" s="18"/>
      <c r="F119" s="18"/>
      <c r="G119" s="18"/>
    </row>
    <row r="120" spans="1:10" x14ac:dyDescent="0.25">
      <c r="A120" s="27">
        <v>1000</v>
      </c>
      <c r="B120" s="28" t="s">
        <v>9</v>
      </c>
      <c r="C120" s="18"/>
      <c r="D120" s="2"/>
      <c r="E120" s="2"/>
      <c r="F120" s="2"/>
      <c r="G120" s="2"/>
    </row>
    <row r="121" spans="1:10" x14ac:dyDescent="0.25">
      <c r="A121" s="27"/>
      <c r="B121" s="29" t="s">
        <v>11</v>
      </c>
      <c r="C121" s="2"/>
      <c r="D121" s="2"/>
      <c r="E121" s="2"/>
      <c r="F121" s="2"/>
      <c r="G121" s="2"/>
      <c r="J121" s="13">
        <f>75/30</f>
        <v>2.5</v>
      </c>
    </row>
    <row r="122" spans="1:10" x14ac:dyDescent="0.25">
      <c r="A122" s="27"/>
      <c r="B122" s="29" t="s">
        <v>12</v>
      </c>
      <c r="C122" s="2">
        <v>189500</v>
      </c>
      <c r="D122" s="2">
        <v>189500</v>
      </c>
      <c r="E122" s="2"/>
      <c r="F122" s="2">
        <f t="shared" ref="F122:F123" si="14">C122-E122</f>
        <v>189500</v>
      </c>
      <c r="G122" s="2">
        <f t="shared" ref="G122:G123" si="15">D122-E122</f>
        <v>189500</v>
      </c>
    </row>
    <row r="123" spans="1:10" x14ac:dyDescent="0.25">
      <c r="A123" s="27"/>
      <c r="B123" s="29" t="s">
        <v>13</v>
      </c>
      <c r="C123" s="2">
        <v>1510500</v>
      </c>
      <c r="D123" s="2">
        <v>1510500</v>
      </c>
      <c r="E123" s="2"/>
      <c r="F123" s="2">
        <f t="shared" si="14"/>
        <v>1510500</v>
      </c>
      <c r="G123" s="2">
        <f t="shared" si="15"/>
        <v>1510500</v>
      </c>
    </row>
    <row r="124" spans="1:10" x14ac:dyDescent="0.25">
      <c r="A124" s="27"/>
      <c r="B124" s="29" t="s">
        <v>14</v>
      </c>
      <c r="C124" s="2"/>
      <c r="D124" s="2"/>
      <c r="E124" s="2"/>
      <c r="F124" s="2"/>
      <c r="G124" s="2"/>
    </row>
    <row r="125" spans="1:10" x14ac:dyDescent="0.25">
      <c r="A125" s="27"/>
      <c r="B125" s="30" t="s">
        <v>27</v>
      </c>
      <c r="C125" s="8">
        <f t="shared" ref="C125:G125" si="16">SUM(C121:C124)</f>
        <v>1700000</v>
      </c>
      <c r="D125" s="8">
        <f t="shared" si="16"/>
        <v>1700000</v>
      </c>
      <c r="E125" s="8">
        <f t="shared" si="16"/>
        <v>0</v>
      </c>
      <c r="F125" s="8">
        <f t="shared" si="16"/>
        <v>1700000</v>
      </c>
      <c r="G125" s="8">
        <f t="shared" si="16"/>
        <v>1700000</v>
      </c>
    </row>
    <row r="126" spans="1:10" x14ac:dyDescent="0.25">
      <c r="A126" s="27"/>
      <c r="B126" s="83"/>
      <c r="C126" s="2"/>
      <c r="D126" s="2"/>
      <c r="E126" s="2"/>
      <c r="F126" s="2"/>
      <c r="G126" s="2"/>
    </row>
    <row r="127" spans="1:10" x14ac:dyDescent="0.25">
      <c r="A127" s="27"/>
      <c r="B127" s="83"/>
      <c r="C127" s="2"/>
      <c r="D127" s="2"/>
      <c r="E127" s="2"/>
      <c r="F127" s="2"/>
      <c r="G127" s="2"/>
    </row>
    <row r="128" spans="1:10" x14ac:dyDescent="0.25">
      <c r="A128" s="27"/>
      <c r="B128" s="83" t="s">
        <v>245</v>
      </c>
      <c r="C128" s="2"/>
      <c r="D128" s="2"/>
      <c r="E128" s="2"/>
      <c r="F128" s="2"/>
      <c r="G128" s="2"/>
    </row>
    <row r="129" spans="1:7" x14ac:dyDescent="0.25">
      <c r="A129" s="27"/>
      <c r="B129" s="18"/>
      <c r="C129" s="2"/>
      <c r="D129" s="2"/>
      <c r="E129" s="2"/>
      <c r="F129" s="2"/>
      <c r="G129" s="2"/>
    </row>
    <row r="130" spans="1:7" x14ac:dyDescent="0.25">
      <c r="A130" s="27">
        <v>4000</v>
      </c>
      <c r="B130" s="28" t="s">
        <v>9</v>
      </c>
      <c r="C130" s="2"/>
      <c r="D130" s="2"/>
      <c r="E130" s="2"/>
      <c r="F130" s="2"/>
      <c r="G130" s="2"/>
    </row>
    <row r="131" spans="1:7" x14ac:dyDescent="0.25">
      <c r="A131" s="27"/>
      <c r="B131" s="29" t="s">
        <v>11</v>
      </c>
      <c r="C131" s="2"/>
      <c r="D131" s="2"/>
      <c r="E131" s="2"/>
      <c r="F131" s="2"/>
      <c r="G131" s="2"/>
    </row>
    <row r="132" spans="1:7" x14ac:dyDescent="0.25">
      <c r="A132" s="27"/>
      <c r="B132" s="29" t="s">
        <v>12</v>
      </c>
      <c r="C132" s="2">
        <v>100000</v>
      </c>
      <c r="D132" s="2">
        <v>100000</v>
      </c>
      <c r="E132" s="2"/>
      <c r="F132" s="2">
        <f>C132-E132</f>
        <v>100000</v>
      </c>
      <c r="G132" s="2">
        <f>D132-E132</f>
        <v>100000</v>
      </c>
    </row>
    <row r="133" spans="1:7" x14ac:dyDescent="0.25">
      <c r="A133" s="27"/>
      <c r="B133" s="29" t="s">
        <v>13</v>
      </c>
      <c r="C133" s="2"/>
      <c r="D133" s="2"/>
      <c r="E133" s="2"/>
      <c r="F133" s="2"/>
      <c r="G133" s="2"/>
    </row>
    <row r="134" spans="1:7" x14ac:dyDescent="0.25">
      <c r="A134" s="27"/>
      <c r="B134" s="29" t="s">
        <v>14</v>
      </c>
      <c r="C134" s="2"/>
      <c r="D134" s="2"/>
      <c r="E134" s="2"/>
      <c r="F134" s="2"/>
      <c r="G134" s="2"/>
    </row>
    <row r="135" spans="1:7" x14ac:dyDescent="0.25">
      <c r="A135" s="27"/>
      <c r="B135" s="30" t="s">
        <v>27</v>
      </c>
      <c r="C135" s="8">
        <f>SUM(C131:C134)</f>
        <v>100000</v>
      </c>
      <c r="D135" s="8">
        <f>SUM(D131:D134)</f>
        <v>100000</v>
      </c>
      <c r="E135" s="8">
        <f>SUM(E131:E134)</f>
        <v>0</v>
      </c>
      <c r="F135" s="8">
        <f>SUM(F131:F134)</f>
        <v>100000</v>
      </c>
      <c r="G135" s="8">
        <f>SUM(G131:G134)</f>
        <v>100000</v>
      </c>
    </row>
    <row r="136" spans="1:7" x14ac:dyDescent="0.25">
      <c r="A136" s="27"/>
      <c r="B136" s="83"/>
      <c r="C136" s="2"/>
      <c r="D136" s="2"/>
      <c r="E136" s="2"/>
      <c r="F136" s="2"/>
      <c r="G136" s="2"/>
    </row>
    <row r="137" spans="1:7" x14ac:dyDescent="0.25">
      <c r="A137" s="27"/>
      <c r="B137" s="28" t="s">
        <v>241</v>
      </c>
      <c r="C137" s="2"/>
      <c r="D137" s="2"/>
      <c r="E137" s="2"/>
      <c r="F137" s="2"/>
      <c r="G137" s="2"/>
    </row>
    <row r="138" spans="1:7" x14ac:dyDescent="0.25">
      <c r="A138" s="27"/>
      <c r="B138" s="29" t="s">
        <v>11</v>
      </c>
      <c r="C138" s="2"/>
      <c r="D138" s="2"/>
      <c r="E138" s="2"/>
      <c r="F138" s="2"/>
      <c r="G138" s="2"/>
    </row>
    <row r="139" spans="1:7" x14ac:dyDescent="0.25">
      <c r="A139" s="27"/>
      <c r="B139" s="29" t="s">
        <v>12</v>
      </c>
      <c r="C139" s="2">
        <f>C122+C132</f>
        <v>289500</v>
      </c>
      <c r="D139" s="2">
        <f>D122+D132</f>
        <v>289500</v>
      </c>
      <c r="E139" s="2"/>
      <c r="F139" s="2">
        <f t="shared" ref="F139:F140" si="17">C139-E139</f>
        <v>289500</v>
      </c>
      <c r="G139" s="2">
        <f t="shared" ref="G139:G140" si="18">D139-E139</f>
        <v>289500</v>
      </c>
    </row>
    <row r="140" spans="1:7" x14ac:dyDescent="0.25">
      <c r="A140" s="27"/>
      <c r="B140" s="29" t="s">
        <v>13</v>
      </c>
      <c r="C140" s="2">
        <f>C123</f>
        <v>1510500</v>
      </c>
      <c r="D140" s="2">
        <f>D123</f>
        <v>1510500</v>
      </c>
      <c r="E140" s="2"/>
      <c r="F140" s="2">
        <f t="shared" si="17"/>
        <v>1510500</v>
      </c>
      <c r="G140" s="2">
        <f t="shared" si="18"/>
        <v>1510500</v>
      </c>
    </row>
    <row r="141" spans="1:7" x14ac:dyDescent="0.25">
      <c r="A141" s="27"/>
      <c r="B141" s="29" t="s">
        <v>14</v>
      </c>
      <c r="C141" s="2"/>
      <c r="D141" s="2"/>
      <c r="E141" s="2"/>
      <c r="F141" s="2"/>
      <c r="G141" s="2"/>
    </row>
    <row r="142" spans="1:7" ht="15.75" thickBot="1" x14ac:dyDescent="0.3">
      <c r="A142" s="84"/>
      <c r="B142" s="85" t="s">
        <v>242</v>
      </c>
      <c r="C142" s="86">
        <f>SUM(C138:C141)</f>
        <v>1800000</v>
      </c>
      <c r="D142" s="86">
        <f>SUM(D138:D141)</f>
        <v>1800000</v>
      </c>
      <c r="E142" s="86">
        <f>SUM(E138:E141)</f>
        <v>0</v>
      </c>
      <c r="F142" s="86">
        <f>SUM(F138:F141)</f>
        <v>1800000</v>
      </c>
      <c r="G142" s="86">
        <f t="shared" ref="G142" si="19">SUM(G138:G141)</f>
        <v>1800000</v>
      </c>
    </row>
    <row r="145" spans="2:2" x14ac:dyDescent="0.25">
      <c r="B145" s="87" t="s">
        <v>65</v>
      </c>
    </row>
    <row r="148" spans="2:2" x14ac:dyDescent="0.25">
      <c r="B148" s="13" t="s">
        <v>66</v>
      </c>
    </row>
    <row r="149" spans="2:2" x14ac:dyDescent="0.25">
      <c r="B149" s="13" t="s">
        <v>67</v>
      </c>
    </row>
  </sheetData>
  <mergeCells count="27">
    <mergeCell ref="A9:G9"/>
    <mergeCell ref="A3:G3"/>
    <mergeCell ref="A4:G4"/>
    <mergeCell ref="A5:G5"/>
    <mergeCell ref="A7:G7"/>
    <mergeCell ref="A8:G8"/>
    <mergeCell ref="A112:G112"/>
    <mergeCell ref="A11:A12"/>
    <mergeCell ref="B11:B12"/>
    <mergeCell ref="C11:C12"/>
    <mergeCell ref="D11:D12"/>
    <mergeCell ref="E11:E12"/>
    <mergeCell ref="A51:A52"/>
    <mergeCell ref="B51:B52"/>
    <mergeCell ref="C51:C52"/>
    <mergeCell ref="D51:D52"/>
    <mergeCell ref="E51:E52"/>
    <mergeCell ref="A106:G106"/>
    <mergeCell ref="A107:G107"/>
    <mergeCell ref="A108:G108"/>
    <mergeCell ref="A110:G110"/>
    <mergeCell ref="A111:G111"/>
    <mergeCell ref="A114:A115"/>
    <mergeCell ref="B114:B115"/>
    <mergeCell ref="C114:C115"/>
    <mergeCell ref="D114:D115"/>
    <mergeCell ref="E114:E115"/>
  </mergeCells>
  <pageMargins left="0.23" right="0.12" top="0.3" bottom="0.75" header="0.3" footer="0.3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A171" zoomScale="140" zoomScaleNormal="140" workbookViewId="0">
      <selection activeCell="E182" sqref="E182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4.5703125" style="13" bestFit="1" customWidth="1"/>
    <col min="6" max="6" width="16.28515625" style="13" customWidth="1"/>
    <col min="7" max="7" width="14.28515625" style="13" customWidth="1"/>
    <col min="8" max="8" width="9.140625" style="13"/>
    <col min="9" max="9" width="15.140625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182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f>C11/4</f>
        <v>432481.745</v>
      </c>
      <c r="E11" s="11">
        <f>126964.66+101964.66</f>
        <v>228929.32</v>
      </c>
      <c r="F11" s="2">
        <f>C11-E11</f>
        <v>1500997.66</v>
      </c>
      <c r="G11" s="2">
        <f>D11-E11</f>
        <v>203552.42499999999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/>
      <c r="E12" s="11">
        <f>68924.28+172990.44</f>
        <v>241914.72</v>
      </c>
      <c r="F12" s="2">
        <f t="shared" ref="F12:F13" si="0">C12-E12</f>
        <v>856065.90000000014</v>
      </c>
      <c r="G12" s="2">
        <f t="shared" ref="G12:G13" si="1">D12-E12</f>
        <v>-241914.72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/>
      <c r="F13" s="2">
        <f t="shared" si="0"/>
        <v>0</v>
      </c>
      <c r="G13" s="2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432481.745</v>
      </c>
      <c r="E15" s="8">
        <f>SUM(E11:E14)</f>
        <v>470844.04000000004</v>
      </c>
      <c r="F15" s="8">
        <f>SUM(F11:F14)</f>
        <v>2357063.56</v>
      </c>
      <c r="G15" s="8">
        <f>SUM(G11:G14)</f>
        <v>-38362.295000000013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f>C18/4</f>
        <v>2102080.35</v>
      </c>
      <c r="E18" s="11">
        <f>739399.62+518395.62</f>
        <v>1257795.24</v>
      </c>
      <c r="F18" s="2">
        <f>C18-E18</f>
        <v>7150526.1600000001</v>
      </c>
      <c r="G18" s="2">
        <f>D18-E18</f>
        <v>844285.1100000001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/>
      <c r="E19" s="11">
        <f>28976+78595</f>
        <v>107571</v>
      </c>
      <c r="F19" s="2">
        <f>C19-E19</f>
        <v>968365.3600000001</v>
      </c>
      <c r="G19" s="2">
        <f>D19-E19</f>
        <v>-107571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2102080.35</v>
      </c>
      <c r="E22" s="8">
        <f>SUM(E18:E21)</f>
        <v>1365366.24</v>
      </c>
      <c r="F22" s="8">
        <f>SUM(F18:F21)</f>
        <v>8118891.5200000005</v>
      </c>
      <c r="G22" s="8">
        <f>SUM(G18:G21)</f>
        <v>736714.1100000001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f>C25/4</f>
        <v>241055.71</v>
      </c>
      <c r="E25" s="11">
        <f>87255.2+72255.2</f>
        <v>159510.39999999999</v>
      </c>
      <c r="F25" s="2">
        <f>C25-E25</f>
        <v>804712.44</v>
      </c>
      <c r="G25" s="2">
        <f>D25-E25</f>
        <v>81545.31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v>25005.86</v>
      </c>
      <c r="E26" s="11">
        <f>930.11</f>
        <v>930.11</v>
      </c>
      <c r="F26" s="2">
        <f>C26-E26</f>
        <v>136602.12000000002</v>
      </c>
      <c r="G26" s="2">
        <f>D26-E26</f>
        <v>24075.75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266061.57</v>
      </c>
      <c r="E29" s="8">
        <f>SUM(E25:E28)</f>
        <v>160440.50999999998</v>
      </c>
      <c r="F29" s="8">
        <f>SUM(F25:F28)</f>
        <v>941314.55999999994</v>
      </c>
      <c r="G29" s="8">
        <f>SUM(G25:G28)</f>
        <v>105621.06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f>C32/4</f>
        <v>183220.095</v>
      </c>
      <c r="E32" s="11">
        <f>65293.18+55293.18</f>
        <v>120586.36</v>
      </c>
      <c r="F32" s="2">
        <f>C32-E32</f>
        <v>612294.02</v>
      </c>
      <c r="G32" s="2">
        <f>D32-E32</f>
        <v>62633.735000000001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v>14705.16</v>
      </c>
      <c r="E33" s="11">
        <v>1830</v>
      </c>
      <c r="F33" s="2">
        <f>C33-E33</f>
        <v>79048.36</v>
      </c>
      <c r="G33" s="2">
        <f>D33-E33</f>
        <v>12875.16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2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2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197925.255</v>
      </c>
      <c r="E36" s="8">
        <f>SUM(E32:E35)</f>
        <v>122416.36</v>
      </c>
      <c r="F36" s="8">
        <f>SUM(F32:F35)</f>
        <v>691342.38</v>
      </c>
      <c r="G36" s="8">
        <f>SUM(G32:G35)</f>
        <v>75508.895000000004</v>
      </c>
      <c r="L36" s="12"/>
    </row>
    <row r="37" spans="1:13" x14ac:dyDescent="0.25">
      <c r="A37" s="27"/>
      <c r="B37" s="18"/>
      <c r="C37" s="2"/>
      <c r="D37" s="2"/>
      <c r="E37" s="2"/>
      <c r="F37" s="2"/>
      <c r="G37" s="2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2"/>
      <c r="L38" s="12"/>
    </row>
    <row r="39" spans="1:13" x14ac:dyDescent="0.25">
      <c r="A39" s="27"/>
      <c r="B39" s="29" t="s">
        <v>11</v>
      </c>
      <c r="C39" s="2">
        <v>591829.98</v>
      </c>
      <c r="D39" s="2">
        <f>C39/4</f>
        <v>147957.495</v>
      </c>
      <c r="E39" s="11">
        <f>50458.42+45458.42</f>
        <v>95916.84</v>
      </c>
      <c r="F39" s="2">
        <f>C39-E39</f>
        <v>495913.14</v>
      </c>
      <c r="G39" s="2">
        <f>D39-E39</f>
        <v>52040.654999999999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v>15880.7</v>
      </c>
      <c r="E40" s="11">
        <f>5235+2464</f>
        <v>7699</v>
      </c>
      <c r="F40" s="2">
        <f>C40-E40</f>
        <v>71704.5</v>
      </c>
      <c r="G40" s="2">
        <f>D40-E40</f>
        <v>8181.7000000000007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2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2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163838.19500000001</v>
      </c>
      <c r="E43" s="8">
        <f>SUM(E39:E42)</f>
        <v>103615.84</v>
      </c>
      <c r="F43" s="8">
        <f>SUM(F39:F42)</f>
        <v>567617.64</v>
      </c>
      <c r="G43" s="8">
        <f>SUM(G39:G42)</f>
        <v>60222.354999999996</v>
      </c>
    </row>
    <row r="44" spans="1:13" x14ac:dyDescent="0.25">
      <c r="A44" s="27"/>
      <c r="B44" s="18"/>
      <c r="C44" s="2"/>
      <c r="D44" s="2"/>
      <c r="E44" s="2"/>
      <c r="F44" s="2"/>
      <c r="G44" s="2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2"/>
    </row>
    <row r="46" spans="1:13" x14ac:dyDescent="0.25">
      <c r="A46" s="27"/>
      <c r="B46" s="29" t="s">
        <v>11</v>
      </c>
      <c r="C46" s="2">
        <v>1053344.46</v>
      </c>
      <c r="D46" s="2">
        <f>C46/4</f>
        <v>263336.11499999999</v>
      </c>
      <c r="E46" s="11">
        <f>56526.37+41526.37</f>
        <v>98052.74</v>
      </c>
      <c r="F46" s="2">
        <f>C46-E46</f>
        <v>955291.72</v>
      </c>
      <c r="G46" s="2">
        <f>D46-E46</f>
        <v>165283.375</v>
      </c>
    </row>
    <row r="47" spans="1:13" x14ac:dyDescent="0.25">
      <c r="A47" s="27"/>
      <c r="B47" s="29" t="s">
        <v>12</v>
      </c>
      <c r="C47" s="2">
        <v>205007.27</v>
      </c>
      <c r="D47" s="2">
        <v>37274.050000000003</v>
      </c>
      <c r="E47" s="11">
        <f>2600+500</f>
        <v>3100</v>
      </c>
      <c r="F47" s="2">
        <f>C47-E47</f>
        <v>201907.27</v>
      </c>
      <c r="G47" s="2">
        <f>D47-E47</f>
        <v>34174.050000000003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</row>
    <row r="49" spans="1:8" x14ac:dyDescent="0.25">
      <c r="A49" s="27"/>
      <c r="B49" s="29" t="s">
        <v>14</v>
      </c>
      <c r="C49" s="2"/>
      <c r="D49" s="2"/>
      <c r="E49" s="2"/>
      <c r="F49" s="2"/>
      <c r="G49" s="2"/>
      <c r="H49" s="12"/>
    </row>
    <row r="50" spans="1:8" x14ac:dyDescent="0.25">
      <c r="A50" s="27"/>
      <c r="B50" s="30" t="s">
        <v>27</v>
      </c>
      <c r="C50" s="8">
        <f>SUM(C46:C49)</f>
        <v>1258351.73</v>
      </c>
      <c r="D50" s="8">
        <f>SUM(D46:D49)</f>
        <v>300610.16499999998</v>
      </c>
      <c r="E50" s="8">
        <f>SUM(E46:E49)</f>
        <v>101152.74</v>
      </c>
      <c r="F50" s="8">
        <f>SUM(F46:F49)</f>
        <v>1157198.99</v>
      </c>
      <c r="G50" s="8">
        <f>SUM(G46:G49)</f>
        <v>199457.42499999999</v>
      </c>
      <c r="H50" s="12"/>
    </row>
    <row r="51" spans="1:8" x14ac:dyDescent="0.25">
      <c r="A51" s="27"/>
      <c r="B51" s="18"/>
      <c r="C51" s="2"/>
      <c r="D51" s="2"/>
      <c r="E51" s="2"/>
      <c r="F51" s="2"/>
      <c r="G51" s="2"/>
      <c r="H51" s="12"/>
    </row>
    <row r="52" spans="1:8" x14ac:dyDescent="0.25">
      <c r="A52" s="27">
        <v>1091</v>
      </c>
      <c r="B52" s="28" t="s">
        <v>19</v>
      </c>
      <c r="C52" s="2"/>
      <c r="D52" s="2"/>
      <c r="E52" s="2"/>
      <c r="F52" s="2"/>
      <c r="G52" s="2"/>
      <c r="H52" s="12"/>
    </row>
    <row r="53" spans="1:8" x14ac:dyDescent="0.25">
      <c r="A53" s="27"/>
      <c r="B53" s="29" t="s">
        <v>11</v>
      </c>
      <c r="C53" s="2">
        <v>1583456.4</v>
      </c>
      <c r="D53" s="2">
        <f>C53/4</f>
        <v>395864.1</v>
      </c>
      <c r="E53" s="11">
        <f>150760.7+115760.7</f>
        <v>266521.40000000002</v>
      </c>
      <c r="F53" s="2">
        <f>C53-E53</f>
        <v>1316935</v>
      </c>
      <c r="G53" s="2">
        <f>D53-E53</f>
        <v>129342.69999999995</v>
      </c>
      <c r="H53" s="12"/>
    </row>
    <row r="54" spans="1:8" x14ac:dyDescent="0.25">
      <c r="A54" s="27"/>
      <c r="B54" s="29" t="s">
        <v>12</v>
      </c>
      <c r="C54" s="2">
        <v>321156.95</v>
      </c>
      <c r="D54" s="2">
        <v>58392.17</v>
      </c>
      <c r="E54" s="11">
        <f>53406+3795</f>
        <v>57201</v>
      </c>
      <c r="F54" s="2">
        <f>C54-E54</f>
        <v>263955.95</v>
      </c>
      <c r="G54" s="2">
        <f>D54-E54</f>
        <v>1191.1699999999983</v>
      </c>
      <c r="H54" s="12"/>
    </row>
    <row r="55" spans="1:8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8" x14ac:dyDescent="0.25">
      <c r="A56" s="27"/>
      <c r="B56" s="29" t="s">
        <v>14</v>
      </c>
      <c r="C56" s="2"/>
      <c r="D56" s="2"/>
      <c r="E56" s="2"/>
      <c r="F56" s="2"/>
      <c r="G56" s="2"/>
      <c r="H56" s="12"/>
    </row>
    <row r="57" spans="1:8" x14ac:dyDescent="0.25">
      <c r="A57" s="31"/>
      <c r="B57" s="30" t="s">
        <v>27</v>
      </c>
      <c r="C57" s="8">
        <f>SUM(C53:C56)</f>
        <v>1904613.3499999999</v>
      </c>
      <c r="D57" s="8">
        <f>SUM(D53:D56)</f>
        <v>454256.26999999996</v>
      </c>
      <c r="E57" s="8">
        <f>SUM(E53:E56)</f>
        <v>323722.40000000002</v>
      </c>
      <c r="F57" s="8">
        <f>SUM(F53:F56)</f>
        <v>1580890.95</v>
      </c>
      <c r="G57" s="8">
        <f>SUM(G53:G56)</f>
        <v>130533.86999999995</v>
      </c>
      <c r="H57" s="12"/>
    </row>
    <row r="58" spans="1:8" ht="15.75" thickBot="1" x14ac:dyDescent="0.3">
      <c r="A58" s="32"/>
      <c r="B58" s="33"/>
      <c r="C58" s="9"/>
      <c r="D58" s="9"/>
      <c r="E58" s="9"/>
      <c r="F58" s="9"/>
      <c r="G58" s="34"/>
      <c r="H58" s="12"/>
    </row>
    <row r="59" spans="1:8" x14ac:dyDescent="0.25">
      <c r="A59" s="35"/>
      <c r="B59" s="36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6"/>
      <c r="C62" s="10"/>
      <c r="D62" s="10"/>
      <c r="E62" s="10"/>
      <c r="F62" s="10"/>
      <c r="G62" s="10"/>
      <c r="H62" s="12"/>
    </row>
    <row r="63" spans="1:8" x14ac:dyDescent="0.25">
      <c r="A63" s="24" t="s">
        <v>182</v>
      </c>
      <c r="B63" s="36"/>
      <c r="C63" s="10"/>
      <c r="D63" s="10"/>
      <c r="E63" s="10"/>
      <c r="F63" s="10"/>
      <c r="G63" s="10"/>
      <c r="H63" s="12"/>
    </row>
    <row r="64" spans="1:8" x14ac:dyDescent="0.25">
      <c r="A64" s="35"/>
      <c r="B64" s="36"/>
      <c r="C64" s="10"/>
      <c r="D64" s="10"/>
      <c r="E64" s="10"/>
      <c r="F64" s="10"/>
      <c r="G64" s="10"/>
      <c r="H64" s="12"/>
    </row>
    <row r="65" spans="1:8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</row>
    <row r="66" spans="1:8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</row>
    <row r="67" spans="1:8" x14ac:dyDescent="0.25">
      <c r="A67" s="26"/>
      <c r="B67" s="17"/>
      <c r="C67" s="19"/>
      <c r="D67" s="19"/>
      <c r="E67" s="19"/>
      <c r="F67" s="19"/>
      <c r="G67" s="19"/>
      <c r="H67" s="12"/>
    </row>
    <row r="68" spans="1:8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</row>
    <row r="69" spans="1:8" x14ac:dyDescent="0.25">
      <c r="A69" s="27"/>
      <c r="B69" s="29" t="s">
        <v>11</v>
      </c>
      <c r="C69" s="2">
        <v>757496.84</v>
      </c>
      <c r="D69" s="2">
        <f>C69/4</f>
        <v>189374.21</v>
      </c>
      <c r="E69" s="11">
        <f>69303.82+59303.82</f>
        <v>128607.64000000001</v>
      </c>
      <c r="F69" s="2">
        <f>C69-E69</f>
        <v>628889.19999999995</v>
      </c>
      <c r="G69" s="2">
        <f>D69-E69</f>
        <v>60766.569999999978</v>
      </c>
      <c r="H69" s="12"/>
    </row>
    <row r="70" spans="1:8" x14ac:dyDescent="0.25">
      <c r="A70" s="27"/>
      <c r="B70" s="29" t="s">
        <v>12</v>
      </c>
      <c r="C70" s="2">
        <v>112211.77</v>
      </c>
      <c r="D70" s="2">
        <v>20402.14</v>
      </c>
      <c r="E70" s="11">
        <f>26120+2000</f>
        <v>28120</v>
      </c>
      <c r="F70" s="2">
        <f>C70-E70</f>
        <v>84091.77</v>
      </c>
      <c r="G70" s="2">
        <f>D70-E70</f>
        <v>-7717.8600000000006</v>
      </c>
      <c r="H70" s="12"/>
    </row>
    <row r="71" spans="1:8" x14ac:dyDescent="0.25">
      <c r="A71" s="27"/>
      <c r="B71" s="29" t="s">
        <v>13</v>
      </c>
      <c r="C71" s="2">
        <v>10000</v>
      </c>
      <c r="D71" s="2"/>
      <c r="E71" s="2"/>
      <c r="F71" s="2">
        <f>C71-E71</f>
        <v>10000</v>
      </c>
      <c r="G71" s="2">
        <f>D71-E71</f>
        <v>0</v>
      </c>
      <c r="H71" s="12"/>
    </row>
    <row r="72" spans="1:8" x14ac:dyDescent="0.25">
      <c r="A72" s="27"/>
      <c r="B72" s="29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30" t="s">
        <v>27</v>
      </c>
      <c r="C73" s="8">
        <f>SUM(C69:C72)</f>
        <v>879708.61</v>
      </c>
      <c r="D73" s="8">
        <f>SUM(D69:D72)</f>
        <v>209776.34999999998</v>
      </c>
      <c r="E73" s="8">
        <f>SUM(E69:E72)</f>
        <v>156727.64000000001</v>
      </c>
      <c r="F73" s="8">
        <f>SUM(F69:F72)</f>
        <v>722980.97</v>
      </c>
      <c r="G73" s="8">
        <f>SUM(G69:G72)</f>
        <v>53048.709999999977</v>
      </c>
      <c r="H73" s="12"/>
    </row>
    <row r="74" spans="1:8" x14ac:dyDescent="0.25">
      <c r="A74" s="27"/>
      <c r="B74" s="18"/>
      <c r="C74" s="2"/>
      <c r="D74" s="2"/>
      <c r="E74" s="2"/>
      <c r="F74" s="2"/>
      <c r="G74" s="2"/>
      <c r="H74" s="12"/>
    </row>
    <row r="75" spans="1:8" x14ac:dyDescent="0.25">
      <c r="A75" s="27">
        <v>6544</v>
      </c>
      <c r="B75" s="28" t="s">
        <v>21</v>
      </c>
      <c r="C75" s="18"/>
      <c r="D75" s="2"/>
      <c r="E75" s="2"/>
      <c r="F75" s="2"/>
      <c r="G75" s="2"/>
      <c r="H75" s="12"/>
    </row>
    <row r="76" spans="1:8" x14ac:dyDescent="0.25">
      <c r="A76" s="27"/>
      <c r="B76" s="29" t="s">
        <v>11</v>
      </c>
      <c r="C76" s="2">
        <v>1136593.6000000001</v>
      </c>
      <c r="D76" s="2">
        <f>C76/4</f>
        <v>284148.40000000002</v>
      </c>
      <c r="E76" s="11">
        <f>74187.02+64798.86</f>
        <v>138985.88</v>
      </c>
      <c r="F76" s="2">
        <f>C76-E76</f>
        <v>997607.72000000009</v>
      </c>
      <c r="G76" s="2">
        <f>D76-E76</f>
        <v>145162.52000000002</v>
      </c>
      <c r="H76" s="12"/>
    </row>
    <row r="77" spans="1:8" x14ac:dyDescent="0.25">
      <c r="A77" s="27"/>
      <c r="B77" s="29" t="s">
        <v>12</v>
      </c>
      <c r="C77" s="2">
        <v>749098.9</v>
      </c>
      <c r="D77" s="2">
        <v>136199.79999999999</v>
      </c>
      <c r="E77" s="11">
        <f>12743.13+98565.61</f>
        <v>111308.74</v>
      </c>
      <c r="F77" s="2">
        <f>C77-E77</f>
        <v>637790.16</v>
      </c>
      <c r="G77" s="2">
        <f>D77-E77</f>
        <v>24891.059999999983</v>
      </c>
      <c r="H77" s="12"/>
    </row>
    <row r="78" spans="1:8" x14ac:dyDescent="0.25">
      <c r="A78" s="27"/>
      <c r="B78" s="29" t="s">
        <v>13</v>
      </c>
      <c r="C78" s="2"/>
      <c r="D78" s="2"/>
      <c r="E78" s="2"/>
      <c r="F78" s="2"/>
      <c r="G78" s="2"/>
      <c r="H78" s="12"/>
    </row>
    <row r="79" spans="1:8" x14ac:dyDescent="0.25">
      <c r="A79" s="27"/>
      <c r="B79" s="29" t="s">
        <v>14</v>
      </c>
      <c r="C79" s="2"/>
      <c r="D79" s="2"/>
      <c r="E79" s="2"/>
      <c r="F79" s="2"/>
      <c r="G79" s="2"/>
      <c r="H79" s="12"/>
    </row>
    <row r="80" spans="1:8" x14ac:dyDescent="0.25">
      <c r="A80" s="27"/>
      <c r="B80" s="30" t="s">
        <v>27</v>
      </c>
      <c r="C80" s="8">
        <f>SUM(C76:C79)</f>
        <v>1885692.5</v>
      </c>
      <c r="D80" s="8">
        <f>SUM(D76:D79)</f>
        <v>420348.2</v>
      </c>
      <c r="E80" s="8">
        <f>SUM(E76:E79)</f>
        <v>250294.62</v>
      </c>
      <c r="F80" s="8">
        <f>SUM(F76:F79)</f>
        <v>1635397.8800000001</v>
      </c>
      <c r="G80" s="8">
        <f>SUM(G76:G79)</f>
        <v>170053.58000000002</v>
      </c>
      <c r="H80" s="12"/>
    </row>
    <row r="81" spans="1:8" x14ac:dyDescent="0.25">
      <c r="A81" s="27"/>
      <c r="B81" s="18"/>
      <c r="C81" s="2"/>
      <c r="D81" s="2"/>
      <c r="E81" s="2"/>
      <c r="F81" s="2"/>
      <c r="G81" s="2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2"/>
      <c r="H82" s="12"/>
    </row>
    <row r="83" spans="1:8" x14ac:dyDescent="0.25">
      <c r="A83" s="27"/>
      <c r="B83" s="29" t="s">
        <v>11</v>
      </c>
      <c r="C83" s="2">
        <v>2920190.6</v>
      </c>
      <c r="D83" s="2">
        <f>C83/4</f>
        <v>730047.65</v>
      </c>
      <c r="E83" s="11">
        <f>245863.58+219063.58</f>
        <v>464927.16</v>
      </c>
      <c r="F83" s="2">
        <f>C83-E83</f>
        <v>2455263.44</v>
      </c>
      <c r="G83" s="2">
        <f>D83-E83</f>
        <v>265120.49000000005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v>31799.79</v>
      </c>
      <c r="E84" s="11">
        <f>19489+9134.47</f>
        <v>28623.47</v>
      </c>
      <c r="F84" s="2">
        <f>C84-E84</f>
        <v>146275.38</v>
      </c>
      <c r="G84" s="2">
        <f>D84-E84</f>
        <v>3176.3199999999997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2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2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761847.44000000006</v>
      </c>
      <c r="E87" s="8">
        <f>SUM(E83:E86)</f>
        <v>493550.63</v>
      </c>
      <c r="F87" s="8">
        <f>SUM(F83:F86)</f>
        <v>2601538.8199999998</v>
      </c>
      <c r="G87" s="8">
        <f>SUM(G83:G86)</f>
        <v>268296.81000000006</v>
      </c>
      <c r="H87" s="12"/>
    </row>
    <row r="88" spans="1:8" x14ac:dyDescent="0.25">
      <c r="A88" s="27"/>
      <c r="B88" s="18"/>
      <c r="C88" s="2"/>
      <c r="D88" s="2"/>
      <c r="E88" s="2"/>
      <c r="F88" s="2"/>
      <c r="G88" s="2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2"/>
      <c r="H89" s="12"/>
    </row>
    <row r="90" spans="1:8" x14ac:dyDescent="0.25">
      <c r="A90" s="27"/>
      <c r="B90" s="29" t="s">
        <v>11</v>
      </c>
      <c r="C90" s="2">
        <v>1120789.58</v>
      </c>
      <c r="D90" s="2">
        <f>C90/4</f>
        <v>280197.39500000002</v>
      </c>
      <c r="E90" s="11">
        <f>96696.78+76697.33</f>
        <v>173394.11</v>
      </c>
      <c r="F90" s="2">
        <f>C90-E90</f>
        <v>947395.47000000009</v>
      </c>
      <c r="G90" s="2">
        <f>D90-E90</f>
        <v>106803.28500000003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v>34540.21</v>
      </c>
      <c r="E91" s="11">
        <f>7000+18874</f>
        <v>25874</v>
      </c>
      <c r="F91" s="2">
        <f>C91-E91</f>
        <v>164097.15</v>
      </c>
      <c r="G91" s="2">
        <f>D91-E91</f>
        <v>8666.2099999999991</v>
      </c>
      <c r="H91" s="12"/>
    </row>
    <row r="92" spans="1:8" x14ac:dyDescent="0.25">
      <c r="A92" s="27"/>
      <c r="B92" s="29" t="s">
        <v>13</v>
      </c>
      <c r="C92" s="2">
        <v>25000</v>
      </c>
      <c r="D92" s="2"/>
      <c r="E92" s="2"/>
      <c r="F92" s="2"/>
      <c r="G92" s="2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2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314737.60500000004</v>
      </c>
      <c r="E94" s="59">
        <f>SUM(E90:E93)</f>
        <v>199268.11</v>
      </c>
      <c r="F94" s="8">
        <f>SUM(F90:F93)</f>
        <v>1111492.6200000001</v>
      </c>
      <c r="G94" s="8">
        <f>SUM(G90:G93)</f>
        <v>115469.49500000002</v>
      </c>
      <c r="H94" s="12"/>
    </row>
    <row r="95" spans="1:8" x14ac:dyDescent="0.25">
      <c r="A95" s="27"/>
      <c r="B95" s="18"/>
      <c r="C95" s="2"/>
      <c r="D95" s="2"/>
      <c r="E95" s="2"/>
      <c r="F95" s="2"/>
      <c r="G95" s="2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2"/>
      <c r="H96" s="12"/>
    </row>
    <row r="97" spans="1:8" x14ac:dyDescent="0.25">
      <c r="A97" s="27"/>
      <c r="B97" s="29" t="s">
        <v>11</v>
      </c>
      <c r="C97" s="2">
        <v>860982.08</v>
      </c>
      <c r="D97" s="2">
        <f>C97/4</f>
        <v>215245.52</v>
      </c>
      <c r="E97" s="11">
        <f>79099.84+64099.84</f>
        <v>143199.67999999999</v>
      </c>
      <c r="F97" s="2">
        <f>C97-E97</f>
        <v>717782.39999999991</v>
      </c>
      <c r="G97" s="2">
        <f>D97-E97</f>
        <v>72045.84</v>
      </c>
      <c r="H97" s="12"/>
    </row>
    <row r="98" spans="1:8" x14ac:dyDescent="0.25">
      <c r="A98" s="27"/>
      <c r="B98" s="29" t="s">
        <v>12</v>
      </c>
      <c r="C98" s="2">
        <v>87772.800000000003</v>
      </c>
      <c r="D98" s="2">
        <v>15958.69</v>
      </c>
      <c r="E98" s="11">
        <v>2295</v>
      </c>
      <c r="F98" s="2">
        <f>C98-E98</f>
        <v>85477.8</v>
      </c>
      <c r="G98" s="2">
        <f>D98-E98</f>
        <v>13663.69</v>
      </c>
      <c r="H98" s="12"/>
    </row>
    <row r="99" spans="1:8" x14ac:dyDescent="0.25">
      <c r="A99" s="27"/>
      <c r="B99" s="29" t="s">
        <v>13</v>
      </c>
      <c r="C99" s="2"/>
      <c r="D99" s="2"/>
      <c r="E99" s="2"/>
      <c r="F99" s="2"/>
      <c r="G99" s="2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7"/>
      <c r="B101" s="30" t="s">
        <v>27</v>
      </c>
      <c r="C101" s="8">
        <f>SUM(C97:C100)</f>
        <v>948754.88</v>
      </c>
      <c r="D101" s="8">
        <f>SUM(D97:D100)</f>
        <v>231204.21</v>
      </c>
      <c r="E101" s="8">
        <f>SUM(E97:E100)</f>
        <v>145494.68</v>
      </c>
      <c r="F101" s="8">
        <f>SUM(F97:F100)</f>
        <v>803260.2</v>
      </c>
      <c r="G101" s="8">
        <f>SUM(G97:G100)</f>
        <v>85709.53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2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7"/>
      <c r="B104" s="29" t="s">
        <v>11</v>
      </c>
      <c r="C104" s="2">
        <v>1008030.66</v>
      </c>
      <c r="D104" s="2">
        <f>C104/4</f>
        <v>252007.66500000001</v>
      </c>
      <c r="E104" s="11">
        <f>90740.06+75740.06</f>
        <v>166480.12</v>
      </c>
      <c r="F104" s="2">
        <f>C104-E104</f>
        <v>841550.54</v>
      </c>
      <c r="G104" s="2">
        <f>D104-E104</f>
        <v>85527.545000000013</v>
      </c>
      <c r="H104" s="12"/>
    </row>
    <row r="105" spans="1:8" x14ac:dyDescent="0.25">
      <c r="A105" s="27"/>
      <c r="B105" s="29" t="s">
        <v>12</v>
      </c>
      <c r="C105" s="2">
        <v>61275.5</v>
      </c>
      <c r="D105" s="2"/>
      <c r="E105" s="2">
        <v>716</v>
      </c>
      <c r="F105" s="2">
        <f>C105-E105</f>
        <v>60559.5</v>
      </c>
      <c r="G105" s="2">
        <f>D105-E105</f>
        <v>-716</v>
      </c>
      <c r="H105" s="12"/>
    </row>
    <row r="106" spans="1:8" x14ac:dyDescent="0.25">
      <c r="A106" s="27"/>
      <c r="B106" s="29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252007.66500000001</v>
      </c>
      <c r="E108" s="8">
        <f>SUM(E104:E107)</f>
        <v>167196.12</v>
      </c>
      <c r="F108" s="8">
        <f>SUM(F104:F107)</f>
        <v>902110.04</v>
      </c>
      <c r="G108" s="8">
        <f>SUM(G104:G107)</f>
        <v>84811.545000000013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2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7"/>
      <c r="B112" s="29" t="s">
        <v>12</v>
      </c>
      <c r="C112" s="2">
        <v>66400</v>
      </c>
      <c r="D112" s="2">
        <v>10423.799999999999</v>
      </c>
      <c r="E112" s="2"/>
      <c r="F112" s="2">
        <f>C112-E112</f>
        <v>66400</v>
      </c>
      <c r="G112" s="2">
        <f>D112-E112</f>
        <v>10423.799999999999</v>
      </c>
      <c r="H112" s="12"/>
    </row>
    <row r="113" spans="1:8" x14ac:dyDescent="0.25">
      <c r="A113" s="27"/>
      <c r="B113" s="29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31"/>
      <c r="B115" s="30" t="s">
        <v>27</v>
      </c>
      <c r="C115" s="8">
        <f>SUM(C111:C114)</f>
        <v>66400</v>
      </c>
      <c r="D115" s="8">
        <f>SUM(D111:D114)</f>
        <v>10423.799999999999</v>
      </c>
      <c r="E115" s="8">
        <f>SUM(E111:E114)</f>
        <v>0</v>
      </c>
      <c r="F115" s="8">
        <f>SUM(F111:F114)</f>
        <v>66400</v>
      </c>
      <c r="G115" s="8">
        <f>SUM(G111:G114)</f>
        <v>10423.799999999999</v>
      </c>
      <c r="H115" s="12"/>
    </row>
    <row r="116" spans="1:8" ht="15.75" thickBot="1" x14ac:dyDescent="0.3">
      <c r="A116" s="37"/>
      <c r="B116" s="38"/>
      <c r="C116" s="9"/>
      <c r="D116" s="9"/>
      <c r="E116" s="9"/>
      <c r="F116" s="9"/>
      <c r="G116" s="34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E15+E22+E29+E36+E43+E50+E57+E73+E80+E87+E94+E101+E108+E115+E174+E175</f>
        <v>4578163.9000000004</v>
      </c>
      <c r="F118" s="12"/>
      <c r="G118" s="12"/>
      <c r="H118" s="12"/>
    </row>
    <row r="119" spans="1:8" x14ac:dyDescent="0.25">
      <c r="C119" s="12"/>
      <c r="D119" s="12"/>
      <c r="E119" s="12">
        <f>E12+E19+E26+E33+E40+E47+E54+E70+E77+E84+E91+E98+E105</f>
        <v>617183.03999999992</v>
      </c>
      <c r="F119" s="12"/>
      <c r="G119" s="12"/>
      <c r="H119" s="12"/>
    </row>
    <row r="120" spans="1:8" x14ac:dyDescent="0.25">
      <c r="A120" s="13" t="s">
        <v>0</v>
      </c>
      <c r="B120" s="36"/>
      <c r="C120" s="10"/>
      <c r="D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182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88" t="s">
        <v>3</v>
      </c>
      <c r="B125" s="88" t="s">
        <v>4</v>
      </c>
      <c r="C125" s="88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89"/>
      <c r="B126" s="89"/>
      <c r="C126" s="89"/>
      <c r="D126" s="89"/>
      <c r="E126" s="89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35000</v>
      </c>
      <c r="D128" s="2"/>
      <c r="E128" s="2"/>
      <c r="F128" s="2">
        <f t="shared" ref="F128:F157" si="2">C128-E128</f>
        <v>35000</v>
      </c>
      <c r="G128" s="2">
        <f t="shared" ref="G128:G158" si="3">D128-E128</f>
        <v>0</v>
      </c>
      <c r="H128" s="12"/>
    </row>
    <row r="129" spans="1:10" x14ac:dyDescent="0.25">
      <c r="A129" s="18"/>
      <c r="B129" s="18" t="s">
        <v>32</v>
      </c>
      <c r="C129" s="2">
        <v>250000</v>
      </c>
      <c r="D129" s="2"/>
      <c r="E129" s="11">
        <f>30000+1000</f>
        <v>31000</v>
      </c>
      <c r="F129" s="2"/>
      <c r="G129" s="2"/>
      <c r="H129" s="12"/>
    </row>
    <row r="130" spans="1:10" x14ac:dyDescent="0.25">
      <c r="A130" s="18"/>
      <c r="B130" s="18" t="s">
        <v>35</v>
      </c>
      <c r="C130" s="2">
        <v>430000</v>
      </c>
      <c r="D130" s="2"/>
      <c r="E130" s="11">
        <f>19663+75011</f>
        <v>94674</v>
      </c>
      <c r="F130" s="2"/>
      <c r="G130" s="2"/>
      <c r="H130" s="12"/>
    </row>
    <row r="131" spans="1:10" x14ac:dyDescent="0.25">
      <c r="A131" s="18"/>
      <c r="B131" s="18" t="s">
        <v>96</v>
      </c>
      <c r="C131" s="2">
        <v>200000</v>
      </c>
      <c r="D131" s="2"/>
      <c r="E131" s="2"/>
      <c r="F131" s="2"/>
      <c r="G131" s="2"/>
      <c r="H131" s="12"/>
    </row>
    <row r="132" spans="1:10" x14ac:dyDescent="0.25">
      <c r="A132" s="18"/>
      <c r="B132" s="18" t="s">
        <v>100</v>
      </c>
      <c r="C132" s="2">
        <v>300000</v>
      </c>
      <c r="D132" s="2"/>
      <c r="E132" s="2"/>
      <c r="F132" s="2"/>
      <c r="G132" s="2"/>
      <c r="H132" s="12"/>
    </row>
    <row r="133" spans="1:10" x14ac:dyDescent="0.25">
      <c r="A133" s="18"/>
      <c r="B133" s="18" t="s">
        <v>181</v>
      </c>
      <c r="C133" s="2">
        <v>180000</v>
      </c>
      <c r="D133" s="2"/>
      <c r="E133" s="2"/>
      <c r="F133" s="2"/>
      <c r="G133" s="2"/>
      <c r="H133" s="12"/>
    </row>
    <row r="134" spans="1:10" x14ac:dyDescent="0.25">
      <c r="A134" s="18"/>
      <c r="B134" s="18" t="s">
        <v>31</v>
      </c>
      <c r="C134" s="2"/>
      <c r="D134" s="2"/>
      <c r="E134" s="2"/>
      <c r="F134" s="2"/>
      <c r="G134" s="2"/>
      <c r="H134" s="12"/>
      <c r="I134" s="13">
        <f>230*22</f>
        <v>5060</v>
      </c>
    </row>
    <row r="135" spans="1:10" x14ac:dyDescent="0.25">
      <c r="A135" s="18"/>
      <c r="B135" s="55" t="s">
        <v>146</v>
      </c>
      <c r="C135" s="2">
        <v>300000</v>
      </c>
      <c r="D135" s="2"/>
      <c r="E135" s="2"/>
      <c r="F135" s="2"/>
      <c r="G135" s="2"/>
      <c r="H135" s="12"/>
      <c r="I135" s="13">
        <f>I134*12</f>
        <v>60720</v>
      </c>
    </row>
    <row r="136" spans="1:10" x14ac:dyDescent="0.25">
      <c r="A136" s="18"/>
      <c r="B136" s="55" t="s">
        <v>147</v>
      </c>
      <c r="C136" s="2">
        <v>400000</v>
      </c>
      <c r="D136" s="2"/>
      <c r="E136" s="2"/>
      <c r="F136" s="2"/>
      <c r="G136" s="2"/>
      <c r="H136" s="12"/>
    </row>
    <row r="137" spans="1:10" x14ac:dyDescent="0.25">
      <c r="A137" s="18"/>
      <c r="B137" s="55" t="s">
        <v>148</v>
      </c>
      <c r="C137" s="2">
        <v>200000</v>
      </c>
      <c r="D137" s="2"/>
      <c r="E137" s="2"/>
      <c r="F137" s="2"/>
      <c r="G137" s="2"/>
      <c r="H137" s="12"/>
      <c r="I137" s="12">
        <v>32882308.219999999</v>
      </c>
    </row>
    <row r="138" spans="1:10" x14ac:dyDescent="0.25">
      <c r="A138" s="18"/>
      <c r="B138" s="55" t="s">
        <v>149</v>
      </c>
      <c r="C138" s="2">
        <v>100000</v>
      </c>
      <c r="D138" s="2"/>
      <c r="E138" s="2"/>
      <c r="F138" s="2">
        <f t="shared" si="2"/>
        <v>100000</v>
      </c>
      <c r="G138" s="2">
        <f t="shared" si="3"/>
        <v>0</v>
      </c>
      <c r="H138" s="12"/>
      <c r="I138" s="12">
        <v>17921</v>
      </c>
    </row>
    <row r="139" spans="1:10" x14ac:dyDescent="0.25">
      <c r="A139" s="18"/>
      <c r="B139" s="18" t="s">
        <v>151</v>
      </c>
      <c r="C139" s="2">
        <v>125000</v>
      </c>
      <c r="D139" s="2"/>
      <c r="E139" s="11">
        <v>8000</v>
      </c>
      <c r="F139" s="2">
        <f t="shared" si="2"/>
        <v>117000</v>
      </c>
      <c r="G139" s="2">
        <f t="shared" si="3"/>
        <v>-8000</v>
      </c>
      <c r="H139" s="12"/>
      <c r="I139" s="13">
        <f>I137/I138</f>
        <v>1834.8478444283242</v>
      </c>
      <c r="J139" s="12"/>
    </row>
    <row r="140" spans="1:10" x14ac:dyDescent="0.25">
      <c r="A140" s="18"/>
      <c r="B140" s="27" t="s">
        <v>150</v>
      </c>
      <c r="C140" s="2">
        <v>20000</v>
      </c>
      <c r="D140" s="2"/>
      <c r="E140" s="2"/>
      <c r="F140" s="2">
        <f>C129-E140</f>
        <v>250000</v>
      </c>
      <c r="G140" s="2">
        <f t="shared" si="3"/>
        <v>0</v>
      </c>
      <c r="H140" s="12"/>
      <c r="I140" s="12">
        <v>22067089.800000001</v>
      </c>
      <c r="J140" s="12">
        <v>857870</v>
      </c>
    </row>
    <row r="141" spans="1:10" x14ac:dyDescent="0.25">
      <c r="A141" s="18"/>
      <c r="B141" s="18" t="s">
        <v>98</v>
      </c>
      <c r="C141" s="2">
        <v>80000</v>
      </c>
      <c r="D141" s="2"/>
      <c r="E141" s="11">
        <v>8719</v>
      </c>
      <c r="F141" s="2"/>
      <c r="G141" s="2"/>
      <c r="H141" s="12"/>
      <c r="I141" s="13">
        <f>I140/I137</f>
        <v>0.67109308909701604</v>
      </c>
      <c r="J141" s="12"/>
    </row>
    <row r="142" spans="1:10" x14ac:dyDescent="0.25">
      <c r="A142" s="18"/>
      <c r="B142" s="18" t="s">
        <v>94</v>
      </c>
      <c r="C142" s="2">
        <v>75000</v>
      </c>
      <c r="D142" s="2"/>
      <c r="E142" s="2"/>
      <c r="F142" s="2">
        <f t="shared" si="2"/>
        <v>75000</v>
      </c>
      <c r="G142" s="2">
        <f t="shared" si="3"/>
        <v>0</v>
      </c>
      <c r="H142" s="12"/>
      <c r="J142" s="12"/>
    </row>
    <row r="143" spans="1:10" x14ac:dyDescent="0.25">
      <c r="A143" s="18"/>
      <c r="B143" s="18" t="s">
        <v>179</v>
      </c>
      <c r="C143" s="2">
        <v>50000</v>
      </c>
      <c r="D143" s="2"/>
      <c r="E143" s="2"/>
      <c r="F143" s="2"/>
      <c r="G143" s="2"/>
      <c r="H143" s="12"/>
      <c r="J143" s="12"/>
    </row>
    <row r="144" spans="1:10" x14ac:dyDescent="0.25">
      <c r="A144" s="18"/>
      <c r="B144" s="18" t="s">
        <v>110</v>
      </c>
      <c r="C144" s="2">
        <v>1200000</v>
      </c>
      <c r="D144" s="2"/>
      <c r="E144" s="11">
        <f>91110+212475</f>
        <v>303585</v>
      </c>
      <c r="F144" s="2">
        <f t="shared" si="2"/>
        <v>896415</v>
      </c>
      <c r="G144" s="2">
        <f t="shared" si="3"/>
        <v>-303585</v>
      </c>
      <c r="H144" s="12"/>
      <c r="J144" s="12"/>
    </row>
    <row r="145" spans="1:10" x14ac:dyDescent="0.25">
      <c r="A145" s="18"/>
      <c r="B145" s="18" t="s">
        <v>49</v>
      </c>
      <c r="C145" s="2">
        <v>100000</v>
      </c>
      <c r="D145" s="2"/>
      <c r="E145" s="2"/>
      <c r="F145" s="2">
        <f t="shared" si="2"/>
        <v>100000</v>
      </c>
      <c r="G145" s="2">
        <f t="shared" si="3"/>
        <v>0</v>
      </c>
      <c r="H145" s="12"/>
      <c r="J145" s="12">
        <f>J140*55%</f>
        <v>471828.50000000006</v>
      </c>
    </row>
    <row r="146" spans="1:10" x14ac:dyDescent="0.25">
      <c r="A146" s="18"/>
      <c r="B146" s="18" t="s">
        <v>33</v>
      </c>
      <c r="C146" s="2">
        <v>150000</v>
      </c>
      <c r="D146" s="2"/>
      <c r="E146" s="2"/>
      <c r="F146" s="2"/>
      <c r="G146" s="2"/>
      <c r="H146" s="12"/>
      <c r="J146" s="12"/>
    </row>
    <row r="147" spans="1:10" x14ac:dyDescent="0.25">
      <c r="A147" s="18"/>
      <c r="B147" s="18" t="s">
        <v>152</v>
      </c>
      <c r="C147" s="2">
        <v>70000</v>
      </c>
      <c r="D147" s="2"/>
      <c r="E147" s="2"/>
      <c r="F147" s="2"/>
      <c r="G147" s="2"/>
      <c r="H147" s="12"/>
      <c r="J147" s="12"/>
    </row>
    <row r="148" spans="1:10" x14ac:dyDescent="0.25">
      <c r="A148" s="18"/>
      <c r="B148" s="18" t="s">
        <v>42</v>
      </c>
      <c r="C148" s="2">
        <v>15000</v>
      </c>
      <c r="D148" s="2"/>
      <c r="E148" s="2"/>
      <c r="F148" s="2"/>
      <c r="G148" s="2"/>
      <c r="H148" s="12"/>
      <c r="J148" s="12"/>
    </row>
    <row r="149" spans="1:10" x14ac:dyDescent="0.25">
      <c r="A149" s="18"/>
      <c r="B149" s="18" t="s">
        <v>43</v>
      </c>
      <c r="C149" s="2">
        <v>10000</v>
      </c>
      <c r="D149" s="2"/>
      <c r="E149" s="2"/>
      <c r="F149" s="2"/>
      <c r="G149" s="2"/>
      <c r="H149" s="12"/>
      <c r="J149" s="12"/>
    </row>
    <row r="150" spans="1:10" x14ac:dyDescent="0.25">
      <c r="A150" s="18"/>
      <c r="B150" s="18" t="s">
        <v>153</v>
      </c>
      <c r="C150" s="2">
        <v>1000000</v>
      </c>
      <c r="D150" s="2"/>
      <c r="E150" s="11">
        <v>48800</v>
      </c>
      <c r="F150" s="2">
        <f t="shared" si="2"/>
        <v>951200</v>
      </c>
      <c r="G150" s="2">
        <f t="shared" si="3"/>
        <v>-48800</v>
      </c>
      <c r="J150" s="12"/>
    </row>
    <row r="151" spans="1:10" x14ac:dyDescent="0.25">
      <c r="A151" s="18"/>
      <c r="B151" s="18" t="s">
        <v>154</v>
      </c>
      <c r="C151" s="2">
        <v>20000</v>
      </c>
      <c r="D151" s="2"/>
      <c r="E151" s="2"/>
      <c r="F151" s="2">
        <f t="shared" si="2"/>
        <v>20000</v>
      </c>
      <c r="G151" s="2"/>
      <c r="J151" s="12"/>
    </row>
    <row r="152" spans="1:10" x14ac:dyDescent="0.25">
      <c r="A152" s="18"/>
      <c r="B152" s="18" t="s">
        <v>102</v>
      </c>
      <c r="C152" s="2">
        <v>15000</v>
      </c>
      <c r="D152" s="2"/>
      <c r="E152" s="2"/>
      <c r="F152" s="2">
        <f t="shared" si="2"/>
        <v>15000</v>
      </c>
      <c r="G152" s="2">
        <f t="shared" si="3"/>
        <v>0</v>
      </c>
      <c r="J152" s="12"/>
    </row>
    <row r="153" spans="1:10" x14ac:dyDescent="0.25">
      <c r="A153" s="18"/>
      <c r="B153" s="18" t="s">
        <v>51</v>
      </c>
      <c r="C153" s="2">
        <v>750000</v>
      </c>
      <c r="D153" s="2"/>
      <c r="E153" s="11">
        <v>1200</v>
      </c>
      <c r="F153" s="2">
        <f t="shared" si="2"/>
        <v>748800</v>
      </c>
      <c r="G153" s="2">
        <f t="shared" si="3"/>
        <v>-1200</v>
      </c>
      <c r="J153" s="12"/>
    </row>
    <row r="154" spans="1:10" x14ac:dyDescent="0.25">
      <c r="A154" s="18"/>
      <c r="B154" s="18" t="s">
        <v>52</v>
      </c>
      <c r="C154" s="2">
        <v>50000</v>
      </c>
      <c r="D154" s="2"/>
      <c r="E154" s="2"/>
      <c r="F154" s="2">
        <f t="shared" si="2"/>
        <v>50000</v>
      </c>
      <c r="G154" s="2">
        <f t="shared" si="3"/>
        <v>0</v>
      </c>
    </row>
    <row r="155" spans="1:10" x14ac:dyDescent="0.25">
      <c r="A155" s="18"/>
      <c r="B155" s="18" t="s">
        <v>155</v>
      </c>
      <c r="C155" s="2">
        <v>40247.599999999999</v>
      </c>
      <c r="D155" s="2"/>
      <c r="E155" s="2"/>
      <c r="F155" s="2">
        <f t="shared" si="2"/>
        <v>40247.599999999999</v>
      </c>
      <c r="G155" s="2">
        <f t="shared" si="3"/>
        <v>0</v>
      </c>
    </row>
    <row r="156" spans="1:10" x14ac:dyDescent="0.25">
      <c r="A156" s="18"/>
      <c r="B156" s="18" t="s">
        <v>180</v>
      </c>
      <c r="C156" s="2">
        <v>400000</v>
      </c>
      <c r="D156" s="2"/>
      <c r="E156" s="2"/>
      <c r="F156" s="2">
        <f t="shared" si="2"/>
        <v>400000</v>
      </c>
      <c r="G156" s="2"/>
    </row>
    <row r="157" spans="1:10" x14ac:dyDescent="0.25">
      <c r="A157" s="18"/>
      <c r="B157" s="18" t="s">
        <v>104</v>
      </c>
      <c r="C157" s="2">
        <v>700000</v>
      </c>
      <c r="D157" s="2"/>
      <c r="E157" s="2"/>
      <c r="F157" s="2">
        <f t="shared" si="2"/>
        <v>700000</v>
      </c>
      <c r="G157" s="2">
        <f t="shared" si="3"/>
        <v>0</v>
      </c>
    </row>
    <row r="158" spans="1:10" x14ac:dyDescent="0.25">
      <c r="A158" s="39"/>
      <c r="B158" s="39"/>
      <c r="C158" s="6"/>
      <c r="D158" s="6"/>
      <c r="E158" s="6"/>
      <c r="F158" s="2"/>
      <c r="G158" s="2">
        <f t="shared" si="3"/>
        <v>0</v>
      </c>
    </row>
    <row r="159" spans="1:10" x14ac:dyDescent="0.25">
      <c r="A159" s="40"/>
      <c r="B159" s="30" t="s">
        <v>27</v>
      </c>
      <c r="C159" s="8">
        <f>SUM(C128:C158)</f>
        <v>7265247.5999999996</v>
      </c>
      <c r="D159" s="8">
        <f>SUM(D128:D158)</f>
        <v>0</v>
      </c>
      <c r="E159" s="8">
        <f>SUM(E128:E158)</f>
        <v>495978</v>
      </c>
      <c r="F159" s="8">
        <f>SUM(F128:F158)</f>
        <v>4498662.5999999996</v>
      </c>
      <c r="G159" s="8">
        <f>SUM(G128:G158)</f>
        <v>-361585</v>
      </c>
    </row>
    <row r="160" spans="1:10" x14ac:dyDescent="0.25">
      <c r="C160" s="7"/>
    </row>
    <row r="161" spans="1:9" x14ac:dyDescent="0.25">
      <c r="C161" s="14"/>
    </row>
    <row r="162" spans="1:9" x14ac:dyDescent="0.25">
      <c r="C162" s="14"/>
    </row>
    <row r="164" spans="1:9" x14ac:dyDescent="0.25">
      <c r="A164" s="13" t="s">
        <v>0</v>
      </c>
      <c r="B164" s="36"/>
      <c r="C164" s="10"/>
      <c r="D164" s="10"/>
      <c r="E164" s="10" t="e">
        <f>'[2]2013'!#REF!-E163</f>
        <v>#REF!</v>
      </c>
      <c r="F164" s="10"/>
      <c r="G164" s="10"/>
    </row>
    <row r="165" spans="1:9" x14ac:dyDescent="0.25">
      <c r="A165" s="13" t="s">
        <v>1</v>
      </c>
      <c r="B165" s="36"/>
      <c r="C165" s="10"/>
      <c r="D165" s="10"/>
      <c r="E165" s="10"/>
      <c r="F165" s="10"/>
      <c r="G165" s="10"/>
    </row>
    <row r="166" spans="1:9" x14ac:dyDescent="0.25">
      <c r="A166" s="13" t="s">
        <v>2</v>
      </c>
      <c r="B166" s="36"/>
      <c r="C166" s="10"/>
      <c r="D166" s="10"/>
      <c r="E166" s="10"/>
      <c r="F166" s="10"/>
      <c r="G166" s="10"/>
    </row>
    <row r="167" spans="1:9" x14ac:dyDescent="0.25">
      <c r="A167" s="24" t="s">
        <v>182</v>
      </c>
      <c r="B167" s="36"/>
      <c r="C167" s="10"/>
      <c r="D167" s="10"/>
      <c r="E167" s="10"/>
      <c r="F167" s="10"/>
      <c r="G167" s="10"/>
    </row>
    <row r="168" spans="1:9" x14ac:dyDescent="0.25">
      <c r="A168" s="35"/>
      <c r="B168" s="36"/>
      <c r="C168" s="10"/>
      <c r="D168" s="10"/>
      <c r="E168" s="10"/>
      <c r="F168" s="10"/>
      <c r="G168" s="10"/>
    </row>
    <row r="169" spans="1:9" x14ac:dyDescent="0.25">
      <c r="A169" s="88" t="s">
        <v>3</v>
      </c>
      <c r="B169" s="88" t="s">
        <v>4</v>
      </c>
      <c r="C169" s="88" t="s">
        <v>5</v>
      </c>
      <c r="D169" s="88" t="s">
        <v>6</v>
      </c>
      <c r="E169" s="88" t="s">
        <v>7</v>
      </c>
      <c r="F169" s="15" t="s">
        <v>8</v>
      </c>
      <c r="G169" s="15" t="s">
        <v>8</v>
      </c>
    </row>
    <row r="170" spans="1:9" x14ac:dyDescent="0.25">
      <c r="A170" s="89"/>
      <c r="B170" s="89"/>
      <c r="C170" s="89"/>
      <c r="D170" s="89"/>
      <c r="E170" s="89"/>
      <c r="F170" s="16" t="s">
        <v>5</v>
      </c>
      <c r="G170" s="16" t="s">
        <v>6</v>
      </c>
    </row>
    <row r="171" spans="1:9" x14ac:dyDescent="0.25">
      <c r="A171" s="17"/>
      <c r="B171" s="17"/>
      <c r="C171" s="17"/>
      <c r="D171" s="17"/>
      <c r="E171" s="17"/>
      <c r="F171" s="17"/>
      <c r="G171" s="17"/>
    </row>
    <row r="172" spans="1:9" x14ac:dyDescent="0.25">
      <c r="A172" s="18"/>
      <c r="B172" s="28" t="s">
        <v>53</v>
      </c>
      <c r="C172" s="18"/>
      <c r="D172" s="18"/>
      <c r="E172" s="18"/>
      <c r="F172" s="18"/>
      <c r="G172" s="18"/>
    </row>
    <row r="173" spans="1:9" x14ac:dyDescent="0.25">
      <c r="A173" s="18"/>
      <c r="B173" s="29" t="s">
        <v>11</v>
      </c>
      <c r="C173" s="2"/>
      <c r="D173" s="2"/>
      <c r="E173" s="2"/>
      <c r="F173" s="2"/>
      <c r="G173" s="2"/>
    </row>
    <row r="174" spans="1:9" x14ac:dyDescent="0.25">
      <c r="A174" s="18"/>
      <c r="B174" s="4" t="s">
        <v>58</v>
      </c>
      <c r="C174" s="2">
        <v>320000</v>
      </c>
      <c r="D174" s="2">
        <v>150000</v>
      </c>
      <c r="E174" s="11">
        <f>165164.16+100909.81</f>
        <v>266073.96999999997</v>
      </c>
      <c r="F174" s="2">
        <f t="shared" ref="F174:F188" si="4">C174-E174</f>
        <v>53926.030000000028</v>
      </c>
      <c r="G174" s="2">
        <f t="shared" ref="G174:G188" si="5">D174-E174</f>
        <v>-116073.96999999997</v>
      </c>
    </row>
    <row r="175" spans="1:9" x14ac:dyDescent="0.25">
      <c r="A175" s="18"/>
      <c r="B175" s="4" t="s">
        <v>59</v>
      </c>
      <c r="C175" s="2">
        <v>1060000</v>
      </c>
      <c r="D175" s="2">
        <f>95000*3</f>
        <v>285000</v>
      </c>
      <c r="E175" s="11">
        <f>126000+126000</f>
        <v>252000</v>
      </c>
      <c r="F175" s="2">
        <f t="shared" si="4"/>
        <v>808000</v>
      </c>
      <c r="G175" s="2">
        <f t="shared" si="5"/>
        <v>33000</v>
      </c>
      <c r="I175" s="14">
        <f>E175*12</f>
        <v>3024000</v>
      </c>
    </row>
    <row r="176" spans="1:9" x14ac:dyDescent="0.25">
      <c r="A176" s="18"/>
      <c r="B176" s="29" t="s">
        <v>12</v>
      </c>
      <c r="C176" s="2"/>
      <c r="D176" s="2"/>
      <c r="E176" s="2"/>
      <c r="F176" s="2">
        <f t="shared" si="4"/>
        <v>0</v>
      </c>
      <c r="G176" s="2">
        <f t="shared" si="5"/>
        <v>0</v>
      </c>
    </row>
    <row r="177" spans="1:9" x14ac:dyDescent="0.25">
      <c r="A177" s="18"/>
      <c r="B177" s="4" t="s">
        <v>54</v>
      </c>
      <c r="C177" s="2">
        <v>2176195.09</v>
      </c>
      <c r="D177" s="2">
        <v>404890.34</v>
      </c>
      <c r="E177" s="11">
        <f>1467.69+114748.42</f>
        <v>116216.11</v>
      </c>
      <c r="F177" s="2">
        <f t="shared" si="4"/>
        <v>2059978.9799999997</v>
      </c>
      <c r="G177" s="2">
        <f t="shared" si="5"/>
        <v>288674.23000000004</v>
      </c>
      <c r="I177" s="14">
        <f>C177/4</f>
        <v>544048.77249999996</v>
      </c>
    </row>
    <row r="178" spans="1:9" x14ac:dyDescent="0.25">
      <c r="A178" s="18"/>
      <c r="B178" s="4" t="s">
        <v>55</v>
      </c>
      <c r="C178" s="2">
        <v>15000</v>
      </c>
      <c r="D178" s="2"/>
      <c r="E178" s="2"/>
      <c r="F178" s="2">
        <f t="shared" si="4"/>
        <v>15000</v>
      </c>
      <c r="G178" s="2">
        <f t="shared" si="5"/>
        <v>0</v>
      </c>
    </row>
    <row r="179" spans="1:9" x14ac:dyDescent="0.25">
      <c r="A179" s="18"/>
      <c r="B179" s="4" t="s">
        <v>56</v>
      </c>
      <c r="C179" s="2">
        <v>20000</v>
      </c>
      <c r="D179" s="2"/>
      <c r="E179" s="11">
        <v>5000</v>
      </c>
      <c r="F179" s="2">
        <f t="shared" si="4"/>
        <v>15000</v>
      </c>
      <c r="G179" s="2">
        <f t="shared" si="5"/>
        <v>-5000</v>
      </c>
    </row>
    <row r="180" spans="1:9" x14ac:dyDescent="0.25">
      <c r="A180" s="18"/>
      <c r="B180" s="4" t="s">
        <v>175</v>
      </c>
      <c r="C180" s="2">
        <v>2176195.09</v>
      </c>
      <c r="D180" s="2"/>
      <c r="E180" s="11">
        <f>9787+17000</f>
        <v>26787</v>
      </c>
      <c r="F180" s="2">
        <f t="shared" si="4"/>
        <v>2149408.09</v>
      </c>
      <c r="G180" s="2">
        <f t="shared" si="5"/>
        <v>-26787</v>
      </c>
    </row>
    <row r="181" spans="1:9" x14ac:dyDescent="0.25">
      <c r="A181" s="18"/>
      <c r="B181" s="4" t="s">
        <v>176</v>
      </c>
      <c r="C181" s="2">
        <v>435239.01</v>
      </c>
      <c r="D181" s="2"/>
      <c r="E181" s="11">
        <f>8000+20000</f>
        <v>28000</v>
      </c>
      <c r="F181" s="2"/>
      <c r="G181" s="2"/>
    </row>
    <row r="182" spans="1:9" x14ac:dyDescent="0.25">
      <c r="A182" s="18"/>
      <c r="B182" s="58" t="s">
        <v>177</v>
      </c>
      <c r="C182" s="2">
        <v>363262.38</v>
      </c>
      <c r="D182" s="2"/>
      <c r="E182" s="2"/>
      <c r="F182" s="2">
        <f t="shared" si="4"/>
        <v>363262.38</v>
      </c>
      <c r="G182" s="2">
        <f t="shared" si="5"/>
        <v>0</v>
      </c>
    </row>
    <row r="183" spans="1:9" x14ac:dyDescent="0.25">
      <c r="A183" s="18"/>
      <c r="B183" s="4" t="s">
        <v>178</v>
      </c>
      <c r="C183" s="2">
        <v>100172.48</v>
      </c>
      <c r="D183" s="2"/>
      <c r="E183" s="2"/>
      <c r="F183" s="2">
        <f t="shared" si="4"/>
        <v>100172.48</v>
      </c>
      <c r="G183" s="2">
        <f t="shared" si="5"/>
        <v>0</v>
      </c>
    </row>
    <row r="184" spans="1:9" x14ac:dyDescent="0.25">
      <c r="A184" s="18"/>
      <c r="B184" s="4" t="s">
        <v>113</v>
      </c>
      <c r="C184" s="2">
        <v>150000</v>
      </c>
      <c r="D184" s="2"/>
      <c r="E184" s="11">
        <f>6740+6470</f>
        <v>13210</v>
      </c>
      <c r="F184" s="2"/>
      <c r="G184" s="2"/>
    </row>
    <row r="185" spans="1:9" x14ac:dyDescent="0.25">
      <c r="A185" s="18"/>
      <c r="B185" s="29" t="s">
        <v>13</v>
      </c>
      <c r="C185" s="2"/>
      <c r="D185" s="2"/>
      <c r="E185" s="2"/>
      <c r="F185" s="2">
        <f t="shared" si="4"/>
        <v>0</v>
      </c>
      <c r="G185" s="2">
        <f t="shared" si="5"/>
        <v>0</v>
      </c>
    </row>
    <row r="186" spans="1:9" x14ac:dyDescent="0.25">
      <c r="A186" s="18"/>
      <c r="B186" s="4" t="s">
        <v>159</v>
      </c>
      <c r="C186" s="2">
        <v>500000</v>
      </c>
      <c r="D186" s="2"/>
      <c r="E186" s="11">
        <f>20189</f>
        <v>20189</v>
      </c>
      <c r="F186" s="2">
        <f t="shared" si="4"/>
        <v>479811</v>
      </c>
      <c r="G186" s="2">
        <f t="shared" si="5"/>
        <v>-20189</v>
      </c>
    </row>
    <row r="187" spans="1:9" x14ac:dyDescent="0.25">
      <c r="A187" s="18"/>
      <c r="B187" s="4" t="s">
        <v>62</v>
      </c>
      <c r="C187" s="2"/>
      <c r="D187" s="2"/>
      <c r="E187" s="2"/>
      <c r="F187" s="2">
        <f t="shared" si="4"/>
        <v>0</v>
      </c>
      <c r="G187" s="2">
        <f t="shared" si="5"/>
        <v>0</v>
      </c>
    </row>
    <row r="188" spans="1:9" x14ac:dyDescent="0.25">
      <c r="A188" s="18"/>
      <c r="B188" s="5" t="s">
        <v>63</v>
      </c>
      <c r="C188" s="2">
        <v>1600000</v>
      </c>
      <c r="D188" s="2"/>
      <c r="E188" s="11">
        <v>1564814.07</v>
      </c>
      <c r="F188" s="2">
        <f t="shared" si="4"/>
        <v>35185.929999999935</v>
      </c>
      <c r="G188" s="2">
        <f t="shared" si="5"/>
        <v>-1564814.07</v>
      </c>
    </row>
    <row r="189" spans="1:9" x14ac:dyDescent="0.25">
      <c r="A189" s="18"/>
      <c r="B189" s="4"/>
      <c r="C189" s="2"/>
      <c r="D189" s="2"/>
      <c r="E189" s="2"/>
      <c r="F189" s="2"/>
      <c r="G189" s="2"/>
    </row>
    <row r="190" spans="1:9" x14ac:dyDescent="0.25">
      <c r="A190" s="18"/>
      <c r="B190" s="41" t="s">
        <v>27</v>
      </c>
      <c r="C190" s="8">
        <f>SUM(C174:C189)</f>
        <v>8916064.0500000007</v>
      </c>
      <c r="D190" s="8">
        <f>SUM(D174:D189)</f>
        <v>839890.34000000008</v>
      </c>
      <c r="E190" s="8">
        <f>SUM(E174:E189)</f>
        <v>2292290.15</v>
      </c>
      <c r="F190" s="8">
        <f>SUM(F174:F189)</f>
        <v>6079744.8899999997</v>
      </c>
      <c r="G190" s="8">
        <f>SUM(G174:G189)</f>
        <v>-1411189.81</v>
      </c>
    </row>
    <row r="191" spans="1:9" ht="15.75" thickBot="1" x14ac:dyDescent="0.3">
      <c r="A191" s="42"/>
      <c r="B191" s="43" t="s">
        <v>64</v>
      </c>
      <c r="C191" s="20">
        <f>C190+C159+C115+C108+C101+C94+C87+C80+C73+C57+C50+C43+C36+C29+C22+C15</f>
        <v>43523901.710000001</v>
      </c>
      <c r="D191" s="20">
        <f>D190+D159+D115+D108+D101+D94+D87+D80+D73+D57+D50+D43+D36+D29+D22+D15</f>
        <v>6957489.1600000011</v>
      </c>
      <c r="E191" s="20">
        <f>E190+E159+E115+E108+E101+E94+E87+E80+E73+E57+E50+E43+E36+E29+E22+E15</f>
        <v>6848358.080000001</v>
      </c>
      <c r="F191" s="20">
        <f>F190+F159+F115+F108+F101+F94+F87+F80+F73+F57+F50+F43+F36+F29+F22+F15</f>
        <v>33835907.61999999</v>
      </c>
      <c r="G191" s="20">
        <f>G190+G159+G115+G108+G101+G94+G87+G80+G73+G57+G50+G43+G36+G29+G22+G15</f>
        <v>284734.08000000019</v>
      </c>
    </row>
    <row r="192" spans="1:9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">
        <v>3045178</v>
      </c>
      <c r="F193" s="12"/>
      <c r="G193" s="12"/>
    </row>
    <row r="194" spans="2:12" x14ac:dyDescent="0.25">
      <c r="C194" s="12"/>
      <c r="D194" s="12"/>
      <c r="E194" s="12">
        <f>E193-E191</f>
        <v>-3803180.080000001</v>
      </c>
      <c r="F194" s="12"/>
      <c r="G194" s="12"/>
    </row>
    <row r="195" spans="2:12" x14ac:dyDescent="0.25">
      <c r="C195" s="12"/>
      <c r="D195" s="12"/>
      <c r="F195" s="12"/>
      <c r="G195" s="12"/>
    </row>
    <row r="196" spans="2:12" x14ac:dyDescent="0.25">
      <c r="B196" s="44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90" t="s">
        <v>164</v>
      </c>
      <c r="E197" s="90"/>
      <c r="F197" s="12"/>
      <c r="G197" s="12"/>
    </row>
    <row r="198" spans="2:12" x14ac:dyDescent="0.25">
      <c r="C198" s="12"/>
      <c r="D198" s="12" t="s">
        <v>162</v>
      </c>
      <c r="E198" s="12" t="s">
        <v>163</v>
      </c>
      <c r="F198" s="12"/>
      <c r="G198" s="12"/>
      <c r="H198" s="57">
        <v>0.8</v>
      </c>
      <c r="I198" s="12">
        <v>2159415</v>
      </c>
      <c r="L198" s="13">
        <f>20*20</f>
        <v>400</v>
      </c>
    </row>
    <row r="199" spans="2:12" x14ac:dyDescent="0.25">
      <c r="C199" s="12" t="s">
        <v>160</v>
      </c>
      <c r="D199" s="12">
        <f>5518028.2+D46</f>
        <v>5781364.3150000004</v>
      </c>
      <c r="E199" s="12">
        <v>1646631.99</v>
      </c>
      <c r="F199" s="12"/>
      <c r="G199" s="12"/>
      <c r="H199" s="57">
        <v>0.2</v>
      </c>
      <c r="I199" s="12">
        <v>539854</v>
      </c>
      <c r="L199" s="13">
        <f>15*20</f>
        <v>300</v>
      </c>
    </row>
    <row r="200" spans="2:12" x14ac:dyDescent="0.25">
      <c r="C200" s="12" t="s">
        <v>161</v>
      </c>
      <c r="D200" s="12">
        <f>D191-D199</f>
        <v>1176124.8450000007</v>
      </c>
      <c r="E200" s="12">
        <v>130701.19</v>
      </c>
      <c r="F200" s="12"/>
      <c r="G200" s="12"/>
      <c r="I200" s="12"/>
    </row>
    <row r="201" spans="2:12" x14ac:dyDescent="0.25">
      <c r="C201" s="56">
        <v>0.2</v>
      </c>
      <c r="D201" s="12"/>
      <c r="E201" s="12">
        <v>133869.85</v>
      </c>
      <c r="F201" s="12"/>
      <c r="G201" s="12"/>
      <c r="I201" s="12"/>
      <c r="L201" s="13">
        <f>SUM(L198:L200)</f>
        <v>700</v>
      </c>
    </row>
    <row r="202" spans="2:12" x14ac:dyDescent="0.25">
      <c r="C202" s="56">
        <v>0.05</v>
      </c>
      <c r="D202" s="12">
        <v>404890.34</v>
      </c>
      <c r="E202" s="12">
        <v>14850</v>
      </c>
      <c r="F202" s="12"/>
      <c r="G202" s="12"/>
      <c r="I202" s="12">
        <f>SUM(I198:I201)</f>
        <v>2699269</v>
      </c>
    </row>
    <row r="203" spans="2:12" x14ac:dyDescent="0.25">
      <c r="C203" s="12" t="s">
        <v>120</v>
      </c>
      <c r="D203" s="12"/>
      <c r="E203" s="12">
        <v>7200</v>
      </c>
      <c r="F203" s="12"/>
      <c r="G203" s="12">
        <f>I202-E191</f>
        <v>-4149089.080000001</v>
      </c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E205" s="12"/>
      <c r="F205" s="12"/>
      <c r="G205" s="12"/>
      <c r="I205" s="12"/>
    </row>
    <row r="206" spans="2:12" x14ac:dyDescent="0.25">
      <c r="C206" s="12" t="s">
        <v>143</v>
      </c>
      <c r="D206" s="12">
        <f>SUM(D199:D205)</f>
        <v>7362379.5000000009</v>
      </c>
      <c r="E206" s="12">
        <f>SUM(E199:E205)</f>
        <v>1933253.03</v>
      </c>
      <c r="F206" s="12"/>
      <c r="G206" s="12"/>
      <c r="I206" s="12"/>
    </row>
    <row r="207" spans="2:12" x14ac:dyDescent="0.25">
      <c r="C207" s="12"/>
      <c r="D207" s="12"/>
      <c r="E207" s="12">
        <f>E191-E206</f>
        <v>4915105.0500000007</v>
      </c>
      <c r="F207" s="12"/>
      <c r="G207" s="12"/>
      <c r="I207" s="12"/>
    </row>
    <row r="208" spans="2:12" x14ac:dyDescent="0.25">
      <c r="C208" s="12"/>
      <c r="D208" s="12">
        <f>32391227</f>
        <v>32391227</v>
      </c>
      <c r="E208" s="12">
        <f>E206-E191</f>
        <v>-4915105.0500000007</v>
      </c>
      <c r="F208" s="12"/>
      <c r="G208" s="12"/>
      <c r="I208" s="12"/>
    </row>
    <row r="209" spans="3:7" x14ac:dyDescent="0.25">
      <c r="C209" s="12"/>
      <c r="D209" s="12">
        <f>D208*5%</f>
        <v>1619561.35</v>
      </c>
      <c r="E209" s="12"/>
      <c r="F209" s="12"/>
      <c r="G209" s="12"/>
    </row>
    <row r="210" spans="3:7" x14ac:dyDescent="0.25">
      <c r="C210" s="12"/>
      <c r="D210" s="12">
        <f>D209/4</f>
        <v>404890.33750000002</v>
      </c>
      <c r="E210" s="12">
        <f>E174+E175</f>
        <v>518073.97</v>
      </c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>
        <f>E199+E200</f>
        <v>1777333.18</v>
      </c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  <mergeCell ref="A125:A126"/>
    <mergeCell ref="B125:B126"/>
    <mergeCell ref="C125:C126"/>
    <mergeCell ref="D125:D126"/>
    <mergeCell ref="E125:E126"/>
    <mergeCell ref="D197:E197"/>
    <mergeCell ref="A169:A170"/>
    <mergeCell ref="B169:B170"/>
    <mergeCell ref="C169:C170"/>
    <mergeCell ref="D169:D170"/>
    <mergeCell ref="E169:E170"/>
  </mergeCells>
  <pageMargins left="0.25" right="0.11" top="0.4" bottom="0.28999999999999998" header="0.3" footer="0.3"/>
  <pageSetup scale="80" orientation="portrait" horizontalDpi="4294967293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A114" zoomScale="160" zoomScaleNormal="160" workbookViewId="0">
      <selection activeCell="B123" sqref="B123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4.5703125" style="13" bestFit="1" customWidth="1"/>
    <col min="6" max="6" width="16.28515625" style="13" customWidth="1"/>
    <col min="7" max="7" width="14.28515625" style="13" customWidth="1"/>
    <col min="8" max="8" width="9.140625" style="13"/>
    <col min="9" max="9" width="15.140625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183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f>C11/4</f>
        <v>432481.745</v>
      </c>
      <c r="E11" s="11">
        <f>126964.66+101964.66+119964.66</f>
        <v>348893.98</v>
      </c>
      <c r="F11" s="2">
        <f>C11-E11</f>
        <v>1381033</v>
      </c>
      <c r="G11" s="2">
        <f>D11-E11</f>
        <v>83587.765000000014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/>
      <c r="E12" s="11">
        <f>68924.28+172990.44+120970.72</f>
        <v>362885.44</v>
      </c>
      <c r="F12" s="2">
        <f t="shared" ref="F12:F13" si="0">C12-E12</f>
        <v>735095.18000000017</v>
      </c>
      <c r="G12" s="2">
        <f t="shared" ref="G12:G13" si="1">D12-E12</f>
        <v>-362885.44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/>
      <c r="F13" s="2">
        <f t="shared" si="0"/>
        <v>0</v>
      </c>
      <c r="G13" s="2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432481.745</v>
      </c>
      <c r="E15" s="8">
        <f>SUM(E11:E14)</f>
        <v>711779.41999999993</v>
      </c>
      <c r="F15" s="8">
        <f>SUM(F11:F14)</f>
        <v>2116128.1800000002</v>
      </c>
      <c r="G15" s="8">
        <f>SUM(G11:G14)</f>
        <v>-279297.67499999999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f>C18/4</f>
        <v>2102080.35</v>
      </c>
      <c r="E18" s="11">
        <f>739399.62+518395.62+518396.04</f>
        <v>1776191.28</v>
      </c>
      <c r="F18" s="2">
        <f>C18-E18</f>
        <v>6632130.1200000001</v>
      </c>
      <c r="G18" s="2">
        <f>D18-E18</f>
        <v>325889.07000000007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/>
      <c r="E19" s="11">
        <f>28976+78595+109850.24</f>
        <v>217421.24</v>
      </c>
      <c r="F19" s="2">
        <f>C19-E19</f>
        <v>858515.12000000011</v>
      </c>
      <c r="G19" s="2">
        <f>D19-E19</f>
        <v>-217421.24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2102080.35</v>
      </c>
      <c r="E22" s="8">
        <f>SUM(E18:E21)</f>
        <v>1993612.52</v>
      </c>
      <c r="F22" s="8">
        <f>SUM(F18:F21)</f>
        <v>7490645.2400000002</v>
      </c>
      <c r="G22" s="8">
        <f>SUM(G18:G21)</f>
        <v>108467.83000000007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f>C25/4</f>
        <v>241055.71</v>
      </c>
      <c r="E25" s="11">
        <f>87255.2+72255.2+72255.2</f>
        <v>231765.59999999998</v>
      </c>
      <c r="F25" s="2">
        <f>C25-E25</f>
        <v>732457.24</v>
      </c>
      <c r="G25" s="2">
        <f>D25-E25</f>
        <v>9290.1100000000151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v>25005.86</v>
      </c>
      <c r="E26" s="11">
        <f>930.11+10596.97</f>
        <v>11527.08</v>
      </c>
      <c r="F26" s="2">
        <f>C26-E26</f>
        <v>126005.15000000001</v>
      </c>
      <c r="G26" s="2">
        <f>D26-E26</f>
        <v>13478.78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266061.57</v>
      </c>
      <c r="E29" s="8">
        <f>SUM(E25:E28)</f>
        <v>243292.67999999996</v>
      </c>
      <c r="F29" s="8">
        <f>SUM(F25:F28)</f>
        <v>858462.39</v>
      </c>
      <c r="G29" s="8">
        <f>SUM(G25:G28)</f>
        <v>22768.890000000014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f>C32/4</f>
        <v>183220.095</v>
      </c>
      <c r="E32" s="11">
        <f>65293.18+55293.18+55293.18</f>
        <v>175879.54</v>
      </c>
      <c r="F32" s="2">
        <f>C32-E32</f>
        <v>557000.84</v>
      </c>
      <c r="G32" s="2">
        <f>D32-E32</f>
        <v>7340.554999999993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v>14705.16</v>
      </c>
      <c r="E33" s="11">
        <f>1830+5333.5</f>
        <v>7163.5</v>
      </c>
      <c r="F33" s="2">
        <f>C33-E33</f>
        <v>73714.86</v>
      </c>
      <c r="G33" s="2">
        <f>D33-E33</f>
        <v>7541.66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2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2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197925.255</v>
      </c>
      <c r="E36" s="8">
        <f>SUM(E32:E35)</f>
        <v>183043.04</v>
      </c>
      <c r="F36" s="8">
        <f>SUM(F32:F35)</f>
        <v>630715.69999999995</v>
      </c>
      <c r="G36" s="8">
        <f>SUM(G32:G35)</f>
        <v>14882.214999999993</v>
      </c>
      <c r="L36" s="12"/>
    </row>
    <row r="37" spans="1:13" x14ac:dyDescent="0.25">
      <c r="A37" s="27"/>
      <c r="B37" s="18"/>
      <c r="C37" s="2"/>
      <c r="D37" s="2"/>
      <c r="E37" s="2"/>
      <c r="F37" s="2"/>
      <c r="G37" s="2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2"/>
      <c r="L38" s="12"/>
    </row>
    <row r="39" spans="1:13" x14ac:dyDescent="0.25">
      <c r="A39" s="27"/>
      <c r="B39" s="29" t="s">
        <v>11</v>
      </c>
      <c r="C39" s="2">
        <v>591829.98</v>
      </c>
      <c r="D39" s="2">
        <f>C39/4</f>
        <v>147957.495</v>
      </c>
      <c r="E39" s="11">
        <f>50458.42+45458.42+45458.42</f>
        <v>141375.26</v>
      </c>
      <c r="F39" s="2">
        <f>C39-E39</f>
        <v>450454.72</v>
      </c>
      <c r="G39" s="2">
        <f>D39-E39</f>
        <v>6582.234999999986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v>15880.7</v>
      </c>
      <c r="E40" s="11">
        <f>5235+2464+3000</f>
        <v>10699</v>
      </c>
      <c r="F40" s="2">
        <f>C40-E40</f>
        <v>68704.5</v>
      </c>
      <c r="G40" s="2">
        <f>D40-E40</f>
        <v>5181.7000000000007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2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2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163838.19500000001</v>
      </c>
      <c r="E43" s="8">
        <f>SUM(E39:E42)</f>
        <v>152074.26</v>
      </c>
      <c r="F43" s="8">
        <f>SUM(F39:F42)</f>
        <v>519159.22</v>
      </c>
      <c r="G43" s="8">
        <f>SUM(G39:G42)</f>
        <v>11763.934999999987</v>
      </c>
    </row>
    <row r="44" spans="1:13" x14ac:dyDescent="0.25">
      <c r="A44" s="27"/>
      <c r="B44" s="18"/>
      <c r="C44" s="2"/>
      <c r="D44" s="2"/>
      <c r="E44" s="2"/>
      <c r="F44" s="2"/>
      <c r="G44" s="2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2"/>
    </row>
    <row r="46" spans="1:13" x14ac:dyDescent="0.25">
      <c r="A46" s="27"/>
      <c r="B46" s="29" t="s">
        <v>11</v>
      </c>
      <c r="C46" s="2">
        <v>1053344.46</v>
      </c>
      <c r="D46" s="2">
        <f>C46/4</f>
        <v>263336.11499999999</v>
      </c>
      <c r="E46" s="11">
        <f>56526.37+41526.37+41526.37</f>
        <v>139579.11000000002</v>
      </c>
      <c r="F46" s="2">
        <f>C46-E46</f>
        <v>913765.35</v>
      </c>
      <c r="G46" s="2">
        <f>D46-E46</f>
        <v>123757.00499999998</v>
      </c>
    </row>
    <row r="47" spans="1:13" x14ac:dyDescent="0.25">
      <c r="A47" s="27"/>
      <c r="B47" s="29" t="s">
        <v>12</v>
      </c>
      <c r="C47" s="2">
        <v>205007.27</v>
      </c>
      <c r="D47" s="2">
        <v>37274.050000000003</v>
      </c>
      <c r="E47" s="11">
        <f>2600+500+21643</f>
        <v>24743</v>
      </c>
      <c r="F47" s="2">
        <f>C47-E47</f>
        <v>180264.27</v>
      </c>
      <c r="G47" s="2">
        <f>D47-E47</f>
        <v>12531.050000000003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</row>
    <row r="49" spans="1:8" x14ac:dyDescent="0.25">
      <c r="A49" s="27"/>
      <c r="B49" s="29" t="s">
        <v>14</v>
      </c>
      <c r="C49" s="2"/>
      <c r="D49" s="2"/>
      <c r="E49" s="2"/>
      <c r="F49" s="2"/>
      <c r="G49" s="2"/>
      <c r="H49" s="12"/>
    </row>
    <row r="50" spans="1:8" x14ac:dyDescent="0.25">
      <c r="A50" s="27"/>
      <c r="B50" s="30" t="s">
        <v>27</v>
      </c>
      <c r="C50" s="8">
        <f>SUM(C46:C49)</f>
        <v>1258351.73</v>
      </c>
      <c r="D50" s="8">
        <f>SUM(D46:D49)</f>
        <v>300610.16499999998</v>
      </c>
      <c r="E50" s="8">
        <f>SUM(E46:E49)</f>
        <v>164322.11000000002</v>
      </c>
      <c r="F50" s="8">
        <f>SUM(F46:F49)</f>
        <v>1094029.6199999999</v>
      </c>
      <c r="G50" s="8">
        <f>SUM(G46:G49)</f>
        <v>136288.05499999999</v>
      </c>
      <c r="H50" s="12"/>
    </row>
    <row r="51" spans="1:8" x14ac:dyDescent="0.25">
      <c r="A51" s="27"/>
      <c r="B51" s="18"/>
      <c r="C51" s="2"/>
      <c r="D51" s="2"/>
      <c r="E51" s="2"/>
      <c r="F51" s="2"/>
      <c r="G51" s="2"/>
      <c r="H51" s="12"/>
    </row>
    <row r="52" spans="1:8" x14ac:dyDescent="0.25">
      <c r="A52" s="27">
        <v>1091</v>
      </c>
      <c r="B52" s="28" t="s">
        <v>19</v>
      </c>
      <c r="C52" s="2"/>
      <c r="D52" s="2"/>
      <c r="E52" s="2"/>
      <c r="F52" s="2"/>
      <c r="G52" s="2"/>
      <c r="H52" s="12"/>
    </row>
    <row r="53" spans="1:8" x14ac:dyDescent="0.25">
      <c r="A53" s="27"/>
      <c r="B53" s="29" t="s">
        <v>11</v>
      </c>
      <c r="C53" s="2">
        <v>1583456.4</v>
      </c>
      <c r="D53" s="2">
        <f>C53/4</f>
        <v>395864.1</v>
      </c>
      <c r="E53" s="11">
        <f>150760.7+115760.7+115760.7</f>
        <v>382282.10000000003</v>
      </c>
      <c r="F53" s="2">
        <f>C53-E53</f>
        <v>1201174.2999999998</v>
      </c>
      <c r="G53" s="2">
        <f>D53-E53</f>
        <v>13581.999999999942</v>
      </c>
      <c r="H53" s="12"/>
    </row>
    <row r="54" spans="1:8" x14ac:dyDescent="0.25">
      <c r="A54" s="27"/>
      <c r="B54" s="29" t="s">
        <v>12</v>
      </c>
      <c r="C54" s="2">
        <v>321156.95</v>
      </c>
      <c r="D54" s="2">
        <v>58392.17</v>
      </c>
      <c r="E54" s="11">
        <f>53406+3795+88858</f>
        <v>146059</v>
      </c>
      <c r="F54" s="2">
        <f>C54-E54</f>
        <v>175097.95</v>
      </c>
      <c r="G54" s="2">
        <f>D54-E54</f>
        <v>-87666.83</v>
      </c>
      <c r="H54" s="12"/>
    </row>
    <row r="55" spans="1:8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8" x14ac:dyDescent="0.25">
      <c r="A56" s="27"/>
      <c r="B56" s="29" t="s">
        <v>14</v>
      </c>
      <c r="C56" s="2"/>
      <c r="D56" s="2"/>
      <c r="E56" s="2"/>
      <c r="F56" s="2"/>
      <c r="G56" s="2"/>
      <c r="H56" s="12"/>
    </row>
    <row r="57" spans="1:8" x14ac:dyDescent="0.25">
      <c r="A57" s="31"/>
      <c r="B57" s="30" t="s">
        <v>27</v>
      </c>
      <c r="C57" s="8">
        <f>SUM(C53:C56)</f>
        <v>1904613.3499999999</v>
      </c>
      <c r="D57" s="8">
        <f>SUM(D53:D56)</f>
        <v>454256.26999999996</v>
      </c>
      <c r="E57" s="8">
        <f>SUM(E53:E56)</f>
        <v>528341.10000000009</v>
      </c>
      <c r="F57" s="8">
        <f>SUM(F53:F56)</f>
        <v>1376272.2499999998</v>
      </c>
      <c r="G57" s="8">
        <f>SUM(G53:G56)</f>
        <v>-74084.83000000006</v>
      </c>
      <c r="H57" s="12"/>
    </row>
    <row r="58" spans="1:8" ht="15.75" thickBot="1" x14ac:dyDescent="0.3">
      <c r="A58" s="32"/>
      <c r="B58" s="33"/>
      <c r="C58" s="9"/>
      <c r="D58" s="9"/>
      <c r="E58" s="9"/>
      <c r="F58" s="9"/>
      <c r="G58" s="34"/>
      <c r="H58" s="12"/>
    </row>
    <row r="59" spans="1:8" x14ac:dyDescent="0.25">
      <c r="A59" s="35"/>
      <c r="B59" s="36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6"/>
      <c r="C62" s="10"/>
      <c r="D62" s="10"/>
      <c r="E62" s="10"/>
      <c r="F62" s="10"/>
      <c r="G62" s="10"/>
      <c r="H62" s="12"/>
    </row>
    <row r="63" spans="1:8" x14ac:dyDescent="0.25">
      <c r="A63" s="24" t="s">
        <v>183</v>
      </c>
      <c r="B63" s="36"/>
      <c r="C63" s="10"/>
      <c r="D63" s="10"/>
      <c r="E63" s="10"/>
      <c r="F63" s="10"/>
      <c r="G63" s="10"/>
      <c r="H63" s="12"/>
    </row>
    <row r="64" spans="1:8" x14ac:dyDescent="0.25">
      <c r="A64" s="35"/>
      <c r="B64" s="36"/>
      <c r="C64" s="10"/>
      <c r="D64" s="10"/>
      <c r="E64" s="10"/>
      <c r="F64" s="10"/>
      <c r="G64" s="10"/>
      <c r="H64" s="12"/>
    </row>
    <row r="65" spans="1:8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</row>
    <row r="66" spans="1:8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</row>
    <row r="67" spans="1:8" x14ac:dyDescent="0.25">
      <c r="A67" s="26"/>
      <c r="B67" s="17"/>
      <c r="C67" s="19"/>
      <c r="D67" s="19"/>
      <c r="E67" s="19"/>
      <c r="F67" s="19"/>
      <c r="G67" s="19"/>
      <c r="H67" s="12"/>
    </row>
    <row r="68" spans="1:8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</row>
    <row r="69" spans="1:8" x14ac:dyDescent="0.25">
      <c r="A69" s="27"/>
      <c r="B69" s="29" t="s">
        <v>11</v>
      </c>
      <c r="C69" s="2">
        <v>757496.84</v>
      </c>
      <c r="D69" s="2">
        <f>C69/4</f>
        <v>189374.21</v>
      </c>
      <c r="E69" s="11">
        <f>69303.82+59303.82+59303.82</f>
        <v>187911.46000000002</v>
      </c>
      <c r="F69" s="2">
        <f>C69-E69</f>
        <v>569585.37999999989</v>
      </c>
      <c r="G69" s="2">
        <f>D69-E69</f>
        <v>1462.7499999999709</v>
      </c>
      <c r="H69" s="12"/>
    </row>
    <row r="70" spans="1:8" x14ac:dyDescent="0.25">
      <c r="A70" s="27"/>
      <c r="B70" s="29" t="s">
        <v>12</v>
      </c>
      <c r="C70" s="2">
        <v>112211.77</v>
      </c>
      <c r="D70" s="2">
        <v>20402.14</v>
      </c>
      <c r="E70" s="11">
        <f>26120+2000+13582</f>
        <v>41702</v>
      </c>
      <c r="F70" s="2">
        <f>C70-E70</f>
        <v>70509.77</v>
      </c>
      <c r="G70" s="2">
        <f>D70-E70</f>
        <v>-21299.86</v>
      </c>
      <c r="H70" s="12"/>
    </row>
    <row r="71" spans="1:8" x14ac:dyDescent="0.25">
      <c r="A71" s="27"/>
      <c r="B71" s="29" t="s">
        <v>13</v>
      </c>
      <c r="C71" s="2">
        <v>10000</v>
      </c>
      <c r="D71" s="2"/>
      <c r="E71" s="2"/>
      <c r="F71" s="2">
        <f>C71-E71</f>
        <v>10000</v>
      </c>
      <c r="G71" s="2">
        <f>D71-E71</f>
        <v>0</v>
      </c>
      <c r="H71" s="12"/>
    </row>
    <row r="72" spans="1:8" x14ac:dyDescent="0.25">
      <c r="A72" s="27"/>
      <c r="B72" s="29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30" t="s">
        <v>27</v>
      </c>
      <c r="C73" s="8">
        <f>SUM(C69:C72)</f>
        <v>879708.61</v>
      </c>
      <c r="D73" s="8">
        <f>SUM(D69:D72)</f>
        <v>209776.34999999998</v>
      </c>
      <c r="E73" s="8">
        <f>SUM(E69:E72)</f>
        <v>229613.46000000002</v>
      </c>
      <c r="F73" s="8">
        <f>SUM(F69:F72)</f>
        <v>650095.14999999991</v>
      </c>
      <c r="G73" s="8">
        <f>SUM(G69:G72)</f>
        <v>-19837.11000000003</v>
      </c>
      <c r="H73" s="12"/>
    </row>
    <row r="74" spans="1:8" x14ac:dyDescent="0.25">
      <c r="A74" s="27"/>
      <c r="B74" s="18"/>
      <c r="C74" s="2"/>
      <c r="D74" s="2"/>
      <c r="E74" s="2"/>
      <c r="F74" s="2"/>
      <c r="G74" s="2"/>
      <c r="H74" s="12"/>
    </row>
    <row r="75" spans="1:8" x14ac:dyDescent="0.25">
      <c r="A75" s="27">
        <v>6544</v>
      </c>
      <c r="B75" s="28" t="s">
        <v>21</v>
      </c>
      <c r="C75" s="18"/>
      <c r="D75" s="2"/>
      <c r="E75" s="2"/>
      <c r="F75" s="2"/>
      <c r="G75" s="2"/>
      <c r="H75" s="12"/>
    </row>
    <row r="76" spans="1:8" x14ac:dyDescent="0.25">
      <c r="A76" s="27"/>
      <c r="B76" s="29" t="s">
        <v>11</v>
      </c>
      <c r="C76" s="2">
        <v>1136593.6000000001</v>
      </c>
      <c r="D76" s="2">
        <f>C76/4</f>
        <v>284148.40000000002</v>
      </c>
      <c r="E76" s="11">
        <f>74187.02+64798.86+62953.1</f>
        <v>201938.98</v>
      </c>
      <c r="F76" s="2">
        <f>C76-E76</f>
        <v>934654.62000000011</v>
      </c>
      <c r="G76" s="2">
        <f>D76-E76</f>
        <v>82209.420000000013</v>
      </c>
      <c r="H76" s="12"/>
    </row>
    <row r="77" spans="1:8" x14ac:dyDescent="0.25">
      <c r="A77" s="27"/>
      <c r="B77" s="29" t="s">
        <v>12</v>
      </c>
      <c r="C77" s="2">
        <v>749098.9</v>
      </c>
      <c r="D77" s="2">
        <v>136199.79999999999</v>
      </c>
      <c r="E77" s="11">
        <f>12743.13+98565.61+77242.45</f>
        <v>188551.19</v>
      </c>
      <c r="F77" s="2">
        <f>C77-E77</f>
        <v>560547.71</v>
      </c>
      <c r="G77" s="2">
        <f>D77-E77</f>
        <v>-52351.390000000014</v>
      </c>
      <c r="H77" s="12"/>
    </row>
    <row r="78" spans="1:8" x14ac:dyDescent="0.25">
      <c r="A78" s="27"/>
      <c r="B78" s="29" t="s">
        <v>13</v>
      </c>
      <c r="C78" s="2"/>
      <c r="D78" s="2"/>
      <c r="E78" s="2"/>
      <c r="F78" s="2"/>
      <c r="G78" s="2"/>
      <c r="H78" s="12"/>
    </row>
    <row r="79" spans="1:8" x14ac:dyDescent="0.25">
      <c r="A79" s="27"/>
      <c r="B79" s="29" t="s">
        <v>14</v>
      </c>
      <c r="C79" s="2"/>
      <c r="D79" s="2"/>
      <c r="E79" s="2"/>
      <c r="F79" s="2"/>
      <c r="G79" s="2"/>
      <c r="H79" s="12"/>
    </row>
    <row r="80" spans="1:8" x14ac:dyDescent="0.25">
      <c r="A80" s="27"/>
      <c r="B80" s="30" t="s">
        <v>27</v>
      </c>
      <c r="C80" s="8">
        <f>SUM(C76:C79)</f>
        <v>1885692.5</v>
      </c>
      <c r="D80" s="8">
        <f>SUM(D76:D79)</f>
        <v>420348.2</v>
      </c>
      <c r="E80" s="8">
        <f>SUM(E76:E79)</f>
        <v>390490.17000000004</v>
      </c>
      <c r="F80" s="8">
        <f>SUM(F76:F79)</f>
        <v>1495202.33</v>
      </c>
      <c r="G80" s="8">
        <f>SUM(G76:G79)</f>
        <v>29858.03</v>
      </c>
      <c r="H80" s="12"/>
    </row>
    <row r="81" spans="1:8" x14ac:dyDescent="0.25">
      <c r="A81" s="27"/>
      <c r="B81" s="18"/>
      <c r="C81" s="2"/>
      <c r="D81" s="2"/>
      <c r="E81" s="2"/>
      <c r="F81" s="2"/>
      <c r="G81" s="2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2"/>
      <c r="H82" s="12"/>
    </row>
    <row r="83" spans="1:8" x14ac:dyDescent="0.25">
      <c r="A83" s="27"/>
      <c r="B83" s="29" t="s">
        <v>11</v>
      </c>
      <c r="C83" s="2">
        <v>2920190.6</v>
      </c>
      <c r="D83" s="2">
        <f>C83/4</f>
        <v>730047.65</v>
      </c>
      <c r="E83" s="11">
        <f>245863.58+219063.58+206016.22</f>
        <v>670943.38</v>
      </c>
      <c r="F83" s="2">
        <f>C83-E83</f>
        <v>2249247.2200000002</v>
      </c>
      <c r="G83" s="2">
        <f>D83-E83</f>
        <v>59104.270000000019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v>31799.79</v>
      </c>
      <c r="E84" s="11">
        <f>19489+9134.47+26760</f>
        <v>55383.47</v>
      </c>
      <c r="F84" s="2">
        <f>C84-E84</f>
        <v>119515.38</v>
      </c>
      <c r="G84" s="2">
        <f>D84-E84</f>
        <v>-23583.68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2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2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761847.44000000006</v>
      </c>
      <c r="E87" s="8">
        <f>SUM(E83:E86)</f>
        <v>726326.85</v>
      </c>
      <c r="F87" s="8">
        <f>SUM(F83:F86)</f>
        <v>2368762.6</v>
      </c>
      <c r="G87" s="8">
        <f>SUM(G83:G86)</f>
        <v>35520.590000000018</v>
      </c>
      <c r="H87" s="12"/>
    </row>
    <row r="88" spans="1:8" x14ac:dyDescent="0.25">
      <c r="A88" s="27"/>
      <c r="B88" s="18"/>
      <c r="C88" s="2"/>
      <c r="D88" s="2"/>
      <c r="E88" s="2"/>
      <c r="F88" s="2"/>
      <c r="G88" s="2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2"/>
      <c r="H89" s="12"/>
    </row>
    <row r="90" spans="1:8" x14ac:dyDescent="0.25">
      <c r="A90" s="27"/>
      <c r="B90" s="29" t="s">
        <v>11</v>
      </c>
      <c r="C90" s="2">
        <v>1120789.58</v>
      </c>
      <c r="D90" s="2">
        <f>C90/4</f>
        <v>280197.39500000002</v>
      </c>
      <c r="E90" s="11">
        <f>96696.78+76697.33+77039.49</f>
        <v>250433.59999999998</v>
      </c>
      <c r="F90" s="2">
        <f>C90-E90</f>
        <v>870355.9800000001</v>
      </c>
      <c r="G90" s="2">
        <f>D90-E90</f>
        <v>29763.795000000042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v>34540.21</v>
      </c>
      <c r="E91" s="11">
        <f>7000+18874+17100.5</f>
        <v>42974.5</v>
      </c>
      <c r="F91" s="2">
        <f>C91-E91</f>
        <v>146996.65</v>
      </c>
      <c r="G91" s="2">
        <f>D91-E91</f>
        <v>-8434.2900000000009</v>
      </c>
      <c r="H91" s="12"/>
    </row>
    <row r="92" spans="1:8" x14ac:dyDescent="0.25">
      <c r="A92" s="27"/>
      <c r="B92" s="29" t="s">
        <v>13</v>
      </c>
      <c r="C92" s="2">
        <v>25000</v>
      </c>
      <c r="D92" s="2"/>
      <c r="E92" s="2"/>
      <c r="F92" s="2"/>
      <c r="G92" s="2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2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314737.60500000004</v>
      </c>
      <c r="E94" s="8">
        <f>SUM(E90:E93)</f>
        <v>293408.09999999998</v>
      </c>
      <c r="F94" s="8">
        <f>SUM(F90:F93)</f>
        <v>1017352.6300000001</v>
      </c>
      <c r="G94" s="8">
        <f>SUM(G90:G93)</f>
        <v>21329.505000000041</v>
      </c>
      <c r="H94" s="12"/>
    </row>
    <row r="95" spans="1:8" x14ac:dyDescent="0.25">
      <c r="A95" s="27"/>
      <c r="B95" s="18"/>
      <c r="C95" s="2"/>
      <c r="D95" s="2"/>
      <c r="E95" s="2"/>
      <c r="F95" s="2"/>
      <c r="G95" s="2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2"/>
      <c r="H96" s="12"/>
    </row>
    <row r="97" spans="1:8" x14ac:dyDescent="0.25">
      <c r="A97" s="27"/>
      <c r="B97" s="29" t="s">
        <v>11</v>
      </c>
      <c r="C97" s="2">
        <v>860982.08</v>
      </c>
      <c r="D97" s="2">
        <f>C97/4</f>
        <v>215245.52</v>
      </c>
      <c r="E97" s="11">
        <f>79099.84+64099.84+64099.84</f>
        <v>207299.52</v>
      </c>
      <c r="F97" s="2">
        <f>C97-E97</f>
        <v>653682.55999999994</v>
      </c>
      <c r="G97" s="2">
        <f>D97-E97</f>
        <v>7946</v>
      </c>
      <c r="H97" s="12"/>
    </row>
    <row r="98" spans="1:8" x14ac:dyDescent="0.25">
      <c r="A98" s="27"/>
      <c r="B98" s="29" t="s">
        <v>12</v>
      </c>
      <c r="C98" s="2">
        <v>87772.800000000003</v>
      </c>
      <c r="D98" s="2">
        <v>15958.69</v>
      </c>
      <c r="E98" s="11">
        <f>2295+9903.47</f>
        <v>12198.47</v>
      </c>
      <c r="F98" s="2">
        <f>C98-E98</f>
        <v>75574.33</v>
      </c>
      <c r="G98" s="2">
        <f>D98-E98</f>
        <v>3760.2200000000012</v>
      </c>
      <c r="H98" s="12"/>
    </row>
    <row r="99" spans="1:8" x14ac:dyDescent="0.25">
      <c r="A99" s="27"/>
      <c r="B99" s="29" t="s">
        <v>13</v>
      </c>
      <c r="C99" s="2"/>
      <c r="D99" s="2"/>
      <c r="E99" s="2"/>
      <c r="F99" s="2"/>
      <c r="G99" s="2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7"/>
      <c r="B101" s="30" t="s">
        <v>27</v>
      </c>
      <c r="C101" s="8">
        <f>SUM(C97:C100)</f>
        <v>948754.88</v>
      </c>
      <c r="D101" s="8">
        <f>SUM(D97:D100)</f>
        <v>231204.21</v>
      </c>
      <c r="E101" s="8">
        <f>SUM(E97:E100)</f>
        <v>219497.99</v>
      </c>
      <c r="F101" s="8">
        <f>SUM(F97:F100)</f>
        <v>729256.8899999999</v>
      </c>
      <c r="G101" s="8">
        <f>SUM(G97:G100)</f>
        <v>11706.220000000001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2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7"/>
      <c r="B104" s="29" t="s">
        <v>11</v>
      </c>
      <c r="C104" s="2">
        <v>1008030.66</v>
      </c>
      <c r="D104" s="2">
        <f>C104/4</f>
        <v>252007.66500000001</v>
      </c>
      <c r="E104" s="11">
        <f>90740.06+75740.06+75740.06</f>
        <v>242220.18</v>
      </c>
      <c r="F104" s="2">
        <f>C104-E104</f>
        <v>765810.48</v>
      </c>
      <c r="G104" s="2">
        <f>D104-E104</f>
        <v>9787.4850000000151</v>
      </c>
      <c r="H104" s="12"/>
    </row>
    <row r="105" spans="1:8" x14ac:dyDescent="0.25">
      <c r="A105" s="27"/>
      <c r="B105" s="29" t="s">
        <v>12</v>
      </c>
      <c r="C105" s="2">
        <v>61275.5</v>
      </c>
      <c r="D105" s="2"/>
      <c r="E105" s="11">
        <f>716+19798</f>
        <v>20514</v>
      </c>
      <c r="F105" s="2">
        <f>C105-E105</f>
        <v>40761.5</v>
      </c>
      <c r="G105" s="2">
        <f>D105-E105</f>
        <v>-20514</v>
      </c>
      <c r="H105" s="12"/>
    </row>
    <row r="106" spans="1:8" x14ac:dyDescent="0.25">
      <c r="A106" s="27"/>
      <c r="B106" s="29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252007.66500000001</v>
      </c>
      <c r="E108" s="8">
        <f>SUM(E104:E107)</f>
        <v>262734.18</v>
      </c>
      <c r="F108" s="8">
        <f>SUM(F104:F107)</f>
        <v>806571.98</v>
      </c>
      <c r="G108" s="8">
        <f>SUM(G104:G107)</f>
        <v>-10726.514999999985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2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7"/>
      <c r="B112" s="29" t="s">
        <v>12</v>
      </c>
      <c r="C112" s="2">
        <v>66400</v>
      </c>
      <c r="D112" s="2">
        <v>10423.799999999999</v>
      </c>
      <c r="E112" s="2"/>
      <c r="F112" s="2">
        <f>C112-E112</f>
        <v>66400</v>
      </c>
      <c r="G112" s="2">
        <f>D112-E112</f>
        <v>10423.799999999999</v>
      </c>
      <c r="H112" s="12"/>
    </row>
    <row r="113" spans="1:8" x14ac:dyDescent="0.25">
      <c r="A113" s="27"/>
      <c r="B113" s="29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31"/>
      <c r="B115" s="30" t="s">
        <v>27</v>
      </c>
      <c r="C115" s="8">
        <f>SUM(C111:C114)</f>
        <v>66400</v>
      </c>
      <c r="D115" s="8">
        <f>SUM(D111:D114)</f>
        <v>10423.799999999999</v>
      </c>
      <c r="E115" s="8">
        <f>SUM(E111:E114)</f>
        <v>0</v>
      </c>
      <c r="F115" s="8">
        <f>SUM(F111:F114)</f>
        <v>66400</v>
      </c>
      <c r="G115" s="8">
        <f>SUM(G111:G114)</f>
        <v>10423.799999999999</v>
      </c>
      <c r="H115" s="12"/>
    </row>
    <row r="116" spans="1:8" ht="15.75" thickBot="1" x14ac:dyDescent="0.3">
      <c r="A116" s="37"/>
      <c r="B116" s="38"/>
      <c r="C116" s="9"/>
      <c r="D116" s="9"/>
      <c r="E116" s="9"/>
      <c r="F116" s="9"/>
      <c r="G116" s="34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E15+E22+E29+E36+E43+E50+E57+E73+E80+E87+E94+E101+E108+E115+E174+E175</f>
        <v>6742609.8499999987</v>
      </c>
      <c r="F118" s="12"/>
      <c r="G118" s="12"/>
      <c r="H118" s="12"/>
    </row>
    <row r="119" spans="1:8" x14ac:dyDescent="0.25">
      <c r="C119" s="12"/>
      <c r="D119" s="12"/>
      <c r="E119" s="12">
        <f>E12+E19+E26+E33+E40+E47+E54+E70+E77+E84+E91+E98+E105</f>
        <v>1141821.8899999999</v>
      </c>
      <c r="F119" s="12"/>
      <c r="G119" s="12"/>
      <c r="H119" s="12"/>
    </row>
    <row r="120" spans="1:8" x14ac:dyDescent="0.25">
      <c r="A120" s="13" t="s">
        <v>0</v>
      </c>
      <c r="B120" s="36"/>
      <c r="C120" s="10"/>
      <c r="D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183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88" t="s">
        <v>3</v>
      </c>
      <c r="B125" s="88" t="s">
        <v>4</v>
      </c>
      <c r="C125" s="88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89"/>
      <c r="B126" s="89"/>
      <c r="C126" s="89"/>
      <c r="D126" s="89"/>
      <c r="E126" s="89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35000</v>
      </c>
      <c r="D128" s="2"/>
      <c r="E128" s="2"/>
      <c r="F128" s="2">
        <f t="shared" ref="F128:F157" si="2">C128-E128</f>
        <v>35000</v>
      </c>
      <c r="G128" s="2">
        <f t="shared" ref="G128:G158" si="3">D128-E128</f>
        <v>0</v>
      </c>
      <c r="H128" s="12"/>
    </row>
    <row r="129" spans="1:10" x14ac:dyDescent="0.25">
      <c r="A129" s="18"/>
      <c r="B129" s="18" t="s">
        <v>32</v>
      </c>
      <c r="C129" s="2">
        <v>250000</v>
      </c>
      <c r="D129" s="2"/>
      <c r="E129" s="2">
        <f>30000+1000+585</f>
        <v>31585</v>
      </c>
      <c r="F129" s="2"/>
      <c r="G129" s="2"/>
      <c r="H129" s="12"/>
    </row>
    <row r="130" spans="1:10" x14ac:dyDescent="0.25">
      <c r="A130" s="18"/>
      <c r="B130" s="18" t="s">
        <v>35</v>
      </c>
      <c r="C130" s="2">
        <v>430000</v>
      </c>
      <c r="D130" s="2"/>
      <c r="E130" s="2">
        <v>179874</v>
      </c>
      <c r="F130" s="2"/>
      <c r="G130" s="2"/>
      <c r="H130" s="12"/>
    </row>
    <row r="131" spans="1:10" x14ac:dyDescent="0.25">
      <c r="A131" s="18"/>
      <c r="B131" s="18" t="s">
        <v>96</v>
      </c>
      <c r="C131" s="2">
        <v>200000</v>
      </c>
      <c r="D131" s="2"/>
      <c r="E131" s="2"/>
      <c r="F131" s="2"/>
      <c r="G131" s="2"/>
      <c r="H131" s="12"/>
    </row>
    <row r="132" spans="1:10" x14ac:dyDescent="0.25">
      <c r="A132" s="18"/>
      <c r="B132" s="18" t="s">
        <v>100</v>
      </c>
      <c r="C132" s="2">
        <v>300000</v>
      </c>
      <c r="D132" s="2"/>
      <c r="E132" s="2"/>
      <c r="F132" s="2"/>
      <c r="G132" s="2"/>
      <c r="H132" s="12"/>
    </row>
    <row r="133" spans="1:10" x14ac:dyDescent="0.25">
      <c r="A133" s="18"/>
      <c r="B133" s="18" t="s">
        <v>181</v>
      </c>
      <c r="C133" s="2">
        <v>180000</v>
      </c>
      <c r="D133" s="2"/>
      <c r="E133" s="2"/>
      <c r="F133" s="2"/>
      <c r="G133" s="2"/>
      <c r="H133" s="12"/>
    </row>
    <row r="134" spans="1:10" x14ac:dyDescent="0.25">
      <c r="A134" s="18"/>
      <c r="B134" s="18" t="s">
        <v>31</v>
      </c>
      <c r="C134" s="2"/>
      <c r="D134" s="2"/>
      <c r="E134" s="2"/>
      <c r="F134" s="2"/>
      <c r="G134" s="2"/>
      <c r="H134" s="12"/>
      <c r="I134" s="13">
        <f>230*22</f>
        <v>5060</v>
      </c>
    </row>
    <row r="135" spans="1:10" x14ac:dyDescent="0.25">
      <c r="A135" s="18"/>
      <c r="B135" s="55" t="s">
        <v>146</v>
      </c>
      <c r="C135" s="2">
        <v>300000</v>
      </c>
      <c r="D135" s="2"/>
      <c r="E135" s="2"/>
      <c r="F135" s="2"/>
      <c r="G135" s="2"/>
      <c r="H135" s="12"/>
      <c r="I135" s="13">
        <f>I134*12</f>
        <v>60720</v>
      </c>
    </row>
    <row r="136" spans="1:10" x14ac:dyDescent="0.25">
      <c r="A136" s="18"/>
      <c r="B136" s="55" t="s">
        <v>147</v>
      </c>
      <c r="C136" s="2">
        <v>400000</v>
      </c>
      <c r="D136" s="2"/>
      <c r="E136" s="2"/>
      <c r="F136" s="2"/>
      <c r="G136" s="2"/>
      <c r="H136" s="12"/>
    </row>
    <row r="137" spans="1:10" x14ac:dyDescent="0.25">
      <c r="A137" s="18"/>
      <c r="B137" s="55" t="s">
        <v>148</v>
      </c>
      <c r="C137" s="2">
        <v>200000</v>
      </c>
      <c r="D137" s="2"/>
      <c r="E137" s="2"/>
      <c r="F137" s="2"/>
      <c r="G137" s="2"/>
      <c r="H137" s="12"/>
      <c r="I137" s="12">
        <v>32882308.219999999</v>
      </c>
    </row>
    <row r="138" spans="1:10" x14ac:dyDescent="0.25">
      <c r="A138" s="18"/>
      <c r="B138" s="55" t="s">
        <v>149</v>
      </c>
      <c r="C138" s="2">
        <v>100000</v>
      </c>
      <c r="D138" s="2"/>
      <c r="E138" s="2"/>
      <c r="F138" s="2">
        <f t="shared" si="2"/>
        <v>100000</v>
      </c>
      <c r="G138" s="2">
        <f t="shared" si="3"/>
        <v>0</v>
      </c>
      <c r="H138" s="12"/>
      <c r="I138" s="12">
        <v>17921</v>
      </c>
    </row>
    <row r="139" spans="1:10" x14ac:dyDescent="0.25">
      <c r="A139" s="18"/>
      <c r="B139" s="18" t="s">
        <v>151</v>
      </c>
      <c r="C139" s="2">
        <v>125000</v>
      </c>
      <c r="D139" s="2"/>
      <c r="E139" s="2"/>
      <c r="F139" s="2">
        <f t="shared" si="2"/>
        <v>125000</v>
      </c>
      <c r="G139" s="2">
        <f t="shared" si="3"/>
        <v>0</v>
      </c>
      <c r="H139" s="12"/>
      <c r="I139" s="13">
        <f>I137/I138</f>
        <v>1834.8478444283242</v>
      </c>
      <c r="J139" s="12"/>
    </row>
    <row r="140" spans="1:10" x14ac:dyDescent="0.25">
      <c r="A140" s="18"/>
      <c r="B140" s="27" t="s">
        <v>150</v>
      </c>
      <c r="C140" s="2">
        <v>20000</v>
      </c>
      <c r="D140" s="2"/>
      <c r="E140" s="2"/>
      <c r="F140" s="2">
        <f>C129-E140</f>
        <v>250000</v>
      </c>
      <c r="G140" s="2">
        <f t="shared" si="3"/>
        <v>0</v>
      </c>
      <c r="H140" s="12"/>
      <c r="I140" s="12">
        <v>22067089.800000001</v>
      </c>
      <c r="J140" s="12">
        <v>857870</v>
      </c>
    </row>
    <row r="141" spans="1:10" x14ac:dyDescent="0.25">
      <c r="A141" s="18"/>
      <c r="B141" s="18" t="s">
        <v>98</v>
      </c>
      <c r="C141" s="2">
        <v>80000</v>
      </c>
      <c r="D141" s="2"/>
      <c r="E141" s="2"/>
      <c r="F141" s="2"/>
      <c r="G141" s="2"/>
      <c r="H141" s="12"/>
      <c r="I141" s="13">
        <f>I140/I137</f>
        <v>0.67109308909701604</v>
      </c>
      <c r="J141" s="12"/>
    </row>
    <row r="142" spans="1:10" x14ac:dyDescent="0.25">
      <c r="A142" s="18"/>
      <c r="B142" s="18" t="s">
        <v>94</v>
      </c>
      <c r="C142" s="2">
        <v>75000</v>
      </c>
      <c r="D142" s="2"/>
      <c r="E142" s="2">
        <v>2000</v>
      </c>
      <c r="F142" s="2">
        <f t="shared" si="2"/>
        <v>73000</v>
      </c>
      <c r="G142" s="2">
        <f t="shared" si="3"/>
        <v>-2000</v>
      </c>
      <c r="H142" s="12"/>
      <c r="J142" s="12"/>
    </row>
    <row r="143" spans="1:10" x14ac:dyDescent="0.25">
      <c r="A143" s="18"/>
      <c r="B143" s="18" t="s">
        <v>179</v>
      </c>
      <c r="C143" s="2">
        <v>75000</v>
      </c>
      <c r="D143" s="2"/>
      <c r="E143" s="2"/>
      <c r="F143" s="2"/>
      <c r="G143" s="2"/>
      <c r="H143" s="12"/>
      <c r="J143" s="12"/>
    </row>
    <row r="144" spans="1:10" x14ac:dyDescent="0.25">
      <c r="A144" s="18"/>
      <c r="B144" s="18" t="s">
        <v>110</v>
      </c>
      <c r="C144" s="2">
        <v>1200000</v>
      </c>
      <c r="D144" s="2"/>
      <c r="E144" s="2">
        <f>91110+212475+266572.5</f>
        <v>570157.5</v>
      </c>
      <c r="F144" s="2">
        <f t="shared" si="2"/>
        <v>629842.5</v>
      </c>
      <c r="G144" s="2">
        <f t="shared" si="3"/>
        <v>-570157.5</v>
      </c>
      <c r="H144" s="12"/>
      <c r="J144" s="12"/>
    </row>
    <row r="145" spans="1:10" x14ac:dyDescent="0.25">
      <c r="A145" s="18"/>
      <c r="B145" s="18" t="s">
        <v>49</v>
      </c>
      <c r="C145" s="2">
        <v>100000</v>
      </c>
      <c r="D145" s="2"/>
      <c r="E145" s="2">
        <v>100000</v>
      </c>
      <c r="F145" s="2">
        <f t="shared" si="2"/>
        <v>0</v>
      </c>
      <c r="G145" s="2">
        <f t="shared" si="3"/>
        <v>-100000</v>
      </c>
      <c r="H145" s="12"/>
      <c r="J145" s="12">
        <f>J140*55%</f>
        <v>471828.50000000006</v>
      </c>
    </row>
    <row r="146" spans="1:10" x14ac:dyDescent="0.25">
      <c r="A146" s="18"/>
      <c r="B146" s="18" t="s">
        <v>33</v>
      </c>
      <c r="C146" s="2">
        <v>150000</v>
      </c>
      <c r="D146" s="2"/>
      <c r="E146" s="2"/>
      <c r="F146" s="2"/>
      <c r="G146" s="2"/>
      <c r="H146" s="12"/>
      <c r="J146" s="12"/>
    </row>
    <row r="147" spans="1:10" x14ac:dyDescent="0.25">
      <c r="A147" s="18"/>
      <c r="B147" s="18" t="s">
        <v>152</v>
      </c>
      <c r="C147" s="2">
        <v>70000</v>
      </c>
      <c r="D147" s="2"/>
      <c r="E147" s="2"/>
      <c r="F147" s="2"/>
      <c r="G147" s="2"/>
      <c r="H147" s="12"/>
      <c r="J147" s="12"/>
    </row>
    <row r="148" spans="1:10" x14ac:dyDescent="0.25">
      <c r="A148" s="18"/>
      <c r="B148" s="18" t="s">
        <v>42</v>
      </c>
      <c r="C148" s="2">
        <v>800000</v>
      </c>
      <c r="D148" s="2"/>
      <c r="E148" s="2"/>
      <c r="F148" s="2"/>
      <c r="G148" s="2"/>
      <c r="H148" s="12"/>
      <c r="J148" s="12"/>
    </row>
    <row r="149" spans="1:10" x14ac:dyDescent="0.25">
      <c r="A149" s="18"/>
      <c r="B149" s="18" t="s">
        <v>43</v>
      </c>
      <c r="C149" s="2">
        <v>20000</v>
      </c>
      <c r="D149" s="2"/>
      <c r="E149" s="2"/>
      <c r="F149" s="2"/>
      <c r="G149" s="2"/>
      <c r="H149" s="12"/>
      <c r="J149" s="12"/>
    </row>
    <row r="150" spans="1:10" x14ac:dyDescent="0.25">
      <c r="A150" s="18"/>
      <c r="B150" s="18" t="s">
        <v>153</v>
      </c>
      <c r="C150" s="2">
        <v>15000</v>
      </c>
      <c r="D150" s="2"/>
      <c r="E150" s="2">
        <v>48800</v>
      </c>
      <c r="F150" s="2">
        <f t="shared" si="2"/>
        <v>-33800</v>
      </c>
      <c r="G150" s="2">
        <f t="shared" si="3"/>
        <v>-48800</v>
      </c>
      <c r="J150" s="12"/>
    </row>
    <row r="151" spans="1:10" x14ac:dyDescent="0.25">
      <c r="A151" s="18"/>
      <c r="B151" s="18" t="s">
        <v>154</v>
      </c>
      <c r="C151" s="2">
        <v>750000</v>
      </c>
      <c r="D151" s="2"/>
      <c r="E151" s="2"/>
      <c r="F151" s="2">
        <f t="shared" si="2"/>
        <v>750000</v>
      </c>
      <c r="G151" s="2"/>
      <c r="J151" s="12"/>
    </row>
    <row r="152" spans="1:10" x14ac:dyDescent="0.25">
      <c r="A152" s="18"/>
      <c r="B152" s="18" t="s">
        <v>102</v>
      </c>
      <c r="C152" s="2">
        <v>50000</v>
      </c>
      <c r="D152" s="2"/>
      <c r="E152" s="2"/>
      <c r="F152" s="2">
        <f t="shared" si="2"/>
        <v>50000</v>
      </c>
      <c r="G152" s="2">
        <f t="shared" si="3"/>
        <v>0</v>
      </c>
      <c r="J152" s="12"/>
    </row>
    <row r="153" spans="1:10" x14ac:dyDescent="0.25">
      <c r="A153" s="18"/>
      <c r="B153" s="18" t="s">
        <v>51</v>
      </c>
      <c r="C153" s="2">
        <v>200000</v>
      </c>
      <c r="D153" s="2"/>
      <c r="E153" s="2">
        <f>1200+3225</f>
        <v>4425</v>
      </c>
      <c r="F153" s="2">
        <f t="shared" si="2"/>
        <v>195575</v>
      </c>
      <c r="G153" s="2">
        <f t="shared" si="3"/>
        <v>-4425</v>
      </c>
      <c r="J153" s="12"/>
    </row>
    <row r="154" spans="1:10" x14ac:dyDescent="0.25">
      <c r="A154" s="18"/>
      <c r="B154" s="18" t="s">
        <v>52</v>
      </c>
      <c r="C154" s="2">
        <v>40247.599999999999</v>
      </c>
      <c r="D154" s="2"/>
      <c r="E154" s="2"/>
      <c r="F154" s="2">
        <f t="shared" si="2"/>
        <v>40247.599999999999</v>
      </c>
      <c r="G154" s="2">
        <f t="shared" si="3"/>
        <v>0</v>
      </c>
    </row>
    <row r="155" spans="1:10" x14ac:dyDescent="0.25">
      <c r="A155" s="18"/>
      <c r="B155" s="18" t="s">
        <v>155</v>
      </c>
      <c r="C155" s="2">
        <v>400000</v>
      </c>
      <c r="D155" s="2"/>
      <c r="E155" s="2"/>
      <c r="F155" s="2">
        <f t="shared" si="2"/>
        <v>400000</v>
      </c>
      <c r="G155" s="2">
        <f t="shared" si="3"/>
        <v>0</v>
      </c>
    </row>
    <row r="156" spans="1:10" x14ac:dyDescent="0.25">
      <c r="A156" s="18"/>
      <c r="B156" s="18" t="s">
        <v>180</v>
      </c>
      <c r="C156" s="2">
        <v>700000</v>
      </c>
      <c r="D156" s="2"/>
      <c r="E156" s="2"/>
      <c r="F156" s="2">
        <f t="shared" si="2"/>
        <v>700000</v>
      </c>
      <c r="G156" s="2"/>
    </row>
    <row r="157" spans="1:10" x14ac:dyDescent="0.25">
      <c r="A157" s="18"/>
      <c r="B157" s="18" t="s">
        <v>104</v>
      </c>
      <c r="C157" s="2">
        <v>700000</v>
      </c>
      <c r="D157" s="2"/>
      <c r="E157" s="2">
        <v>194101</v>
      </c>
      <c r="F157" s="2">
        <f t="shared" si="2"/>
        <v>505899</v>
      </c>
      <c r="G157" s="2">
        <f t="shared" si="3"/>
        <v>-194101</v>
      </c>
    </row>
    <row r="158" spans="1:10" x14ac:dyDescent="0.25">
      <c r="A158" s="39"/>
      <c r="B158" s="39"/>
      <c r="C158" s="6"/>
      <c r="D158" s="6"/>
      <c r="E158" s="6"/>
      <c r="F158" s="2"/>
      <c r="G158" s="2">
        <f t="shared" si="3"/>
        <v>0</v>
      </c>
    </row>
    <row r="159" spans="1:10" x14ac:dyDescent="0.25">
      <c r="A159" s="40"/>
      <c r="B159" s="30" t="s">
        <v>27</v>
      </c>
      <c r="C159" s="8">
        <f>SUM(C128:C158)</f>
        <v>7965247.5999999996</v>
      </c>
      <c r="D159" s="8">
        <f>SUM(D128:D158)</f>
        <v>0</v>
      </c>
      <c r="E159" s="8">
        <f>SUM(E128:E158)</f>
        <v>1130942.5</v>
      </c>
      <c r="F159" s="8">
        <f>SUM(F128:F158)</f>
        <v>3820764.1</v>
      </c>
      <c r="G159" s="8">
        <f>SUM(G128:G158)</f>
        <v>-919483.5</v>
      </c>
    </row>
    <row r="160" spans="1:10" x14ac:dyDescent="0.25">
      <c r="C160" s="7"/>
    </row>
    <row r="161" spans="1:9" x14ac:dyDescent="0.25">
      <c r="C161" s="14"/>
    </row>
    <row r="162" spans="1:9" x14ac:dyDescent="0.25">
      <c r="C162" s="14"/>
    </row>
    <row r="164" spans="1:9" x14ac:dyDescent="0.25">
      <c r="A164" s="13" t="s">
        <v>0</v>
      </c>
      <c r="B164" s="36"/>
      <c r="C164" s="10"/>
      <c r="D164" s="10"/>
      <c r="E164" s="10" t="e">
        <f>'[2]2013'!#REF!-E163</f>
        <v>#REF!</v>
      </c>
      <c r="F164" s="10"/>
      <c r="G164" s="10"/>
    </row>
    <row r="165" spans="1:9" x14ac:dyDescent="0.25">
      <c r="A165" s="13" t="s">
        <v>1</v>
      </c>
      <c r="B165" s="36"/>
      <c r="C165" s="10"/>
      <c r="D165" s="10"/>
      <c r="E165" s="10"/>
      <c r="F165" s="10"/>
      <c r="G165" s="10"/>
    </row>
    <row r="166" spans="1:9" x14ac:dyDescent="0.25">
      <c r="A166" s="13" t="s">
        <v>2</v>
      </c>
      <c r="B166" s="36"/>
      <c r="C166" s="10"/>
      <c r="D166" s="10"/>
      <c r="E166" s="10"/>
      <c r="F166" s="10"/>
      <c r="G166" s="10"/>
    </row>
    <row r="167" spans="1:9" x14ac:dyDescent="0.25">
      <c r="A167" s="24" t="s">
        <v>183</v>
      </c>
      <c r="B167" s="36"/>
      <c r="C167" s="10"/>
      <c r="D167" s="10"/>
      <c r="E167" s="10"/>
      <c r="F167" s="10"/>
      <c r="G167" s="10"/>
    </row>
    <row r="168" spans="1:9" x14ac:dyDescent="0.25">
      <c r="A168" s="35"/>
      <c r="B168" s="36"/>
      <c r="C168" s="10"/>
      <c r="D168" s="10"/>
      <c r="E168" s="10"/>
      <c r="F168" s="10"/>
      <c r="G168" s="10"/>
    </row>
    <row r="169" spans="1:9" x14ac:dyDescent="0.25">
      <c r="A169" s="88" t="s">
        <v>3</v>
      </c>
      <c r="B169" s="88" t="s">
        <v>4</v>
      </c>
      <c r="C169" s="88" t="s">
        <v>5</v>
      </c>
      <c r="D169" s="88" t="s">
        <v>6</v>
      </c>
      <c r="E169" s="88" t="s">
        <v>7</v>
      </c>
      <c r="F169" s="15" t="s">
        <v>8</v>
      </c>
      <c r="G169" s="15" t="s">
        <v>8</v>
      </c>
    </row>
    <row r="170" spans="1:9" x14ac:dyDescent="0.25">
      <c r="A170" s="89"/>
      <c r="B170" s="89"/>
      <c r="C170" s="89"/>
      <c r="D170" s="89"/>
      <c r="E170" s="89"/>
      <c r="F170" s="16" t="s">
        <v>5</v>
      </c>
      <c r="G170" s="16" t="s">
        <v>6</v>
      </c>
    </row>
    <row r="171" spans="1:9" x14ac:dyDescent="0.25">
      <c r="A171" s="17"/>
      <c r="B171" s="17"/>
      <c r="C171" s="17"/>
      <c r="D171" s="17"/>
      <c r="E171" s="17"/>
      <c r="F171" s="17"/>
      <c r="G171" s="17"/>
    </row>
    <row r="172" spans="1:9" x14ac:dyDescent="0.25">
      <c r="A172" s="18"/>
      <c r="B172" s="28" t="s">
        <v>53</v>
      </c>
      <c r="C172" s="18"/>
      <c r="D172" s="18"/>
      <c r="E172" s="18"/>
      <c r="F172" s="18"/>
      <c r="G172" s="18"/>
    </row>
    <row r="173" spans="1:9" x14ac:dyDescent="0.25">
      <c r="A173" s="18"/>
      <c r="B173" s="29" t="s">
        <v>11</v>
      </c>
      <c r="C173" s="2"/>
      <c r="D173" s="2"/>
      <c r="E173" s="2"/>
      <c r="F173" s="2"/>
      <c r="G173" s="2"/>
    </row>
    <row r="174" spans="1:9" x14ac:dyDescent="0.25">
      <c r="A174" s="18"/>
      <c r="B174" s="4" t="s">
        <v>58</v>
      </c>
      <c r="C174" s="2">
        <v>320000</v>
      </c>
      <c r="D174" s="2">
        <v>150000</v>
      </c>
      <c r="E174" s="11">
        <f>165164.16+100909.81</f>
        <v>266073.96999999997</v>
      </c>
      <c r="F174" s="2">
        <f t="shared" ref="F174:F188" si="4">C174-E174</f>
        <v>53926.030000000028</v>
      </c>
      <c r="G174" s="2">
        <f t="shared" ref="G174:G188" si="5">D174-E174</f>
        <v>-116073.96999999997</v>
      </c>
    </row>
    <row r="175" spans="1:9" x14ac:dyDescent="0.25">
      <c r="A175" s="18"/>
      <c r="B175" s="4" t="s">
        <v>59</v>
      </c>
      <c r="C175" s="2">
        <v>1060000</v>
      </c>
      <c r="D175" s="2">
        <f>95000*3</f>
        <v>285000</v>
      </c>
      <c r="E175" s="11">
        <f>126000+126000+126000</f>
        <v>378000</v>
      </c>
      <c r="F175" s="2">
        <f t="shared" si="4"/>
        <v>682000</v>
      </c>
      <c r="G175" s="2">
        <f t="shared" si="5"/>
        <v>-93000</v>
      </c>
      <c r="I175" s="14">
        <f>E175*12</f>
        <v>4536000</v>
      </c>
    </row>
    <row r="176" spans="1:9" x14ac:dyDescent="0.25">
      <c r="A176" s="18"/>
      <c r="B176" s="29" t="s">
        <v>12</v>
      </c>
      <c r="C176" s="2"/>
      <c r="D176" s="2"/>
      <c r="E176" s="2"/>
      <c r="F176" s="2">
        <f t="shared" si="4"/>
        <v>0</v>
      </c>
      <c r="G176" s="2">
        <f t="shared" si="5"/>
        <v>0</v>
      </c>
    </row>
    <row r="177" spans="1:9" x14ac:dyDescent="0.25">
      <c r="A177" s="18"/>
      <c r="B177" s="4" t="s">
        <v>54</v>
      </c>
      <c r="C177" s="2">
        <v>2176195.09</v>
      </c>
      <c r="D177" s="2">
        <v>404890.34</v>
      </c>
      <c r="E177" s="11">
        <f>1467.69+114748.42+471913.92</f>
        <v>588130.03</v>
      </c>
      <c r="F177" s="2">
        <f t="shared" si="4"/>
        <v>1588065.0599999998</v>
      </c>
      <c r="G177" s="2">
        <f t="shared" si="5"/>
        <v>-183239.69</v>
      </c>
      <c r="I177" s="14">
        <f>C177/4</f>
        <v>544048.77249999996</v>
      </c>
    </row>
    <row r="178" spans="1:9" x14ac:dyDescent="0.25">
      <c r="A178" s="18"/>
      <c r="B178" s="4" t="s">
        <v>55</v>
      </c>
      <c r="C178" s="2">
        <v>15000</v>
      </c>
      <c r="D178" s="2"/>
      <c r="E178" s="2"/>
      <c r="F178" s="2">
        <f t="shared" si="4"/>
        <v>15000</v>
      </c>
      <c r="G178" s="2">
        <f t="shared" si="5"/>
        <v>0</v>
      </c>
    </row>
    <row r="179" spans="1:9" x14ac:dyDescent="0.25">
      <c r="A179" s="18"/>
      <c r="B179" s="4" t="s">
        <v>56</v>
      </c>
      <c r="C179" s="2">
        <v>20000</v>
      </c>
      <c r="D179" s="2"/>
      <c r="E179" s="11">
        <v>5000</v>
      </c>
      <c r="F179" s="2">
        <f t="shared" si="4"/>
        <v>15000</v>
      </c>
      <c r="G179" s="2">
        <f t="shared" si="5"/>
        <v>-5000</v>
      </c>
    </row>
    <row r="180" spans="1:9" x14ac:dyDescent="0.25">
      <c r="A180" s="18"/>
      <c r="B180" s="4" t="s">
        <v>175</v>
      </c>
      <c r="C180" s="2">
        <v>2176195.09</v>
      </c>
      <c r="D180" s="2"/>
      <c r="E180" s="11">
        <f>9787+17000+555123.93</f>
        <v>581910.93000000005</v>
      </c>
      <c r="F180" s="2">
        <f t="shared" si="4"/>
        <v>1594284.1599999997</v>
      </c>
      <c r="G180" s="2">
        <f t="shared" si="5"/>
        <v>-581910.93000000005</v>
      </c>
    </row>
    <row r="181" spans="1:9" x14ac:dyDescent="0.25">
      <c r="A181" s="18"/>
      <c r="B181" s="4" t="s">
        <v>176</v>
      </c>
      <c r="C181" s="2">
        <v>435239.01</v>
      </c>
      <c r="D181" s="2"/>
      <c r="E181" s="11">
        <f>8000+20000+8000</f>
        <v>36000</v>
      </c>
      <c r="F181" s="2"/>
      <c r="G181" s="2"/>
    </row>
    <row r="182" spans="1:9" x14ac:dyDescent="0.25">
      <c r="A182" s="18"/>
      <c r="B182" s="58" t="s">
        <v>177</v>
      </c>
      <c r="C182" s="2">
        <v>363262.38</v>
      </c>
      <c r="D182" s="2"/>
      <c r="E182" s="2"/>
      <c r="F182" s="2">
        <f t="shared" si="4"/>
        <v>363262.38</v>
      </c>
      <c r="G182" s="2">
        <f t="shared" si="5"/>
        <v>0</v>
      </c>
    </row>
    <row r="183" spans="1:9" x14ac:dyDescent="0.25">
      <c r="A183" s="18"/>
      <c r="B183" s="4" t="s">
        <v>178</v>
      </c>
      <c r="C183" s="2">
        <v>100172.48</v>
      </c>
      <c r="D183" s="2"/>
      <c r="E183" s="2"/>
      <c r="F183" s="2">
        <f t="shared" si="4"/>
        <v>100172.48</v>
      </c>
      <c r="G183" s="2">
        <f t="shared" si="5"/>
        <v>0</v>
      </c>
    </row>
    <row r="184" spans="1:9" x14ac:dyDescent="0.25">
      <c r="A184" s="18"/>
      <c r="B184" s="4" t="s">
        <v>113</v>
      </c>
      <c r="C184" s="2">
        <v>150000</v>
      </c>
      <c r="D184" s="2"/>
      <c r="E184" s="11">
        <f>6740+6470+57760</f>
        <v>70970</v>
      </c>
      <c r="F184" s="2"/>
      <c r="G184" s="2"/>
    </row>
    <row r="185" spans="1:9" x14ac:dyDescent="0.25">
      <c r="A185" s="18"/>
      <c r="B185" s="29" t="s">
        <v>13</v>
      </c>
      <c r="C185" s="2"/>
      <c r="D185" s="2"/>
      <c r="E185" s="2"/>
      <c r="F185" s="2">
        <f t="shared" si="4"/>
        <v>0</v>
      </c>
      <c r="G185" s="2">
        <f t="shared" si="5"/>
        <v>0</v>
      </c>
    </row>
    <row r="186" spans="1:9" x14ac:dyDescent="0.25">
      <c r="A186" s="18"/>
      <c r="B186" s="4" t="s">
        <v>159</v>
      </c>
      <c r="C186" s="2">
        <v>500000</v>
      </c>
      <c r="D186" s="2"/>
      <c r="E186" s="11">
        <f>20189+8760</f>
        <v>28949</v>
      </c>
      <c r="F186" s="2">
        <f t="shared" si="4"/>
        <v>471051</v>
      </c>
      <c r="G186" s="2">
        <f t="shared" si="5"/>
        <v>-28949</v>
      </c>
    </row>
    <row r="187" spans="1:9" x14ac:dyDescent="0.25">
      <c r="A187" s="18"/>
      <c r="B187" s="4" t="s">
        <v>62</v>
      </c>
      <c r="C187" s="2"/>
      <c r="D187" s="2"/>
      <c r="E187" s="2"/>
      <c r="F187" s="2">
        <f t="shared" si="4"/>
        <v>0</v>
      </c>
      <c r="G187" s="2">
        <f t="shared" si="5"/>
        <v>0</v>
      </c>
    </row>
    <row r="188" spans="1:9" x14ac:dyDescent="0.25">
      <c r="A188" s="18"/>
      <c r="B188" s="5" t="s">
        <v>63</v>
      </c>
      <c r="C188" s="2">
        <v>1600000</v>
      </c>
      <c r="D188" s="2"/>
      <c r="E188" s="11">
        <v>1564814.07</v>
      </c>
      <c r="F188" s="2">
        <f t="shared" si="4"/>
        <v>35185.929999999935</v>
      </c>
      <c r="G188" s="2">
        <f t="shared" si="5"/>
        <v>-1564814.07</v>
      </c>
    </row>
    <row r="189" spans="1:9" x14ac:dyDescent="0.25">
      <c r="A189" s="18"/>
      <c r="B189" s="4"/>
      <c r="C189" s="2"/>
      <c r="D189" s="2"/>
      <c r="E189" s="2"/>
      <c r="F189" s="2"/>
      <c r="G189" s="2"/>
    </row>
    <row r="190" spans="1:9" x14ac:dyDescent="0.25">
      <c r="A190" s="18"/>
      <c r="B190" s="41" t="s">
        <v>27</v>
      </c>
      <c r="C190" s="8">
        <f>SUM(C174:C189)</f>
        <v>8916064.0500000007</v>
      </c>
      <c r="D190" s="8">
        <f>SUM(D174:D189)</f>
        <v>839890.34000000008</v>
      </c>
      <c r="E190" s="8">
        <f>SUM(E174:E189)</f>
        <v>3519848</v>
      </c>
      <c r="F190" s="8">
        <f>SUM(F174:F189)</f>
        <v>4917947.04</v>
      </c>
      <c r="G190" s="8">
        <f>SUM(G174:G189)</f>
        <v>-2572987.66</v>
      </c>
    </row>
    <row r="191" spans="1:9" ht="15.75" thickBot="1" x14ac:dyDescent="0.3">
      <c r="A191" s="42"/>
      <c r="B191" s="43" t="s">
        <v>64</v>
      </c>
      <c r="C191" s="20">
        <f>C190+C159+C115+C108+C101+C94+C87+C80+C73+C57+C50+C43+C36+C29+C22+C15</f>
        <v>44223901.710000001</v>
      </c>
      <c r="D191" s="20">
        <f>D190+D159+D115+D108+D101+D94+D87+D80+D73+D57+D50+D43+D36+D29+D22+D15</f>
        <v>6957489.1600000011</v>
      </c>
      <c r="E191" s="20">
        <f>E190+E159+E115+E108+E101+E94+E87+E80+E73+E57+E50+E43+E36+E29+E22+E15</f>
        <v>10749326.379999999</v>
      </c>
      <c r="F191" s="20">
        <f>F190+F159+F115+F108+F101+F94+F87+F80+F73+F57+F50+F43+F36+F29+F22+F15</f>
        <v>29957765.32</v>
      </c>
      <c r="G191" s="20">
        <f>G190+G159+G115+G108+G101+G94+G87+G80+G73+G57+G50+G43+G36+G29+G22+G15</f>
        <v>-3473408.22</v>
      </c>
    </row>
    <row r="192" spans="1:9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2">
        <v>3045178</v>
      </c>
      <c r="F193" s="12"/>
      <c r="G193" s="12"/>
    </row>
    <row r="194" spans="2:12" x14ac:dyDescent="0.25">
      <c r="C194" s="12"/>
      <c r="D194" s="12"/>
      <c r="E194" s="12">
        <f>E193-E191</f>
        <v>-7704148.379999999</v>
      </c>
      <c r="F194" s="12"/>
      <c r="G194" s="12"/>
    </row>
    <row r="195" spans="2:12" x14ac:dyDescent="0.25">
      <c r="C195" s="12"/>
      <c r="D195" s="12"/>
      <c r="F195" s="12"/>
      <c r="G195" s="12"/>
    </row>
    <row r="196" spans="2:12" x14ac:dyDescent="0.25">
      <c r="B196" s="44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90" t="s">
        <v>164</v>
      </c>
      <c r="E197" s="90"/>
      <c r="F197" s="12"/>
      <c r="G197" s="12"/>
    </row>
    <row r="198" spans="2:12" x14ac:dyDescent="0.25">
      <c r="C198" s="12"/>
      <c r="D198" s="12" t="s">
        <v>162</v>
      </c>
      <c r="E198" s="12" t="s">
        <v>163</v>
      </c>
      <c r="F198" s="12"/>
      <c r="G198" s="12"/>
      <c r="H198" s="57">
        <v>0.8</v>
      </c>
      <c r="I198" s="12">
        <v>2159415</v>
      </c>
      <c r="L198" s="13">
        <f>20*20</f>
        <v>400</v>
      </c>
    </row>
    <row r="199" spans="2:12" x14ac:dyDescent="0.25">
      <c r="C199" s="12" t="s">
        <v>160</v>
      </c>
      <c r="D199" s="12">
        <f>5518028.2+D46</f>
        <v>5781364.3150000004</v>
      </c>
      <c r="E199" s="12">
        <v>1646631.99</v>
      </c>
      <c r="F199" s="12"/>
      <c r="G199" s="12"/>
      <c r="H199" s="57">
        <v>0.2</v>
      </c>
      <c r="I199" s="12">
        <v>539854</v>
      </c>
      <c r="L199" s="13">
        <f>15*20</f>
        <v>300</v>
      </c>
    </row>
    <row r="200" spans="2:12" x14ac:dyDescent="0.25">
      <c r="C200" s="12" t="s">
        <v>161</v>
      </c>
      <c r="D200" s="12">
        <f>D191-D199</f>
        <v>1176124.8450000007</v>
      </c>
      <c r="E200" s="12">
        <v>130701.19</v>
      </c>
      <c r="F200" s="12"/>
      <c r="G200" s="12"/>
      <c r="I200" s="12"/>
    </row>
    <row r="201" spans="2:12" x14ac:dyDescent="0.25">
      <c r="C201" s="56">
        <v>0.2</v>
      </c>
      <c r="D201" s="12"/>
      <c r="E201" s="12">
        <v>133869.85</v>
      </c>
      <c r="F201" s="12"/>
      <c r="G201" s="12"/>
      <c r="I201" s="12"/>
      <c r="L201" s="13">
        <f>SUM(L198:L200)</f>
        <v>700</v>
      </c>
    </row>
    <row r="202" spans="2:12" x14ac:dyDescent="0.25">
      <c r="C202" s="56">
        <v>0.05</v>
      </c>
      <c r="D202" s="12">
        <v>404890.34</v>
      </c>
      <c r="E202" s="12">
        <v>14850</v>
      </c>
      <c r="F202" s="12"/>
      <c r="G202" s="12"/>
      <c r="I202" s="12">
        <f>SUM(I198:I201)</f>
        <v>2699269</v>
      </c>
    </row>
    <row r="203" spans="2:12" x14ac:dyDescent="0.25">
      <c r="C203" s="12" t="s">
        <v>120</v>
      </c>
      <c r="D203" s="12"/>
      <c r="E203" s="12">
        <v>7200</v>
      </c>
      <c r="F203" s="12"/>
      <c r="G203" s="12">
        <f>I202-E191</f>
        <v>-8050057.379999999</v>
      </c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F205" s="12"/>
      <c r="G205" s="12"/>
      <c r="I205" s="12"/>
    </row>
    <row r="206" spans="2:12" x14ac:dyDescent="0.25">
      <c r="C206" s="12" t="s">
        <v>143</v>
      </c>
      <c r="D206" s="12">
        <f>SUM(D199:D205)</f>
        <v>7362379.5000000009</v>
      </c>
      <c r="E206" s="12">
        <f>SUM(E199:E204)</f>
        <v>1933253.03</v>
      </c>
      <c r="F206" s="12"/>
      <c r="G206" s="12"/>
      <c r="I206" s="12"/>
    </row>
    <row r="207" spans="2:12" x14ac:dyDescent="0.25">
      <c r="C207" s="12"/>
      <c r="D207" s="12"/>
      <c r="E207" s="12">
        <f>E191-E206</f>
        <v>8816073.3499999996</v>
      </c>
      <c r="F207" s="12"/>
      <c r="G207" s="12"/>
      <c r="I207" s="12"/>
    </row>
    <row r="208" spans="2:12" x14ac:dyDescent="0.25">
      <c r="C208" s="12"/>
      <c r="D208" s="12">
        <f>32391227</f>
        <v>32391227</v>
      </c>
      <c r="E208" s="12">
        <f>E206-E191</f>
        <v>-8816073.3499999996</v>
      </c>
      <c r="F208" s="12"/>
      <c r="G208" s="12"/>
      <c r="I208" s="12"/>
    </row>
    <row r="209" spans="3:7" x14ac:dyDescent="0.25">
      <c r="C209" s="12"/>
      <c r="D209" s="12">
        <f>D208*5%</f>
        <v>1619561.35</v>
      </c>
      <c r="E209" s="12"/>
      <c r="F209" s="12"/>
      <c r="G209" s="12"/>
    </row>
    <row r="210" spans="3:7" x14ac:dyDescent="0.25">
      <c r="C210" s="12"/>
      <c r="D210" s="12">
        <f>D209/4</f>
        <v>404890.33750000002</v>
      </c>
      <c r="E210" s="12">
        <f>E174+E175</f>
        <v>644073.97</v>
      </c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>
        <f>E199+E200</f>
        <v>1777333.18</v>
      </c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>
        <f>20*25</f>
        <v>500</v>
      </c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D197:E197"/>
    <mergeCell ref="A65:A66"/>
    <mergeCell ref="B65:B66"/>
    <mergeCell ref="C65:C66"/>
    <mergeCell ref="D65:D66"/>
    <mergeCell ref="E65:E66"/>
    <mergeCell ref="A125:A126"/>
    <mergeCell ref="B125:B126"/>
    <mergeCell ref="C125:C126"/>
    <mergeCell ref="D125:D126"/>
    <mergeCell ref="E125:E126"/>
    <mergeCell ref="A169:A170"/>
    <mergeCell ref="B169:B170"/>
    <mergeCell ref="C169:C170"/>
    <mergeCell ref="D169:D170"/>
    <mergeCell ref="E169:E170"/>
    <mergeCell ref="A6:A7"/>
    <mergeCell ref="B6:B7"/>
    <mergeCell ref="C6:C7"/>
    <mergeCell ref="D6:D7"/>
    <mergeCell ref="E6:E7"/>
  </mergeCells>
  <pageMargins left="0.25" right="0.3" top="0.52" bottom="0.21" header="0.5" footer="0.3"/>
  <pageSetup scale="80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A120" zoomScale="130" zoomScaleNormal="130" workbookViewId="0">
      <selection activeCell="B136" sqref="B136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4.5703125" style="13" bestFit="1" customWidth="1"/>
    <col min="6" max="6" width="16.28515625" style="13" customWidth="1"/>
    <col min="7" max="7" width="14.28515625" style="13" customWidth="1"/>
    <col min="8" max="8" width="9.140625" style="13"/>
    <col min="9" max="9" width="15.140625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183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f>C11/4</f>
        <v>432481.745</v>
      </c>
      <c r="E11" s="11">
        <f>126964.66+101964.66+119964.66</f>
        <v>348893.98</v>
      </c>
      <c r="F11" s="2">
        <f>C11-E11</f>
        <v>1381033</v>
      </c>
      <c r="G11" s="2">
        <f>D11-E11</f>
        <v>83587.765000000014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/>
      <c r="E12" s="11">
        <f>68924.28+172990.44+120970.72</f>
        <v>362885.44</v>
      </c>
      <c r="F12" s="2">
        <f t="shared" ref="F12:F13" si="0">C12-E12</f>
        <v>735095.18000000017</v>
      </c>
      <c r="G12" s="2">
        <f t="shared" ref="G12:G13" si="1">D12-E12</f>
        <v>-362885.44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/>
      <c r="F13" s="2">
        <f t="shared" si="0"/>
        <v>0</v>
      </c>
      <c r="G13" s="2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2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432481.745</v>
      </c>
      <c r="E15" s="8">
        <f>SUM(E11:E14)</f>
        <v>711779.41999999993</v>
      </c>
      <c r="F15" s="8">
        <f>SUM(F11:F14)</f>
        <v>2116128.1800000002</v>
      </c>
      <c r="G15" s="8">
        <f>SUM(G11:G14)</f>
        <v>-279297.67499999999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f>C18/4</f>
        <v>2102080.35</v>
      </c>
      <c r="E18" s="11">
        <f>739399.62+518395.62+518396.04</f>
        <v>1776191.28</v>
      </c>
      <c r="F18" s="2">
        <f>C18-E18</f>
        <v>6632130.1200000001</v>
      </c>
      <c r="G18" s="2">
        <f>D18-E18</f>
        <v>325889.07000000007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/>
      <c r="E19" s="11">
        <f>28976+78595+109850.24</f>
        <v>217421.24</v>
      </c>
      <c r="F19" s="2">
        <f>C19-E19</f>
        <v>858515.12000000011</v>
      </c>
      <c r="G19" s="2">
        <f>D19-E19</f>
        <v>-217421.24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2102080.35</v>
      </c>
      <c r="E22" s="8">
        <f>SUM(E18:E21)</f>
        <v>1993612.52</v>
      </c>
      <c r="F22" s="8">
        <f>SUM(F18:F21)</f>
        <v>7490645.2400000002</v>
      </c>
      <c r="G22" s="8">
        <f>SUM(G18:G21)</f>
        <v>108467.83000000007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f>C25/4</f>
        <v>241055.71</v>
      </c>
      <c r="E25" s="11">
        <f>87255.2+72255.2+72255.2</f>
        <v>231765.59999999998</v>
      </c>
      <c r="F25" s="2">
        <f>C25-E25</f>
        <v>732457.24</v>
      </c>
      <c r="G25" s="2">
        <f>D25-E25</f>
        <v>9290.1100000000151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v>25005.86</v>
      </c>
      <c r="E26" s="11">
        <f>930.11+10596.97</f>
        <v>11527.08</v>
      </c>
      <c r="F26" s="2">
        <f>C26-E26</f>
        <v>126005.15000000001</v>
      </c>
      <c r="G26" s="2">
        <f>D26-E26</f>
        <v>13478.78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266061.57</v>
      </c>
      <c r="E29" s="8">
        <f>SUM(E25:E28)</f>
        <v>243292.67999999996</v>
      </c>
      <c r="F29" s="8">
        <f>SUM(F25:F28)</f>
        <v>858462.39</v>
      </c>
      <c r="G29" s="8">
        <f>SUM(G25:G28)</f>
        <v>22768.890000000014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f>C32/4</f>
        <v>183220.095</v>
      </c>
      <c r="E32" s="11">
        <f>65293.18+55293.18+55293.18</f>
        <v>175879.54</v>
      </c>
      <c r="F32" s="2">
        <f>C32-E32</f>
        <v>557000.84</v>
      </c>
      <c r="G32" s="2">
        <f>D32-E32</f>
        <v>7340.554999999993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v>14705.16</v>
      </c>
      <c r="E33" s="11">
        <f>1830+5333.5</f>
        <v>7163.5</v>
      </c>
      <c r="F33" s="2">
        <f>C33-E33</f>
        <v>73714.86</v>
      </c>
      <c r="G33" s="2">
        <f>D33-E33</f>
        <v>7541.66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2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2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197925.255</v>
      </c>
      <c r="E36" s="8">
        <f>SUM(E32:E35)</f>
        <v>183043.04</v>
      </c>
      <c r="F36" s="8">
        <f>SUM(F32:F35)</f>
        <v>630715.69999999995</v>
      </c>
      <c r="G36" s="8">
        <f>SUM(G32:G35)</f>
        <v>14882.214999999993</v>
      </c>
      <c r="L36" s="12"/>
    </row>
    <row r="37" spans="1:13" x14ac:dyDescent="0.25">
      <c r="A37" s="27"/>
      <c r="B37" s="18"/>
      <c r="C37" s="2"/>
      <c r="D37" s="2"/>
      <c r="E37" s="2"/>
      <c r="F37" s="2"/>
      <c r="G37" s="2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2"/>
      <c r="L38" s="12"/>
    </row>
    <row r="39" spans="1:13" x14ac:dyDescent="0.25">
      <c r="A39" s="27"/>
      <c r="B39" s="29" t="s">
        <v>11</v>
      </c>
      <c r="C39" s="2">
        <v>591829.98</v>
      </c>
      <c r="D39" s="2">
        <f>C39/4</f>
        <v>147957.495</v>
      </c>
      <c r="E39" s="11">
        <f>50458.42+45458.42+45458.42</f>
        <v>141375.26</v>
      </c>
      <c r="F39" s="2">
        <f>C39-E39</f>
        <v>450454.72</v>
      </c>
      <c r="G39" s="2">
        <f>D39-E39</f>
        <v>6582.234999999986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v>15880.7</v>
      </c>
      <c r="E40" s="11">
        <f>5235+2464+3000</f>
        <v>10699</v>
      </c>
      <c r="F40" s="2">
        <f>C40-E40</f>
        <v>68704.5</v>
      </c>
      <c r="G40" s="2">
        <f>D40-E40</f>
        <v>5181.7000000000007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2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2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163838.19500000001</v>
      </c>
      <c r="E43" s="8">
        <f>SUM(E39:E42)</f>
        <v>152074.26</v>
      </c>
      <c r="F43" s="8">
        <f>SUM(F39:F42)</f>
        <v>519159.22</v>
      </c>
      <c r="G43" s="8">
        <f>SUM(G39:G42)</f>
        <v>11763.934999999987</v>
      </c>
    </row>
    <row r="44" spans="1:13" x14ac:dyDescent="0.25">
      <c r="A44" s="27"/>
      <c r="B44" s="18"/>
      <c r="C44" s="2"/>
      <c r="D44" s="2"/>
      <c r="E44" s="2"/>
      <c r="F44" s="2"/>
      <c r="G44" s="2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2"/>
    </row>
    <row r="46" spans="1:13" x14ac:dyDescent="0.25">
      <c r="A46" s="27"/>
      <c r="B46" s="29" t="s">
        <v>11</v>
      </c>
      <c r="C46" s="2">
        <v>1053344.46</v>
      </c>
      <c r="D46" s="2">
        <f>C46/4</f>
        <v>263336.11499999999</v>
      </c>
      <c r="E46" s="11">
        <f>56526.37+41526.37+41526.37</f>
        <v>139579.11000000002</v>
      </c>
      <c r="F46" s="2">
        <f>C46-E46</f>
        <v>913765.35</v>
      </c>
      <c r="G46" s="2">
        <f>D46-E46</f>
        <v>123757.00499999998</v>
      </c>
    </row>
    <row r="47" spans="1:13" x14ac:dyDescent="0.25">
      <c r="A47" s="27"/>
      <c r="B47" s="29" t="s">
        <v>12</v>
      </c>
      <c r="C47" s="2">
        <v>205007.27</v>
      </c>
      <c r="D47" s="2">
        <v>37274.050000000003</v>
      </c>
      <c r="E47" s="11">
        <f>2600+500+21643</f>
        <v>24743</v>
      </c>
      <c r="F47" s="2">
        <f>C47-E47</f>
        <v>180264.27</v>
      </c>
      <c r="G47" s="2">
        <f>D47-E47</f>
        <v>12531.050000000003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</row>
    <row r="49" spans="1:8" x14ac:dyDescent="0.25">
      <c r="A49" s="27"/>
      <c r="B49" s="29" t="s">
        <v>14</v>
      </c>
      <c r="C49" s="2"/>
      <c r="D49" s="2"/>
      <c r="E49" s="2"/>
      <c r="F49" s="2"/>
      <c r="G49" s="2"/>
      <c r="H49" s="12"/>
    </row>
    <row r="50" spans="1:8" x14ac:dyDescent="0.25">
      <c r="A50" s="27"/>
      <c r="B50" s="30" t="s">
        <v>27</v>
      </c>
      <c r="C50" s="8">
        <f>SUM(C46:C49)</f>
        <v>1258351.73</v>
      </c>
      <c r="D50" s="8">
        <f>SUM(D46:D49)</f>
        <v>300610.16499999998</v>
      </c>
      <c r="E50" s="8">
        <f>SUM(E46:E49)</f>
        <v>164322.11000000002</v>
      </c>
      <c r="F50" s="8">
        <f>SUM(F46:F49)</f>
        <v>1094029.6199999999</v>
      </c>
      <c r="G50" s="8">
        <f>SUM(G46:G49)</f>
        <v>136288.05499999999</v>
      </c>
      <c r="H50" s="12"/>
    </row>
    <row r="51" spans="1:8" x14ac:dyDescent="0.25">
      <c r="A51" s="27"/>
      <c r="B51" s="18"/>
      <c r="C51" s="2"/>
      <c r="D51" s="2"/>
      <c r="E51" s="2"/>
      <c r="F51" s="2"/>
      <c r="G51" s="2"/>
      <c r="H51" s="12"/>
    </row>
    <row r="52" spans="1:8" x14ac:dyDescent="0.25">
      <c r="A52" s="27">
        <v>1091</v>
      </c>
      <c r="B52" s="28" t="s">
        <v>19</v>
      </c>
      <c r="C52" s="2"/>
      <c r="D52" s="2"/>
      <c r="E52" s="2"/>
      <c r="F52" s="2"/>
      <c r="G52" s="2"/>
      <c r="H52" s="12"/>
    </row>
    <row r="53" spans="1:8" x14ac:dyDescent="0.25">
      <c r="A53" s="27"/>
      <c r="B53" s="29" t="s">
        <v>11</v>
      </c>
      <c r="C53" s="2">
        <v>1583456.4</v>
      </c>
      <c r="D53" s="2">
        <f>C53/4</f>
        <v>395864.1</v>
      </c>
      <c r="E53" s="11">
        <f>150760.7+115760.7+115760.7</f>
        <v>382282.10000000003</v>
      </c>
      <c r="F53" s="2">
        <f>C53-E53</f>
        <v>1201174.2999999998</v>
      </c>
      <c r="G53" s="2">
        <f>D53-E53</f>
        <v>13581.999999999942</v>
      </c>
      <c r="H53" s="12"/>
    </row>
    <row r="54" spans="1:8" x14ac:dyDescent="0.25">
      <c r="A54" s="27"/>
      <c r="B54" s="29" t="s">
        <v>12</v>
      </c>
      <c r="C54" s="2">
        <v>321156.95</v>
      </c>
      <c r="D54" s="2">
        <v>58392.17</v>
      </c>
      <c r="E54" s="11">
        <f>53406+3795+88858</f>
        <v>146059</v>
      </c>
      <c r="F54" s="2">
        <f>C54-E54</f>
        <v>175097.95</v>
      </c>
      <c r="G54" s="2">
        <f>D54-E54</f>
        <v>-87666.83</v>
      </c>
      <c r="H54" s="12"/>
    </row>
    <row r="55" spans="1:8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8" x14ac:dyDescent="0.25">
      <c r="A56" s="27"/>
      <c r="B56" s="29" t="s">
        <v>14</v>
      </c>
      <c r="C56" s="2"/>
      <c r="D56" s="2"/>
      <c r="E56" s="2"/>
      <c r="F56" s="2"/>
      <c r="G56" s="2"/>
      <c r="H56" s="12"/>
    </row>
    <row r="57" spans="1:8" x14ac:dyDescent="0.25">
      <c r="A57" s="31"/>
      <c r="B57" s="30" t="s">
        <v>27</v>
      </c>
      <c r="C57" s="8">
        <f>SUM(C53:C56)</f>
        <v>1904613.3499999999</v>
      </c>
      <c r="D57" s="8">
        <f>SUM(D53:D56)</f>
        <v>454256.26999999996</v>
      </c>
      <c r="E57" s="8">
        <f>SUM(E53:E56)</f>
        <v>528341.10000000009</v>
      </c>
      <c r="F57" s="8">
        <f>SUM(F53:F56)</f>
        <v>1376272.2499999998</v>
      </c>
      <c r="G57" s="8">
        <f>SUM(G53:G56)</f>
        <v>-74084.83000000006</v>
      </c>
      <c r="H57" s="12"/>
    </row>
    <row r="58" spans="1:8" ht="15.75" thickBot="1" x14ac:dyDescent="0.3">
      <c r="A58" s="32"/>
      <c r="B58" s="33"/>
      <c r="C58" s="9"/>
      <c r="D58" s="9"/>
      <c r="E58" s="9"/>
      <c r="F58" s="9"/>
      <c r="G58" s="34"/>
      <c r="H58" s="12"/>
    </row>
    <row r="59" spans="1:8" x14ac:dyDescent="0.25">
      <c r="A59" s="35"/>
      <c r="B59" s="36"/>
      <c r="C59" s="10"/>
      <c r="D59" s="10"/>
      <c r="E59" s="10"/>
      <c r="F59" s="10"/>
      <c r="G59" s="10"/>
      <c r="H59" s="12"/>
    </row>
    <row r="60" spans="1:8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6"/>
      <c r="C62" s="10"/>
      <c r="D62" s="10"/>
      <c r="E62" s="10"/>
      <c r="F62" s="10"/>
      <c r="G62" s="10"/>
      <c r="H62" s="12"/>
    </row>
    <row r="63" spans="1:8" x14ac:dyDescent="0.25">
      <c r="A63" s="24" t="s">
        <v>183</v>
      </c>
      <c r="B63" s="36"/>
      <c r="C63" s="10"/>
      <c r="D63" s="10"/>
      <c r="E63" s="10"/>
      <c r="F63" s="10"/>
      <c r="G63" s="10"/>
      <c r="H63" s="12"/>
    </row>
    <row r="64" spans="1:8" x14ac:dyDescent="0.25">
      <c r="A64" s="35"/>
      <c r="B64" s="36"/>
      <c r="C64" s="10"/>
      <c r="D64" s="10"/>
      <c r="E64" s="10"/>
      <c r="F64" s="10"/>
      <c r="G64" s="10"/>
      <c r="H64" s="12"/>
    </row>
    <row r="65" spans="1:8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</row>
    <row r="66" spans="1:8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</row>
    <row r="67" spans="1:8" x14ac:dyDescent="0.25">
      <c r="A67" s="26"/>
      <c r="B67" s="17"/>
      <c r="C67" s="19"/>
      <c r="D67" s="19"/>
      <c r="E67" s="19"/>
      <c r="F67" s="19"/>
      <c r="G67" s="19"/>
      <c r="H67" s="12"/>
    </row>
    <row r="68" spans="1:8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</row>
    <row r="69" spans="1:8" x14ac:dyDescent="0.25">
      <c r="A69" s="27"/>
      <c r="B69" s="29" t="s">
        <v>11</v>
      </c>
      <c r="C69" s="2">
        <v>757496.84</v>
      </c>
      <c r="D69" s="2">
        <f>C69/4</f>
        <v>189374.21</v>
      </c>
      <c r="E69" s="11">
        <f>69303.82+59303.82+59303.82</f>
        <v>187911.46000000002</v>
      </c>
      <c r="F69" s="2">
        <f>C69-E69</f>
        <v>569585.37999999989</v>
      </c>
      <c r="G69" s="2">
        <f>D69-E69</f>
        <v>1462.7499999999709</v>
      </c>
      <c r="H69" s="12"/>
    </row>
    <row r="70" spans="1:8" x14ac:dyDescent="0.25">
      <c r="A70" s="27"/>
      <c r="B70" s="29" t="s">
        <v>12</v>
      </c>
      <c r="C70" s="2">
        <v>112211.77</v>
      </c>
      <c r="D70" s="2">
        <v>20402.14</v>
      </c>
      <c r="E70" s="11">
        <f>26120+2000+13582</f>
        <v>41702</v>
      </c>
      <c r="F70" s="2">
        <f>C70-E70</f>
        <v>70509.77</v>
      </c>
      <c r="G70" s="2">
        <f>D70-E70</f>
        <v>-21299.86</v>
      </c>
      <c r="H70" s="12"/>
    </row>
    <row r="71" spans="1:8" x14ac:dyDescent="0.25">
      <c r="A71" s="27"/>
      <c r="B71" s="29" t="s">
        <v>13</v>
      </c>
      <c r="C71" s="2">
        <v>10000</v>
      </c>
      <c r="D71" s="2"/>
      <c r="E71" s="2"/>
      <c r="F71" s="2">
        <f>C71-E71</f>
        <v>10000</v>
      </c>
      <c r="G71" s="2">
        <f>D71-E71</f>
        <v>0</v>
      </c>
      <c r="H71" s="12"/>
    </row>
    <row r="72" spans="1:8" x14ac:dyDescent="0.25">
      <c r="A72" s="27"/>
      <c r="B72" s="29" t="s">
        <v>14</v>
      </c>
      <c r="C72" s="2"/>
      <c r="D72" s="2"/>
      <c r="E72" s="2"/>
      <c r="F72" s="2"/>
      <c r="G72" s="2"/>
      <c r="H72" s="12"/>
    </row>
    <row r="73" spans="1:8" x14ac:dyDescent="0.25">
      <c r="A73" s="18"/>
      <c r="B73" s="30" t="s">
        <v>27</v>
      </c>
      <c r="C73" s="8">
        <f>SUM(C69:C72)</f>
        <v>879708.61</v>
      </c>
      <c r="D73" s="8">
        <f>SUM(D69:D72)</f>
        <v>209776.34999999998</v>
      </c>
      <c r="E73" s="8">
        <f>SUM(E69:E72)</f>
        <v>229613.46000000002</v>
      </c>
      <c r="F73" s="8">
        <f>SUM(F69:F72)</f>
        <v>650095.14999999991</v>
      </c>
      <c r="G73" s="8">
        <f>SUM(G69:G72)</f>
        <v>-19837.11000000003</v>
      </c>
      <c r="H73" s="12"/>
    </row>
    <row r="74" spans="1:8" x14ac:dyDescent="0.25">
      <c r="A74" s="27"/>
      <c r="B74" s="18"/>
      <c r="C74" s="2"/>
      <c r="D74" s="2"/>
      <c r="E74" s="2"/>
      <c r="F74" s="2"/>
      <c r="G74" s="2"/>
      <c r="H74" s="12"/>
    </row>
    <row r="75" spans="1:8" x14ac:dyDescent="0.25">
      <c r="A75" s="27">
        <v>6544</v>
      </c>
      <c r="B75" s="28" t="s">
        <v>21</v>
      </c>
      <c r="C75" s="18"/>
      <c r="D75" s="2"/>
      <c r="E75" s="2"/>
      <c r="F75" s="2"/>
      <c r="G75" s="2"/>
      <c r="H75" s="12"/>
    </row>
    <row r="76" spans="1:8" x14ac:dyDescent="0.25">
      <c r="A76" s="27"/>
      <c r="B76" s="29" t="s">
        <v>11</v>
      </c>
      <c r="C76" s="2">
        <v>1136593.6000000001</v>
      </c>
      <c r="D76" s="2">
        <f>C76/4</f>
        <v>284148.40000000002</v>
      </c>
      <c r="E76" s="11">
        <f>74187.02+64798.86+62953.1</f>
        <v>201938.98</v>
      </c>
      <c r="F76" s="2">
        <f>C76-E76</f>
        <v>934654.62000000011</v>
      </c>
      <c r="G76" s="2">
        <f>D76-E76</f>
        <v>82209.420000000013</v>
      </c>
      <c r="H76" s="12"/>
    </row>
    <row r="77" spans="1:8" x14ac:dyDescent="0.25">
      <c r="A77" s="27"/>
      <c r="B77" s="29" t="s">
        <v>12</v>
      </c>
      <c r="C77" s="2">
        <v>749098.9</v>
      </c>
      <c r="D77" s="2">
        <v>136199.79999999999</v>
      </c>
      <c r="E77" s="11">
        <f>12743.13+98565.61+77242.45</f>
        <v>188551.19</v>
      </c>
      <c r="F77" s="2">
        <f>C77-E77</f>
        <v>560547.71</v>
      </c>
      <c r="G77" s="2">
        <f>D77-E77</f>
        <v>-52351.390000000014</v>
      </c>
      <c r="H77" s="12"/>
    </row>
    <row r="78" spans="1:8" x14ac:dyDescent="0.25">
      <c r="A78" s="27"/>
      <c r="B78" s="29" t="s">
        <v>13</v>
      </c>
      <c r="C78" s="2"/>
      <c r="D78" s="2"/>
      <c r="E78" s="2"/>
      <c r="F78" s="2"/>
      <c r="G78" s="2"/>
      <c r="H78" s="12"/>
    </row>
    <row r="79" spans="1:8" x14ac:dyDescent="0.25">
      <c r="A79" s="27"/>
      <c r="B79" s="29" t="s">
        <v>14</v>
      </c>
      <c r="C79" s="2"/>
      <c r="D79" s="2"/>
      <c r="E79" s="2"/>
      <c r="F79" s="2"/>
      <c r="G79" s="2"/>
      <c r="H79" s="12"/>
    </row>
    <row r="80" spans="1:8" x14ac:dyDescent="0.25">
      <c r="A80" s="27"/>
      <c r="B80" s="30" t="s">
        <v>27</v>
      </c>
      <c r="C80" s="8">
        <f>SUM(C76:C79)</f>
        <v>1885692.5</v>
      </c>
      <c r="D80" s="8">
        <f>SUM(D76:D79)</f>
        <v>420348.2</v>
      </c>
      <c r="E80" s="8">
        <f>SUM(E76:E79)</f>
        <v>390490.17000000004</v>
      </c>
      <c r="F80" s="8">
        <f>SUM(F76:F79)</f>
        <v>1495202.33</v>
      </c>
      <c r="G80" s="8">
        <f>SUM(G76:G79)</f>
        <v>29858.03</v>
      </c>
      <c r="H80" s="12"/>
    </row>
    <row r="81" spans="1:8" x14ac:dyDescent="0.25">
      <c r="A81" s="27"/>
      <c r="B81" s="18"/>
      <c r="C81" s="2"/>
      <c r="D81" s="2"/>
      <c r="E81" s="2"/>
      <c r="F81" s="2"/>
      <c r="G81" s="2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2"/>
      <c r="H82" s="12"/>
    </row>
    <row r="83" spans="1:8" x14ac:dyDescent="0.25">
      <c r="A83" s="27"/>
      <c r="B83" s="29" t="s">
        <v>11</v>
      </c>
      <c r="C83" s="2">
        <v>2920190.6</v>
      </c>
      <c r="D83" s="2">
        <f>C83/4</f>
        <v>730047.65</v>
      </c>
      <c r="E83" s="11">
        <f>245863.58+219063.58+206016.22</f>
        <v>670943.38</v>
      </c>
      <c r="F83" s="2">
        <f>C83-E83</f>
        <v>2249247.2200000002</v>
      </c>
      <c r="G83" s="2">
        <f>D83-E83</f>
        <v>59104.270000000019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v>31799.79</v>
      </c>
      <c r="E84" s="11">
        <f>19489+9134.47+26760</f>
        <v>55383.47</v>
      </c>
      <c r="F84" s="2">
        <f>C84-E84</f>
        <v>119515.38</v>
      </c>
      <c r="G84" s="2">
        <f>D84-E84</f>
        <v>-23583.68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2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2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761847.44000000006</v>
      </c>
      <c r="E87" s="8">
        <f>SUM(E83:E86)</f>
        <v>726326.85</v>
      </c>
      <c r="F87" s="8">
        <f>SUM(F83:F86)</f>
        <v>2368762.6</v>
      </c>
      <c r="G87" s="8">
        <f>SUM(G83:G86)</f>
        <v>35520.590000000018</v>
      </c>
      <c r="H87" s="12"/>
    </row>
    <row r="88" spans="1:8" x14ac:dyDescent="0.25">
      <c r="A88" s="27"/>
      <c r="B88" s="18"/>
      <c r="C88" s="2"/>
      <c r="D88" s="2"/>
      <c r="E88" s="2"/>
      <c r="F88" s="2"/>
      <c r="G88" s="2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2"/>
      <c r="H89" s="12"/>
    </row>
    <row r="90" spans="1:8" x14ac:dyDescent="0.25">
      <c r="A90" s="27"/>
      <c r="B90" s="29" t="s">
        <v>11</v>
      </c>
      <c r="C90" s="2">
        <v>1120789.58</v>
      </c>
      <c r="D90" s="2">
        <f>C90/4</f>
        <v>280197.39500000002</v>
      </c>
      <c r="E90" s="11">
        <f>96696.78+76697.33+77039.49</f>
        <v>250433.59999999998</v>
      </c>
      <c r="F90" s="2">
        <f>C90-E90</f>
        <v>870355.9800000001</v>
      </c>
      <c r="G90" s="2">
        <f>D90-E90</f>
        <v>29763.795000000042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v>34540.21</v>
      </c>
      <c r="E91" s="11">
        <f>7000+18874+17100.5</f>
        <v>42974.5</v>
      </c>
      <c r="F91" s="2">
        <f>C91-E91</f>
        <v>146996.65</v>
      </c>
      <c r="G91" s="2">
        <f>D91-E91</f>
        <v>-8434.2900000000009</v>
      </c>
      <c r="H91" s="12"/>
    </row>
    <row r="92" spans="1:8" x14ac:dyDescent="0.25">
      <c r="A92" s="27"/>
      <c r="B92" s="29" t="s">
        <v>13</v>
      </c>
      <c r="C92" s="2">
        <v>25000</v>
      </c>
      <c r="D92" s="2"/>
      <c r="E92" s="2"/>
      <c r="F92" s="2"/>
      <c r="G92" s="2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2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314737.60500000004</v>
      </c>
      <c r="E94" s="8">
        <f>SUM(E90:E93)</f>
        <v>293408.09999999998</v>
      </c>
      <c r="F94" s="8">
        <f>SUM(F90:F93)</f>
        <v>1017352.6300000001</v>
      </c>
      <c r="G94" s="8">
        <f>SUM(G90:G93)</f>
        <v>21329.505000000041</v>
      </c>
      <c r="H94" s="12"/>
    </row>
    <row r="95" spans="1:8" x14ac:dyDescent="0.25">
      <c r="A95" s="27"/>
      <c r="B95" s="18"/>
      <c r="C95" s="2"/>
      <c r="D95" s="2"/>
      <c r="E95" s="2"/>
      <c r="F95" s="2"/>
      <c r="G95" s="2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2"/>
      <c r="H96" s="12"/>
    </row>
    <row r="97" spans="1:8" x14ac:dyDescent="0.25">
      <c r="A97" s="27"/>
      <c r="B97" s="29" t="s">
        <v>11</v>
      </c>
      <c r="C97" s="2">
        <v>860982.08</v>
      </c>
      <c r="D97" s="2">
        <f>C97/4</f>
        <v>215245.52</v>
      </c>
      <c r="E97" s="11">
        <f>79099.84+64099.84+64099.84</f>
        <v>207299.52</v>
      </c>
      <c r="F97" s="2">
        <f>C97-E97</f>
        <v>653682.55999999994</v>
      </c>
      <c r="G97" s="2">
        <f>D97-E97</f>
        <v>7946</v>
      </c>
      <c r="H97" s="12"/>
    </row>
    <row r="98" spans="1:8" x14ac:dyDescent="0.25">
      <c r="A98" s="27"/>
      <c r="B98" s="29" t="s">
        <v>12</v>
      </c>
      <c r="C98" s="2">
        <v>87772.800000000003</v>
      </c>
      <c r="D98" s="2">
        <v>15958.69</v>
      </c>
      <c r="E98" s="11">
        <f>2295+9903.47</f>
        <v>12198.47</v>
      </c>
      <c r="F98" s="2">
        <f>C98-E98</f>
        <v>75574.33</v>
      </c>
      <c r="G98" s="2">
        <f>D98-E98</f>
        <v>3760.2200000000012</v>
      </c>
      <c r="H98" s="12"/>
    </row>
    <row r="99" spans="1:8" x14ac:dyDescent="0.25">
      <c r="A99" s="27"/>
      <c r="B99" s="29" t="s">
        <v>13</v>
      </c>
      <c r="C99" s="2"/>
      <c r="D99" s="2"/>
      <c r="E99" s="2"/>
      <c r="F99" s="2"/>
      <c r="G99" s="2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2"/>
      <c r="H100" s="12"/>
    </row>
    <row r="101" spans="1:8" x14ac:dyDescent="0.25">
      <c r="A101" s="27"/>
      <c r="B101" s="30" t="s">
        <v>27</v>
      </c>
      <c r="C101" s="8">
        <f>SUM(C97:C100)</f>
        <v>948754.88</v>
      </c>
      <c r="D101" s="8">
        <f>SUM(D97:D100)</f>
        <v>231204.21</v>
      </c>
      <c r="E101" s="8">
        <f>SUM(E97:E100)</f>
        <v>219497.99</v>
      </c>
      <c r="F101" s="8">
        <f>SUM(F97:F100)</f>
        <v>729256.8899999999</v>
      </c>
      <c r="G101" s="8">
        <f>SUM(G97:G100)</f>
        <v>11706.220000000001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2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2"/>
      <c r="H103" s="12"/>
    </row>
    <row r="104" spans="1:8" x14ac:dyDescent="0.25">
      <c r="A104" s="27"/>
      <c r="B104" s="29" t="s">
        <v>11</v>
      </c>
      <c r="C104" s="2">
        <v>1008030.66</v>
      </c>
      <c r="D104" s="2">
        <f>C104/4</f>
        <v>252007.66500000001</v>
      </c>
      <c r="E104" s="11">
        <f>90740.06+75740.06+75740.06</f>
        <v>242220.18</v>
      </c>
      <c r="F104" s="2">
        <f>C104-E104</f>
        <v>765810.48</v>
      </c>
      <c r="G104" s="2">
        <f>D104-E104</f>
        <v>9787.4850000000151</v>
      </c>
      <c r="H104" s="12"/>
    </row>
    <row r="105" spans="1:8" x14ac:dyDescent="0.25">
      <c r="A105" s="27"/>
      <c r="B105" s="29" t="s">
        <v>12</v>
      </c>
      <c r="C105" s="2">
        <v>61275.5</v>
      </c>
      <c r="D105" s="2"/>
      <c r="E105" s="11">
        <f>716+19798</f>
        <v>20514</v>
      </c>
      <c r="F105" s="2">
        <f>C105-E105</f>
        <v>40761.5</v>
      </c>
      <c r="G105" s="2">
        <f>D105-E105</f>
        <v>-20514</v>
      </c>
      <c r="H105" s="12"/>
    </row>
    <row r="106" spans="1:8" x14ac:dyDescent="0.25">
      <c r="A106" s="27"/>
      <c r="B106" s="29" t="s">
        <v>13</v>
      </c>
      <c r="C106" s="2"/>
      <c r="D106" s="2"/>
      <c r="E106" s="2"/>
      <c r="F106" s="2"/>
      <c r="G106" s="2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2"/>
      <c r="H107" s="12"/>
    </row>
    <row r="108" spans="1:8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252007.66500000001</v>
      </c>
      <c r="E108" s="8">
        <f>SUM(E104:E107)</f>
        <v>262734.18</v>
      </c>
      <c r="F108" s="8">
        <f>SUM(F104:F107)</f>
        <v>806571.98</v>
      </c>
      <c r="G108" s="8">
        <f>SUM(G104:G107)</f>
        <v>-10726.514999999985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2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2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2">
        <f>D111-E111</f>
        <v>0</v>
      </c>
      <c r="H111" s="12"/>
    </row>
    <row r="112" spans="1:8" x14ac:dyDescent="0.25">
      <c r="A112" s="27"/>
      <c r="B112" s="29" t="s">
        <v>12</v>
      </c>
      <c r="C112" s="2">
        <v>66400</v>
      </c>
      <c r="D112" s="2">
        <v>10423.799999999999</v>
      </c>
      <c r="E112" s="2"/>
      <c r="F112" s="2">
        <f>C112-E112</f>
        <v>66400</v>
      </c>
      <c r="G112" s="2">
        <f>D112-E112</f>
        <v>10423.799999999999</v>
      </c>
      <c r="H112" s="12"/>
    </row>
    <row r="113" spans="1:8" x14ac:dyDescent="0.25">
      <c r="A113" s="27"/>
      <c r="B113" s="29" t="s">
        <v>13</v>
      </c>
      <c r="C113" s="2"/>
      <c r="D113" s="2"/>
      <c r="E113" s="2"/>
      <c r="F113" s="2"/>
      <c r="G113" s="2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2"/>
      <c r="H114" s="12"/>
    </row>
    <row r="115" spans="1:8" x14ac:dyDescent="0.25">
      <c r="A115" s="31"/>
      <c r="B115" s="30" t="s">
        <v>27</v>
      </c>
      <c r="C115" s="8">
        <f>SUM(C111:C114)</f>
        <v>66400</v>
      </c>
      <c r="D115" s="8">
        <f>SUM(D111:D114)</f>
        <v>10423.799999999999</v>
      </c>
      <c r="E115" s="8">
        <f>SUM(E111:E114)</f>
        <v>0</v>
      </c>
      <c r="F115" s="8">
        <f>SUM(F111:F114)</f>
        <v>66400</v>
      </c>
      <c r="G115" s="8">
        <f>SUM(G111:G114)</f>
        <v>10423.799999999999</v>
      </c>
      <c r="H115" s="12"/>
    </row>
    <row r="116" spans="1:8" ht="15.75" thickBot="1" x14ac:dyDescent="0.3">
      <c r="A116" s="37"/>
      <c r="B116" s="38"/>
      <c r="C116" s="9"/>
      <c r="D116" s="9"/>
      <c r="E116" s="9"/>
      <c r="F116" s="9"/>
      <c r="G116" s="34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E15+E22+E29+E36+E43+E50+E57+E73+E80+E87+E94+E101+E108+E115+E174+E175</f>
        <v>6742609.8499999987</v>
      </c>
      <c r="F118" s="12"/>
      <c r="G118" s="12"/>
      <c r="H118" s="12"/>
    </row>
    <row r="119" spans="1:8" x14ac:dyDescent="0.25">
      <c r="C119" s="12"/>
      <c r="D119" s="12"/>
      <c r="E119" s="12">
        <f>E12+E19+E26+E33+E40+E47+E54+E70+E77+E84+E91+E98+E105</f>
        <v>1141821.8899999999</v>
      </c>
      <c r="F119" s="12"/>
      <c r="G119" s="12"/>
      <c r="H119" s="12"/>
    </row>
    <row r="120" spans="1:8" x14ac:dyDescent="0.25">
      <c r="A120" s="13" t="s">
        <v>0</v>
      </c>
      <c r="B120" s="36"/>
      <c r="C120" s="10"/>
      <c r="D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183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88" t="s">
        <v>3</v>
      </c>
      <c r="B125" s="88" t="s">
        <v>4</v>
      </c>
      <c r="C125" s="88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89"/>
      <c r="B126" s="89"/>
      <c r="C126" s="89"/>
      <c r="D126" s="89"/>
      <c r="E126" s="89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35000</v>
      </c>
      <c r="D128" s="2"/>
      <c r="E128" s="2"/>
      <c r="F128" s="2">
        <f t="shared" ref="F128:F157" si="2">C128-E128</f>
        <v>35000</v>
      </c>
      <c r="G128" s="2">
        <f t="shared" ref="G128:G158" si="3">D128-E128</f>
        <v>0</v>
      </c>
      <c r="H128" s="12"/>
    </row>
    <row r="129" spans="1:10" x14ac:dyDescent="0.25">
      <c r="A129" s="18"/>
      <c r="B129" s="18" t="s">
        <v>32</v>
      </c>
      <c r="C129" s="2">
        <v>250000</v>
      </c>
      <c r="D129" s="2"/>
      <c r="E129" s="11">
        <f>30000+1000+585</f>
        <v>31585</v>
      </c>
      <c r="F129" s="2"/>
      <c r="G129" s="2"/>
      <c r="H129" s="12"/>
    </row>
    <row r="130" spans="1:10" x14ac:dyDescent="0.25">
      <c r="A130" s="18"/>
      <c r="B130" s="18" t="s">
        <v>35</v>
      </c>
      <c r="C130" s="2">
        <v>430000</v>
      </c>
      <c r="D130" s="2"/>
      <c r="E130" s="11">
        <f>19663+75011+83200</f>
        <v>177874</v>
      </c>
      <c r="F130" s="2"/>
      <c r="G130" s="2"/>
      <c r="H130" s="12"/>
    </row>
    <row r="131" spans="1:10" x14ac:dyDescent="0.25">
      <c r="A131" s="18"/>
      <c r="B131" s="18" t="s">
        <v>96</v>
      </c>
      <c r="C131" s="2">
        <v>200000</v>
      </c>
      <c r="D131" s="2"/>
      <c r="E131" s="2"/>
      <c r="F131" s="2"/>
      <c r="G131" s="2"/>
      <c r="H131" s="12"/>
    </row>
    <row r="132" spans="1:10" x14ac:dyDescent="0.25">
      <c r="A132" s="18"/>
      <c r="B132" s="18" t="s">
        <v>100</v>
      </c>
      <c r="C132" s="2">
        <v>300000</v>
      </c>
      <c r="D132" s="2"/>
      <c r="E132" s="2"/>
      <c r="F132" s="2"/>
      <c r="G132" s="2"/>
      <c r="H132" s="12"/>
    </row>
    <row r="133" spans="1:10" x14ac:dyDescent="0.25">
      <c r="A133" s="18"/>
      <c r="B133" s="18" t="s">
        <v>181</v>
      </c>
      <c r="C133" s="2">
        <v>180000</v>
      </c>
      <c r="D133" s="2"/>
      <c r="E133" s="2"/>
      <c r="F133" s="2"/>
      <c r="G133" s="2"/>
      <c r="H133" s="12"/>
    </row>
    <row r="134" spans="1:10" x14ac:dyDescent="0.25">
      <c r="A134" s="18"/>
      <c r="B134" s="18" t="s">
        <v>31</v>
      </c>
      <c r="C134" s="2"/>
      <c r="D134" s="2"/>
      <c r="E134" s="2"/>
      <c r="F134" s="2"/>
      <c r="G134" s="2"/>
      <c r="H134" s="12"/>
      <c r="I134" s="13">
        <f>230*22</f>
        <v>5060</v>
      </c>
    </row>
    <row r="135" spans="1:10" x14ac:dyDescent="0.25">
      <c r="A135" s="18"/>
      <c r="B135" s="55" t="s">
        <v>146</v>
      </c>
      <c r="C135" s="2">
        <v>300000</v>
      </c>
      <c r="D135" s="2"/>
      <c r="E135" s="2"/>
      <c r="F135" s="2"/>
      <c r="G135" s="2"/>
      <c r="H135" s="12"/>
      <c r="I135" s="13">
        <f>I134*12</f>
        <v>60720</v>
      </c>
    </row>
    <row r="136" spans="1:10" x14ac:dyDescent="0.25">
      <c r="A136" s="18"/>
      <c r="B136" s="55" t="s">
        <v>147</v>
      </c>
      <c r="C136" s="2">
        <v>400000</v>
      </c>
      <c r="D136" s="2"/>
      <c r="E136" s="2"/>
      <c r="F136" s="2"/>
      <c r="G136" s="2"/>
      <c r="H136" s="12"/>
    </row>
    <row r="137" spans="1:10" x14ac:dyDescent="0.25">
      <c r="A137" s="18"/>
      <c r="B137" s="55" t="s">
        <v>148</v>
      </c>
      <c r="C137" s="2">
        <v>200000</v>
      </c>
      <c r="D137" s="2"/>
      <c r="E137" s="2"/>
      <c r="F137" s="2"/>
      <c r="G137" s="2"/>
      <c r="H137" s="12"/>
      <c r="I137" s="12">
        <v>32882308.219999999</v>
      </c>
    </row>
    <row r="138" spans="1:10" x14ac:dyDescent="0.25">
      <c r="A138" s="18"/>
      <c r="B138" s="55" t="s">
        <v>149</v>
      </c>
      <c r="C138" s="2">
        <v>100000</v>
      </c>
      <c r="D138" s="2"/>
      <c r="E138" s="2"/>
      <c r="F138" s="2">
        <f t="shared" si="2"/>
        <v>100000</v>
      </c>
      <c r="G138" s="2">
        <f t="shared" si="3"/>
        <v>0</v>
      </c>
      <c r="H138" s="12"/>
      <c r="I138" s="12">
        <v>17921</v>
      </c>
    </row>
    <row r="139" spans="1:10" x14ac:dyDescent="0.25">
      <c r="A139" s="18"/>
      <c r="B139" s="18" t="s">
        <v>151</v>
      </c>
      <c r="C139" s="2">
        <v>125000</v>
      </c>
      <c r="D139" s="2"/>
      <c r="E139" s="11">
        <v>8000</v>
      </c>
      <c r="F139" s="2">
        <f t="shared" si="2"/>
        <v>117000</v>
      </c>
      <c r="G139" s="2">
        <f t="shared" si="3"/>
        <v>-8000</v>
      </c>
      <c r="H139" s="12"/>
      <c r="I139" s="13">
        <f>I137/I138</f>
        <v>1834.8478444283242</v>
      </c>
      <c r="J139" s="12"/>
    </row>
    <row r="140" spans="1:10" x14ac:dyDescent="0.25">
      <c r="A140" s="18"/>
      <c r="B140" s="27" t="s">
        <v>150</v>
      </c>
      <c r="C140" s="2">
        <v>20000</v>
      </c>
      <c r="D140" s="2"/>
      <c r="E140" s="2"/>
      <c r="F140" s="2">
        <f>C129-E140</f>
        <v>250000</v>
      </c>
      <c r="G140" s="2">
        <f t="shared" si="3"/>
        <v>0</v>
      </c>
      <c r="H140" s="12"/>
      <c r="I140" s="12">
        <v>22067089.800000001</v>
      </c>
      <c r="J140" s="12">
        <v>857870</v>
      </c>
    </row>
    <row r="141" spans="1:10" x14ac:dyDescent="0.25">
      <c r="A141" s="18"/>
      <c r="B141" s="18" t="s">
        <v>98</v>
      </c>
      <c r="C141" s="2">
        <v>80000</v>
      </c>
      <c r="D141" s="2"/>
      <c r="E141" s="11">
        <v>8719</v>
      </c>
      <c r="F141" s="2"/>
      <c r="G141" s="2"/>
      <c r="H141" s="12"/>
      <c r="I141" s="13">
        <f>I140/I137</f>
        <v>0.67109308909701604</v>
      </c>
      <c r="J141" s="12"/>
    </row>
    <row r="142" spans="1:10" x14ac:dyDescent="0.25">
      <c r="A142" s="18"/>
      <c r="B142" s="18" t="s">
        <v>94</v>
      </c>
      <c r="C142" s="2">
        <v>75000</v>
      </c>
      <c r="D142" s="2"/>
      <c r="E142" s="2"/>
      <c r="F142" s="2">
        <f t="shared" si="2"/>
        <v>75000</v>
      </c>
      <c r="G142" s="2">
        <f t="shared" si="3"/>
        <v>0</v>
      </c>
      <c r="H142" s="12"/>
      <c r="J142" s="12"/>
    </row>
    <row r="143" spans="1:10" x14ac:dyDescent="0.25">
      <c r="A143" s="18"/>
      <c r="B143" s="18" t="s">
        <v>179</v>
      </c>
      <c r="C143" s="2">
        <v>50000</v>
      </c>
      <c r="D143" s="2"/>
      <c r="E143" s="2"/>
      <c r="F143" s="2"/>
      <c r="G143" s="2"/>
      <c r="H143" s="12"/>
      <c r="J143" s="12"/>
    </row>
    <row r="144" spans="1:10" x14ac:dyDescent="0.25">
      <c r="A144" s="18"/>
      <c r="B144" s="18" t="s">
        <v>110</v>
      </c>
      <c r="C144" s="2">
        <v>1200000</v>
      </c>
      <c r="D144" s="2"/>
      <c r="E144" s="11">
        <f>91110+212475+266572.5</f>
        <v>570157.5</v>
      </c>
      <c r="F144" s="2">
        <f t="shared" si="2"/>
        <v>629842.5</v>
      </c>
      <c r="G144" s="2">
        <f t="shared" si="3"/>
        <v>-570157.5</v>
      </c>
      <c r="H144" s="12"/>
      <c r="J144" s="12"/>
    </row>
    <row r="145" spans="1:10" x14ac:dyDescent="0.25">
      <c r="A145" s="18"/>
      <c r="B145" s="18" t="s">
        <v>49</v>
      </c>
      <c r="C145" s="2">
        <v>100000</v>
      </c>
      <c r="D145" s="2"/>
      <c r="E145" s="11">
        <v>100000</v>
      </c>
      <c r="F145" s="2">
        <f t="shared" si="2"/>
        <v>0</v>
      </c>
      <c r="G145" s="2">
        <f t="shared" si="3"/>
        <v>-100000</v>
      </c>
      <c r="H145" s="12"/>
      <c r="J145" s="12">
        <f>J140*55%</f>
        <v>471828.50000000006</v>
      </c>
    </row>
    <row r="146" spans="1:10" x14ac:dyDescent="0.25">
      <c r="A146" s="18"/>
      <c r="B146" s="18" t="s">
        <v>33</v>
      </c>
      <c r="C146" s="2">
        <v>150000</v>
      </c>
      <c r="D146" s="2"/>
      <c r="E146" s="2"/>
      <c r="F146" s="2"/>
      <c r="G146" s="2"/>
      <c r="H146" s="12"/>
      <c r="J146" s="12"/>
    </row>
    <row r="147" spans="1:10" x14ac:dyDescent="0.25">
      <c r="A147" s="18"/>
      <c r="B147" s="18" t="s">
        <v>152</v>
      </c>
      <c r="C147" s="2">
        <v>70000</v>
      </c>
      <c r="D147" s="2"/>
      <c r="E147" s="2"/>
      <c r="F147" s="2"/>
      <c r="G147" s="2"/>
      <c r="H147" s="12"/>
      <c r="J147" s="12"/>
    </row>
    <row r="148" spans="1:10" x14ac:dyDescent="0.25">
      <c r="A148" s="18"/>
      <c r="B148" s="18" t="s">
        <v>42</v>
      </c>
      <c r="C148" s="2">
        <v>15000</v>
      </c>
      <c r="D148" s="2"/>
      <c r="E148" s="2"/>
      <c r="F148" s="2"/>
      <c r="G148" s="2"/>
      <c r="H148" s="12"/>
      <c r="J148" s="12"/>
    </row>
    <row r="149" spans="1:10" x14ac:dyDescent="0.25">
      <c r="A149" s="18"/>
      <c r="B149" s="18" t="s">
        <v>43</v>
      </c>
      <c r="C149" s="2">
        <v>10000</v>
      </c>
      <c r="D149" s="2"/>
      <c r="E149" s="2"/>
      <c r="F149" s="2"/>
      <c r="G149" s="2"/>
      <c r="H149" s="12"/>
      <c r="J149" s="12"/>
    </row>
    <row r="150" spans="1:10" x14ac:dyDescent="0.25">
      <c r="A150" s="18"/>
      <c r="B150" s="18" t="s">
        <v>153</v>
      </c>
      <c r="C150" s="2">
        <v>1000000</v>
      </c>
      <c r="D150" s="2"/>
      <c r="E150" s="11">
        <v>48800</v>
      </c>
      <c r="F150" s="2">
        <f t="shared" si="2"/>
        <v>951200</v>
      </c>
      <c r="G150" s="2">
        <f t="shared" si="3"/>
        <v>-48800</v>
      </c>
      <c r="J150" s="12"/>
    </row>
    <row r="151" spans="1:10" x14ac:dyDescent="0.25">
      <c r="A151" s="18"/>
      <c r="B151" s="18" t="s">
        <v>154</v>
      </c>
      <c r="C151" s="2">
        <v>20000</v>
      </c>
      <c r="D151" s="2"/>
      <c r="E151" s="2"/>
      <c r="F151" s="2">
        <f t="shared" si="2"/>
        <v>20000</v>
      </c>
      <c r="G151" s="2"/>
      <c r="J151" s="12"/>
    </row>
    <row r="152" spans="1:10" x14ac:dyDescent="0.25">
      <c r="A152" s="18"/>
      <c r="B152" s="18" t="s">
        <v>102</v>
      </c>
      <c r="C152" s="2">
        <v>15000</v>
      </c>
      <c r="D152" s="2"/>
      <c r="E152" s="2"/>
      <c r="F152" s="2">
        <f t="shared" si="2"/>
        <v>15000</v>
      </c>
      <c r="G152" s="2">
        <f t="shared" si="3"/>
        <v>0</v>
      </c>
      <c r="J152" s="12"/>
    </row>
    <row r="153" spans="1:10" x14ac:dyDescent="0.25">
      <c r="A153" s="18"/>
      <c r="B153" s="18" t="s">
        <v>51</v>
      </c>
      <c r="C153" s="2">
        <v>750000</v>
      </c>
      <c r="D153" s="2"/>
      <c r="E153" s="11">
        <f>1200+3225</f>
        <v>4425</v>
      </c>
      <c r="F153" s="2">
        <f t="shared" si="2"/>
        <v>745575</v>
      </c>
      <c r="G153" s="2">
        <f t="shared" si="3"/>
        <v>-4425</v>
      </c>
      <c r="J153" s="12"/>
    </row>
    <row r="154" spans="1:10" x14ac:dyDescent="0.25">
      <c r="A154" s="18"/>
      <c r="B154" s="18" t="s">
        <v>52</v>
      </c>
      <c r="C154" s="2">
        <v>50000</v>
      </c>
      <c r="D154" s="2"/>
      <c r="E154" s="2"/>
      <c r="F154" s="2">
        <f t="shared" si="2"/>
        <v>50000</v>
      </c>
      <c r="G154" s="2">
        <f t="shared" si="3"/>
        <v>0</v>
      </c>
    </row>
    <row r="155" spans="1:10" x14ac:dyDescent="0.25">
      <c r="A155" s="18"/>
      <c r="B155" s="18" t="s">
        <v>155</v>
      </c>
      <c r="C155" s="2">
        <v>40247.599999999999</v>
      </c>
      <c r="D155" s="2"/>
      <c r="E155" s="2"/>
      <c r="F155" s="2">
        <f t="shared" si="2"/>
        <v>40247.599999999999</v>
      </c>
      <c r="G155" s="2">
        <f t="shared" si="3"/>
        <v>0</v>
      </c>
    </row>
    <row r="156" spans="1:10" x14ac:dyDescent="0.25">
      <c r="A156" s="18"/>
      <c r="B156" s="18" t="s">
        <v>180</v>
      </c>
      <c r="C156" s="2">
        <v>400000</v>
      </c>
      <c r="D156" s="2"/>
      <c r="E156" s="2"/>
      <c r="F156" s="2">
        <f t="shared" si="2"/>
        <v>400000</v>
      </c>
      <c r="G156" s="2"/>
    </row>
    <row r="157" spans="1:10" x14ac:dyDescent="0.25">
      <c r="A157" s="18"/>
      <c r="B157" s="18" t="s">
        <v>104</v>
      </c>
      <c r="C157" s="2">
        <v>700000</v>
      </c>
      <c r="D157" s="2"/>
      <c r="E157" s="11">
        <v>194101</v>
      </c>
      <c r="F157" s="2">
        <f t="shared" si="2"/>
        <v>505899</v>
      </c>
      <c r="G157" s="2">
        <f t="shared" si="3"/>
        <v>-194101</v>
      </c>
    </row>
    <row r="158" spans="1:10" x14ac:dyDescent="0.25">
      <c r="A158" s="39"/>
      <c r="B158" s="39"/>
      <c r="C158" s="6"/>
      <c r="D158" s="6"/>
      <c r="E158" s="6"/>
      <c r="F158" s="2"/>
      <c r="G158" s="2">
        <f t="shared" si="3"/>
        <v>0</v>
      </c>
    </row>
    <row r="159" spans="1:10" x14ac:dyDescent="0.25">
      <c r="A159" s="40"/>
      <c r="B159" s="30" t="s">
        <v>27</v>
      </c>
      <c r="C159" s="8">
        <f>SUM(C128:C158)</f>
        <v>7265247.5999999996</v>
      </c>
      <c r="D159" s="8">
        <f>SUM(D128:D158)</f>
        <v>0</v>
      </c>
      <c r="E159" s="8">
        <f>SUM(E128:E158)</f>
        <v>1143661.5</v>
      </c>
      <c r="F159" s="8">
        <f>SUM(F128:F158)</f>
        <v>3934764.1</v>
      </c>
      <c r="G159" s="8">
        <f>SUM(G128:G158)</f>
        <v>-925483.5</v>
      </c>
    </row>
    <row r="160" spans="1:10" x14ac:dyDescent="0.25">
      <c r="C160" s="7"/>
    </row>
    <row r="161" spans="1:9" x14ac:dyDescent="0.25">
      <c r="C161" s="14"/>
    </row>
    <row r="162" spans="1:9" x14ac:dyDescent="0.25">
      <c r="C162" s="14"/>
    </row>
    <row r="164" spans="1:9" x14ac:dyDescent="0.25">
      <c r="A164" s="13" t="s">
        <v>0</v>
      </c>
      <c r="B164" s="36"/>
      <c r="C164" s="10"/>
      <c r="D164" s="10"/>
      <c r="E164" s="10" t="e">
        <f>'[2]2013'!#REF!-E163</f>
        <v>#REF!</v>
      </c>
      <c r="F164" s="10"/>
      <c r="G164" s="10"/>
    </row>
    <row r="165" spans="1:9" x14ac:dyDescent="0.25">
      <c r="A165" s="13" t="s">
        <v>1</v>
      </c>
      <c r="B165" s="36"/>
      <c r="C165" s="10"/>
      <c r="D165" s="10"/>
      <c r="E165" s="10"/>
      <c r="F165" s="10"/>
      <c r="G165" s="10"/>
    </row>
    <row r="166" spans="1:9" x14ac:dyDescent="0.25">
      <c r="A166" s="13" t="s">
        <v>2</v>
      </c>
      <c r="B166" s="36"/>
      <c r="C166" s="10"/>
      <c r="D166" s="10"/>
      <c r="E166" s="10"/>
      <c r="F166" s="10"/>
      <c r="G166" s="10"/>
    </row>
    <row r="167" spans="1:9" x14ac:dyDescent="0.25">
      <c r="A167" s="24" t="s">
        <v>183</v>
      </c>
      <c r="B167" s="36"/>
      <c r="C167" s="10"/>
      <c r="D167" s="10"/>
      <c r="E167" s="10"/>
      <c r="F167" s="10"/>
      <c r="G167" s="10"/>
    </row>
    <row r="168" spans="1:9" x14ac:dyDescent="0.25">
      <c r="A168" s="35"/>
      <c r="B168" s="36"/>
      <c r="C168" s="10"/>
      <c r="D168" s="10"/>
      <c r="E168" s="10"/>
      <c r="F168" s="10"/>
      <c r="G168" s="10"/>
    </row>
    <row r="169" spans="1:9" x14ac:dyDescent="0.25">
      <c r="A169" s="88" t="s">
        <v>3</v>
      </c>
      <c r="B169" s="88" t="s">
        <v>4</v>
      </c>
      <c r="C169" s="88" t="s">
        <v>5</v>
      </c>
      <c r="D169" s="88" t="s">
        <v>6</v>
      </c>
      <c r="E169" s="88" t="s">
        <v>7</v>
      </c>
      <c r="F169" s="15" t="s">
        <v>8</v>
      </c>
      <c r="G169" s="15" t="s">
        <v>8</v>
      </c>
    </row>
    <row r="170" spans="1:9" x14ac:dyDescent="0.25">
      <c r="A170" s="89"/>
      <c r="B170" s="89"/>
      <c r="C170" s="89"/>
      <c r="D170" s="89"/>
      <c r="E170" s="89"/>
      <c r="F170" s="16" t="s">
        <v>5</v>
      </c>
      <c r="G170" s="16" t="s">
        <v>6</v>
      </c>
    </row>
    <row r="171" spans="1:9" x14ac:dyDescent="0.25">
      <c r="A171" s="17"/>
      <c r="B171" s="17"/>
      <c r="C171" s="17"/>
      <c r="D171" s="17"/>
      <c r="E171" s="17"/>
      <c r="F171" s="17"/>
      <c r="G171" s="17"/>
    </row>
    <row r="172" spans="1:9" x14ac:dyDescent="0.25">
      <c r="A172" s="18"/>
      <c r="B172" s="28" t="s">
        <v>53</v>
      </c>
      <c r="C172" s="18"/>
      <c r="D172" s="18"/>
      <c r="E172" s="18"/>
      <c r="F172" s="18"/>
      <c r="G172" s="18"/>
    </row>
    <row r="173" spans="1:9" x14ac:dyDescent="0.25">
      <c r="A173" s="18"/>
      <c r="B173" s="29" t="s">
        <v>11</v>
      </c>
      <c r="C173" s="2"/>
      <c r="D173" s="2"/>
      <c r="E173" s="2"/>
      <c r="F173" s="2"/>
      <c r="G173" s="2"/>
    </row>
    <row r="174" spans="1:9" x14ac:dyDescent="0.25">
      <c r="A174" s="18"/>
      <c r="B174" s="4" t="s">
        <v>58</v>
      </c>
      <c r="C174" s="2">
        <v>320000</v>
      </c>
      <c r="D174" s="2">
        <v>150000</v>
      </c>
      <c r="E174" s="11">
        <f>165164.16+100909.81</f>
        <v>266073.96999999997</v>
      </c>
      <c r="F174" s="2">
        <f t="shared" ref="F174:F188" si="4">C174-E174</f>
        <v>53926.030000000028</v>
      </c>
      <c r="G174" s="2">
        <f t="shared" ref="G174:G188" si="5">D174-E174</f>
        <v>-116073.96999999997</v>
      </c>
    </row>
    <row r="175" spans="1:9" x14ac:dyDescent="0.25">
      <c r="A175" s="18"/>
      <c r="B175" s="4" t="s">
        <v>59</v>
      </c>
      <c r="C175" s="2">
        <v>1060000</v>
      </c>
      <c r="D175" s="2">
        <f>95000*3</f>
        <v>285000</v>
      </c>
      <c r="E175" s="11">
        <f>126000+126000+126000</f>
        <v>378000</v>
      </c>
      <c r="F175" s="2">
        <f t="shared" si="4"/>
        <v>682000</v>
      </c>
      <c r="G175" s="2">
        <f t="shared" si="5"/>
        <v>-93000</v>
      </c>
      <c r="I175" s="14">
        <f>E175*12</f>
        <v>4536000</v>
      </c>
    </row>
    <row r="176" spans="1:9" x14ac:dyDescent="0.25">
      <c r="A176" s="18"/>
      <c r="B176" s="29" t="s">
        <v>12</v>
      </c>
      <c r="C176" s="2"/>
      <c r="D176" s="2"/>
      <c r="E176" s="2"/>
      <c r="F176" s="2">
        <f t="shared" si="4"/>
        <v>0</v>
      </c>
      <c r="G176" s="2">
        <f t="shared" si="5"/>
        <v>0</v>
      </c>
    </row>
    <row r="177" spans="1:9" x14ac:dyDescent="0.25">
      <c r="A177" s="18"/>
      <c r="B177" s="4" t="s">
        <v>54</v>
      </c>
      <c r="C177" s="2">
        <v>2176195.09</v>
      </c>
      <c r="D177" s="2">
        <v>404890.34</v>
      </c>
      <c r="E177" s="11">
        <f>1467.69+114748.42+471913.92</f>
        <v>588130.03</v>
      </c>
      <c r="F177" s="2">
        <f t="shared" si="4"/>
        <v>1588065.0599999998</v>
      </c>
      <c r="G177" s="2">
        <f t="shared" si="5"/>
        <v>-183239.69</v>
      </c>
      <c r="I177" s="14">
        <f>C177/4</f>
        <v>544048.77249999996</v>
      </c>
    </row>
    <row r="178" spans="1:9" x14ac:dyDescent="0.25">
      <c r="A178" s="18"/>
      <c r="B178" s="4" t="s">
        <v>55</v>
      </c>
      <c r="C178" s="2">
        <v>15000</v>
      </c>
      <c r="D178" s="2"/>
      <c r="E178" s="2"/>
      <c r="F178" s="2">
        <f t="shared" si="4"/>
        <v>15000</v>
      </c>
      <c r="G178" s="2">
        <f t="shared" si="5"/>
        <v>0</v>
      </c>
    </row>
    <row r="179" spans="1:9" x14ac:dyDescent="0.25">
      <c r="A179" s="18"/>
      <c r="B179" s="4" t="s">
        <v>56</v>
      </c>
      <c r="C179" s="2">
        <v>20000</v>
      </c>
      <c r="D179" s="2"/>
      <c r="E179" s="11">
        <v>5000</v>
      </c>
      <c r="F179" s="2">
        <f t="shared" si="4"/>
        <v>15000</v>
      </c>
      <c r="G179" s="2">
        <f t="shared" si="5"/>
        <v>-5000</v>
      </c>
    </row>
    <row r="180" spans="1:9" x14ac:dyDescent="0.25">
      <c r="A180" s="18"/>
      <c r="B180" s="4" t="s">
        <v>175</v>
      </c>
      <c r="C180" s="2">
        <v>2176195.09</v>
      </c>
      <c r="D180" s="2"/>
      <c r="E180" s="11">
        <f>9787+17000+555123.93</f>
        <v>581910.93000000005</v>
      </c>
      <c r="F180" s="2">
        <f t="shared" si="4"/>
        <v>1594284.1599999997</v>
      </c>
      <c r="G180" s="2">
        <f t="shared" si="5"/>
        <v>-581910.93000000005</v>
      </c>
    </row>
    <row r="181" spans="1:9" x14ac:dyDescent="0.25">
      <c r="A181" s="18"/>
      <c r="B181" s="4" t="s">
        <v>176</v>
      </c>
      <c r="C181" s="2">
        <v>435239.01</v>
      </c>
      <c r="D181" s="2"/>
      <c r="E181" s="11">
        <f>8000+20000+8000</f>
        <v>36000</v>
      </c>
      <c r="F181" s="2"/>
      <c r="G181" s="2"/>
    </row>
    <row r="182" spans="1:9" x14ac:dyDescent="0.25">
      <c r="A182" s="18"/>
      <c r="B182" s="58" t="s">
        <v>177</v>
      </c>
      <c r="C182" s="2">
        <v>363262.38</v>
      </c>
      <c r="D182" s="2"/>
      <c r="E182" s="2"/>
      <c r="F182" s="2">
        <f t="shared" si="4"/>
        <v>363262.38</v>
      </c>
      <c r="G182" s="2">
        <f t="shared" si="5"/>
        <v>0</v>
      </c>
    </row>
    <row r="183" spans="1:9" x14ac:dyDescent="0.25">
      <c r="A183" s="18"/>
      <c r="B183" s="4" t="s">
        <v>178</v>
      </c>
      <c r="C183" s="2">
        <v>100172.48</v>
      </c>
      <c r="D183" s="2"/>
      <c r="E183" s="2"/>
      <c r="F183" s="2">
        <f t="shared" si="4"/>
        <v>100172.48</v>
      </c>
      <c r="G183" s="2">
        <f t="shared" si="5"/>
        <v>0</v>
      </c>
    </row>
    <row r="184" spans="1:9" x14ac:dyDescent="0.25">
      <c r="A184" s="18"/>
      <c r="B184" s="4" t="s">
        <v>113</v>
      </c>
      <c r="C184" s="2">
        <v>150000</v>
      </c>
      <c r="D184" s="2"/>
      <c r="E184" s="11">
        <f>6740+6470+57760</f>
        <v>70970</v>
      </c>
      <c r="F184" s="2"/>
      <c r="G184" s="2"/>
    </row>
    <row r="185" spans="1:9" x14ac:dyDescent="0.25">
      <c r="A185" s="18"/>
      <c r="B185" s="29" t="s">
        <v>13</v>
      </c>
      <c r="C185" s="2"/>
      <c r="D185" s="2"/>
      <c r="E185" s="2"/>
      <c r="F185" s="2">
        <f t="shared" si="4"/>
        <v>0</v>
      </c>
      <c r="G185" s="2">
        <f t="shared" si="5"/>
        <v>0</v>
      </c>
    </row>
    <row r="186" spans="1:9" x14ac:dyDescent="0.25">
      <c r="A186" s="18"/>
      <c r="B186" s="4" t="s">
        <v>159</v>
      </c>
      <c r="C186" s="2">
        <v>500000</v>
      </c>
      <c r="D186" s="2"/>
      <c r="E186" s="11">
        <f>20189+8760</f>
        <v>28949</v>
      </c>
      <c r="F186" s="2">
        <f t="shared" si="4"/>
        <v>471051</v>
      </c>
      <c r="G186" s="2">
        <f t="shared" si="5"/>
        <v>-28949</v>
      </c>
    </row>
    <row r="187" spans="1:9" x14ac:dyDescent="0.25">
      <c r="A187" s="18"/>
      <c r="B187" s="4" t="s">
        <v>62</v>
      </c>
      <c r="C187" s="2"/>
      <c r="D187" s="2"/>
      <c r="E187" s="2"/>
      <c r="F187" s="2">
        <f t="shared" si="4"/>
        <v>0</v>
      </c>
      <c r="G187" s="2">
        <f t="shared" si="5"/>
        <v>0</v>
      </c>
    </row>
    <row r="188" spans="1:9" x14ac:dyDescent="0.25">
      <c r="A188" s="18"/>
      <c r="B188" s="5" t="s">
        <v>63</v>
      </c>
      <c r="C188" s="2">
        <v>1600000</v>
      </c>
      <c r="D188" s="2"/>
      <c r="E188" s="11">
        <v>1564814.07</v>
      </c>
      <c r="F188" s="2">
        <f t="shared" si="4"/>
        <v>35185.929999999935</v>
      </c>
      <c r="G188" s="2">
        <f t="shared" si="5"/>
        <v>-1564814.07</v>
      </c>
    </row>
    <row r="189" spans="1:9" x14ac:dyDescent="0.25">
      <c r="A189" s="18"/>
      <c r="B189" s="4"/>
      <c r="C189" s="2"/>
      <c r="D189" s="2"/>
      <c r="E189" s="2"/>
      <c r="F189" s="2"/>
      <c r="G189" s="2"/>
    </row>
    <row r="190" spans="1:9" x14ac:dyDescent="0.25">
      <c r="A190" s="18"/>
      <c r="B190" s="41" t="s">
        <v>27</v>
      </c>
      <c r="C190" s="8">
        <f>SUM(C174:C189)</f>
        <v>8916064.0500000007</v>
      </c>
      <c r="D190" s="8">
        <f>SUM(D174:D189)</f>
        <v>839890.34000000008</v>
      </c>
      <c r="E190" s="8">
        <f>SUM(E174:E189)</f>
        <v>3519848</v>
      </c>
      <c r="F190" s="8">
        <f>SUM(F174:F189)</f>
        <v>4917947.04</v>
      </c>
      <c r="G190" s="8">
        <f>SUM(G174:G189)</f>
        <v>-2572987.66</v>
      </c>
    </row>
    <row r="191" spans="1:9" ht="15.75" thickBot="1" x14ac:dyDescent="0.3">
      <c r="A191" s="42"/>
      <c r="B191" s="43" t="s">
        <v>64</v>
      </c>
      <c r="C191" s="20">
        <f>C190+C159+C115+C108+C101+C94+C87+C80+C73+C57+C50+C43+C36+C29+C22+C15</f>
        <v>43523901.710000001</v>
      </c>
      <c r="D191" s="20">
        <f>D190+D159+D115+D108+D101+D94+D87+D80+D73+D57+D50+D43+D36+D29+D22+D15</f>
        <v>6957489.1600000011</v>
      </c>
      <c r="E191" s="20">
        <f>E190+E159+E115+E108+E101+E94+E87+E80+E73+E57+E50+E43+E36+E29+E22+E15</f>
        <v>10762045.379999999</v>
      </c>
      <c r="F191" s="20">
        <f>F190+F159+F115+F108+F101+F94+F87+F80+F73+F57+F50+F43+F36+F29+F22+F15</f>
        <v>30071765.32</v>
      </c>
      <c r="G191" s="20">
        <f>G190+G159+G115+G108+G101+G94+G87+G80+G73+G57+G50+G43+G36+G29+G22+G15</f>
        <v>-3479408.22</v>
      </c>
    </row>
    <row r="192" spans="1:9" ht="15.75" thickTop="1" x14ac:dyDescent="0.25">
      <c r="C192" s="12"/>
      <c r="D192" s="12"/>
      <c r="E192" s="12"/>
      <c r="F192" s="12"/>
      <c r="G192" s="12"/>
    </row>
    <row r="193" spans="2:12" x14ac:dyDescent="0.25">
      <c r="B193" s="13" t="s">
        <v>65</v>
      </c>
      <c r="C193" s="12"/>
      <c r="D193" s="12"/>
      <c r="E193" s="12">
        <v>3045178</v>
      </c>
      <c r="F193" s="12"/>
      <c r="G193" s="12"/>
    </row>
    <row r="194" spans="2:12" x14ac:dyDescent="0.25">
      <c r="C194" s="12"/>
      <c r="D194" s="12"/>
      <c r="E194" s="12">
        <f>E193-E191</f>
        <v>-7716867.379999999</v>
      </c>
      <c r="F194" s="12"/>
      <c r="G194" s="12"/>
    </row>
    <row r="195" spans="2:12" x14ac:dyDescent="0.25">
      <c r="C195" s="12"/>
      <c r="D195" s="12"/>
      <c r="F195" s="12"/>
      <c r="G195" s="12"/>
    </row>
    <row r="196" spans="2:12" x14ac:dyDescent="0.25">
      <c r="B196" s="44" t="s">
        <v>66</v>
      </c>
      <c r="C196" s="12"/>
      <c r="D196" s="12"/>
      <c r="E196" s="12"/>
      <c r="F196" s="12"/>
      <c r="G196" s="12"/>
    </row>
    <row r="197" spans="2:12" x14ac:dyDescent="0.25">
      <c r="B197" s="13" t="s">
        <v>67</v>
      </c>
      <c r="C197" s="12"/>
      <c r="D197" s="90" t="s">
        <v>164</v>
      </c>
      <c r="E197" s="90"/>
      <c r="F197" s="12"/>
      <c r="G197" s="12"/>
    </row>
    <row r="198" spans="2:12" x14ac:dyDescent="0.25">
      <c r="C198" s="12"/>
      <c r="D198" s="12" t="s">
        <v>162</v>
      </c>
      <c r="E198" s="12" t="s">
        <v>163</v>
      </c>
      <c r="F198" s="12"/>
      <c r="G198" s="12"/>
      <c r="H198" s="57">
        <v>0.8</v>
      </c>
      <c r="I198" s="12">
        <v>2159415</v>
      </c>
      <c r="L198" s="13">
        <f>20*20</f>
        <v>400</v>
      </c>
    </row>
    <row r="199" spans="2:12" x14ac:dyDescent="0.25">
      <c r="C199" s="12" t="s">
        <v>160</v>
      </c>
      <c r="D199" s="12">
        <f>5518028.2+D46</f>
        <v>5781364.3150000004</v>
      </c>
      <c r="E199" s="12">
        <v>1646631.99</v>
      </c>
      <c r="F199" s="12"/>
      <c r="G199" s="12"/>
      <c r="H199" s="57">
        <v>0.2</v>
      </c>
      <c r="I199" s="12">
        <v>539854</v>
      </c>
      <c r="L199" s="13">
        <f>15*20</f>
        <v>300</v>
      </c>
    </row>
    <row r="200" spans="2:12" x14ac:dyDescent="0.25">
      <c r="C200" s="12" t="s">
        <v>161</v>
      </c>
      <c r="D200" s="12">
        <f>D191-D199</f>
        <v>1176124.8450000007</v>
      </c>
      <c r="E200" s="12">
        <v>130701.19</v>
      </c>
      <c r="F200" s="12"/>
      <c r="G200" s="12"/>
      <c r="I200" s="12"/>
    </row>
    <row r="201" spans="2:12" x14ac:dyDescent="0.25">
      <c r="C201" s="56">
        <v>0.2</v>
      </c>
      <c r="D201" s="12"/>
      <c r="E201" s="12">
        <v>133869.85</v>
      </c>
      <c r="F201" s="12"/>
      <c r="G201" s="12"/>
      <c r="I201" s="12"/>
      <c r="L201" s="13">
        <f>SUM(L198:L200)</f>
        <v>700</v>
      </c>
    </row>
    <row r="202" spans="2:12" x14ac:dyDescent="0.25">
      <c r="C202" s="56">
        <v>0.05</v>
      </c>
      <c r="D202" s="12">
        <v>404890.34</v>
      </c>
      <c r="E202" s="12">
        <v>14850</v>
      </c>
      <c r="F202" s="12"/>
      <c r="G202" s="12"/>
      <c r="I202" s="12">
        <f>SUM(I198:I201)</f>
        <v>2699269</v>
      </c>
    </row>
    <row r="203" spans="2:12" x14ac:dyDescent="0.25">
      <c r="C203" s="12" t="s">
        <v>120</v>
      </c>
      <c r="D203" s="12"/>
      <c r="E203" s="12">
        <v>7200</v>
      </c>
      <c r="F203" s="12"/>
      <c r="G203" s="12">
        <f>I202-E191</f>
        <v>-8062776.379999999</v>
      </c>
      <c r="I203" s="12"/>
    </row>
    <row r="204" spans="2:12" x14ac:dyDescent="0.25">
      <c r="C204" s="12"/>
      <c r="D204" s="12"/>
      <c r="E204" s="12"/>
      <c r="F204" s="12"/>
      <c r="G204" s="12"/>
      <c r="I204" s="12"/>
    </row>
    <row r="205" spans="2:12" x14ac:dyDescent="0.25">
      <c r="C205" s="12"/>
      <c r="D205" s="12"/>
      <c r="F205" s="12"/>
      <c r="G205" s="12"/>
      <c r="I205" s="12"/>
    </row>
    <row r="206" spans="2:12" x14ac:dyDescent="0.25">
      <c r="C206" s="12" t="s">
        <v>143</v>
      </c>
      <c r="D206" s="12">
        <f>SUM(D199:D205)</f>
        <v>7362379.5000000009</v>
      </c>
      <c r="E206" s="12">
        <f>SUM(E199:E204)</f>
        <v>1933253.03</v>
      </c>
      <c r="F206" s="12"/>
      <c r="G206" s="12"/>
      <c r="I206" s="12"/>
    </row>
    <row r="207" spans="2:12" x14ac:dyDescent="0.25">
      <c r="C207" s="12"/>
      <c r="D207" s="12"/>
      <c r="E207" s="12">
        <f>E191-E206</f>
        <v>8828792.3499999996</v>
      </c>
      <c r="F207" s="12"/>
      <c r="G207" s="12"/>
      <c r="I207" s="12"/>
    </row>
    <row r="208" spans="2:12" x14ac:dyDescent="0.25">
      <c r="C208" s="12"/>
      <c r="D208" s="12">
        <f>32391227</f>
        <v>32391227</v>
      </c>
      <c r="E208" s="12">
        <f>E206-E191</f>
        <v>-8828792.3499999996</v>
      </c>
      <c r="F208" s="12"/>
      <c r="G208" s="12"/>
      <c r="I208" s="12"/>
    </row>
    <row r="209" spans="3:7" x14ac:dyDescent="0.25">
      <c r="C209" s="12"/>
      <c r="D209" s="12">
        <f>D208*5%</f>
        <v>1619561.35</v>
      </c>
      <c r="E209" s="12"/>
      <c r="F209" s="12"/>
      <c r="G209" s="12"/>
    </row>
    <row r="210" spans="3:7" x14ac:dyDescent="0.25">
      <c r="C210" s="12"/>
      <c r="D210" s="12">
        <f>D209/4</f>
        <v>404890.33750000002</v>
      </c>
      <c r="E210" s="12">
        <f>E174+E175</f>
        <v>644073.97</v>
      </c>
      <c r="F210" s="12"/>
      <c r="G210" s="12"/>
    </row>
    <row r="211" spans="3:7" x14ac:dyDescent="0.25">
      <c r="C211" s="12"/>
      <c r="D211" s="12"/>
      <c r="E211" s="12"/>
      <c r="F211" s="12"/>
      <c r="G211" s="12"/>
    </row>
    <row r="212" spans="3:7" x14ac:dyDescent="0.25">
      <c r="C212" s="12"/>
      <c r="D212" s="12"/>
      <c r="E212" s="12">
        <f>E199+E200</f>
        <v>1777333.18</v>
      </c>
      <c r="F212" s="12"/>
      <c r="G212" s="12"/>
    </row>
    <row r="213" spans="3:7" x14ac:dyDescent="0.25">
      <c r="C213" s="12"/>
      <c r="D213" s="12"/>
      <c r="E213" s="12"/>
      <c r="F213" s="12"/>
      <c r="G213" s="12"/>
    </row>
    <row r="214" spans="3:7" x14ac:dyDescent="0.25">
      <c r="C214" s="12"/>
      <c r="D214" s="12"/>
      <c r="E214" s="12"/>
      <c r="F214" s="12"/>
      <c r="G214" s="12"/>
    </row>
    <row r="215" spans="3:7" x14ac:dyDescent="0.25">
      <c r="C215" s="12"/>
      <c r="D215" s="12"/>
      <c r="E215" s="12"/>
      <c r="F215" s="12"/>
      <c r="G215" s="12"/>
    </row>
    <row r="216" spans="3:7" x14ac:dyDescent="0.25">
      <c r="C216" s="12"/>
      <c r="D216" s="12"/>
      <c r="E216" s="12"/>
      <c r="F216" s="12"/>
      <c r="G216" s="12"/>
    </row>
    <row r="217" spans="3:7" x14ac:dyDescent="0.25">
      <c r="C217" s="12"/>
      <c r="D217" s="12"/>
      <c r="E217" s="12"/>
      <c r="F217" s="12"/>
      <c r="G217" s="12"/>
    </row>
    <row r="218" spans="3:7" x14ac:dyDescent="0.25">
      <c r="C218" s="12"/>
      <c r="D218" s="12"/>
      <c r="E218" s="12"/>
      <c r="F218" s="12"/>
      <c r="G218" s="12"/>
    </row>
    <row r="219" spans="3:7" x14ac:dyDescent="0.25">
      <c r="C219" s="12"/>
      <c r="D219" s="12"/>
      <c r="E219" s="12"/>
      <c r="F219" s="12"/>
      <c r="G219" s="12"/>
    </row>
    <row r="220" spans="3:7" x14ac:dyDescent="0.25">
      <c r="C220" s="12"/>
      <c r="D220" s="12"/>
      <c r="E220" s="12"/>
      <c r="F220" s="12"/>
      <c r="G220" s="12"/>
    </row>
    <row r="221" spans="3:7" x14ac:dyDescent="0.25">
      <c r="C221" s="12"/>
      <c r="D221" s="12"/>
      <c r="E221" s="12"/>
      <c r="F221" s="12"/>
      <c r="G221" s="12"/>
    </row>
    <row r="222" spans="3:7" x14ac:dyDescent="0.25">
      <c r="C222" s="12"/>
      <c r="D222" s="12"/>
      <c r="E222" s="12"/>
      <c r="F222" s="12"/>
      <c r="G222" s="12"/>
    </row>
    <row r="223" spans="3:7" x14ac:dyDescent="0.25">
      <c r="C223" s="12"/>
      <c r="D223" s="12"/>
      <c r="E223" s="12"/>
      <c r="F223" s="12"/>
      <c r="G223" s="12"/>
    </row>
    <row r="224" spans="3:7" x14ac:dyDescent="0.25">
      <c r="C224" s="12"/>
      <c r="D224" s="12"/>
      <c r="E224" s="12">
        <f>20*25</f>
        <v>500</v>
      </c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</sheetData>
  <mergeCells count="21">
    <mergeCell ref="A125:A126"/>
    <mergeCell ref="B125:B126"/>
    <mergeCell ref="C125:C126"/>
    <mergeCell ref="D125:D126"/>
    <mergeCell ref="E125:E126"/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  <mergeCell ref="D197:E197"/>
    <mergeCell ref="A169:A170"/>
    <mergeCell ref="B169:B170"/>
    <mergeCell ref="C169:C170"/>
    <mergeCell ref="D169:D170"/>
    <mergeCell ref="E169:E1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"/>
  <sheetViews>
    <sheetView topLeftCell="A52" zoomScale="140" zoomScaleNormal="140" workbookViewId="0">
      <selection activeCell="E54" sqref="E54"/>
    </sheetView>
  </sheetViews>
  <sheetFormatPr defaultRowHeight="15" x14ac:dyDescent="0.25"/>
  <cols>
    <col min="1" max="1" width="7.5703125" style="13" customWidth="1"/>
    <col min="2" max="2" width="41.42578125" style="13" customWidth="1"/>
    <col min="3" max="3" width="16.28515625" style="13" customWidth="1"/>
    <col min="4" max="4" width="14.7109375" style="13" bestFit="1" customWidth="1"/>
    <col min="5" max="5" width="15.140625" style="13" customWidth="1"/>
    <col min="6" max="6" width="16.28515625" style="13" customWidth="1"/>
    <col min="7" max="7" width="14.28515625" style="13" customWidth="1"/>
    <col min="8" max="8" width="9.140625" style="13"/>
    <col min="9" max="9" width="15.140625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185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f>C11/2</f>
        <v>864963.49</v>
      </c>
      <c r="E11" s="2">
        <f>126964.66+101964.66+119964.66</f>
        <v>348893.98</v>
      </c>
      <c r="F11" s="2">
        <f>C11-E11</f>
        <v>1381033</v>
      </c>
      <c r="G11" s="60">
        <f>D11-E11</f>
        <v>516069.51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>
        <f>C12/2</f>
        <v>548990.31000000006</v>
      </c>
      <c r="E12" s="11">
        <v>503059.74</v>
      </c>
      <c r="F12" s="2">
        <f t="shared" ref="F12:F13" si="0">C12-E12</f>
        <v>594920.88000000012</v>
      </c>
      <c r="G12" s="60">
        <f t="shared" ref="G12:G13" si="1">D12-E12</f>
        <v>45930.570000000065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/>
      <c r="F13" s="2">
        <f t="shared" si="0"/>
        <v>0</v>
      </c>
      <c r="G13" s="60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60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1413953.8</v>
      </c>
      <c r="E15" s="8">
        <f>SUM(E11:E14)</f>
        <v>851953.72</v>
      </c>
      <c r="F15" s="8">
        <f>SUM(F11:F14)</f>
        <v>1975953.8800000001</v>
      </c>
      <c r="G15" s="61">
        <f>SUM(G11:G14)</f>
        <v>562000.08000000007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60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60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f>C18/2</f>
        <v>4204160.7</v>
      </c>
      <c r="E18" s="2">
        <f>739399.62+518395.62+518396.04</f>
        <v>1776191.28</v>
      </c>
      <c r="F18" s="2">
        <f>C18-E18</f>
        <v>6632130.1200000001</v>
      </c>
      <c r="G18" s="60">
        <f>D18-E18</f>
        <v>2427969.42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>
        <f>C19/2</f>
        <v>537968.18000000005</v>
      </c>
      <c r="E19" s="11">
        <v>336911.64</v>
      </c>
      <c r="F19" s="2">
        <f>C19-E19</f>
        <v>739024.72000000009</v>
      </c>
      <c r="G19" s="60">
        <f>D19-E19</f>
        <v>201056.54000000004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60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60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4742128.88</v>
      </c>
      <c r="E22" s="8">
        <f>SUM(E18:E21)</f>
        <v>2113102.92</v>
      </c>
      <c r="F22" s="8">
        <f>SUM(F18:F21)</f>
        <v>7371154.8399999999</v>
      </c>
      <c r="G22" s="61">
        <f>SUM(G18:G21)</f>
        <v>2629025.96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60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60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f>C25/2</f>
        <v>482111.42</v>
      </c>
      <c r="E25" s="2">
        <f>87255.2+72255.2+72255.2</f>
        <v>231765.59999999998</v>
      </c>
      <c r="F25" s="2">
        <f>C25-E25</f>
        <v>732457.24</v>
      </c>
      <c r="G25" s="60">
        <f>D25-E25</f>
        <v>250345.82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f>C26/2</f>
        <v>68766.115000000005</v>
      </c>
      <c r="E26" s="11">
        <v>12431.12</v>
      </c>
      <c r="F26" s="2">
        <f>C26-E26</f>
        <v>125101.11000000002</v>
      </c>
      <c r="G26" s="60">
        <f>D26-E26</f>
        <v>56334.995000000003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60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60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550877.53500000003</v>
      </c>
      <c r="E29" s="8">
        <f>SUM(E25:E28)</f>
        <v>244196.71999999997</v>
      </c>
      <c r="F29" s="8">
        <f>SUM(F25:F28)</f>
        <v>857558.35</v>
      </c>
      <c r="G29" s="61">
        <f>SUM(G25:G28)</f>
        <v>306680.815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60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60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f>C32/2</f>
        <v>366440.19</v>
      </c>
      <c r="E32" s="2">
        <f>65293.18+55293.18+55293.18</f>
        <v>175879.54</v>
      </c>
      <c r="F32" s="2">
        <f>C32-E32</f>
        <v>557000.84</v>
      </c>
      <c r="G32" s="60">
        <f>D32-E32</f>
        <v>190560.65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f>C33/2</f>
        <v>40439.18</v>
      </c>
      <c r="E33" s="11">
        <f>1830+5333.5</f>
        <v>7163.5</v>
      </c>
      <c r="F33" s="2">
        <f>C33-E33</f>
        <v>73714.86</v>
      </c>
      <c r="G33" s="60">
        <f>D33-E33</f>
        <v>33275.68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60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60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406879.37</v>
      </c>
      <c r="E36" s="8">
        <f>SUM(E32:E35)</f>
        <v>183043.04</v>
      </c>
      <c r="F36" s="8">
        <f>SUM(F32:F35)</f>
        <v>630715.69999999995</v>
      </c>
      <c r="G36" s="61">
        <f>SUM(G32:G35)</f>
        <v>223836.33</v>
      </c>
      <c r="L36" s="12"/>
    </row>
    <row r="37" spans="1:13" x14ac:dyDescent="0.25">
      <c r="A37" s="27"/>
      <c r="B37" s="18"/>
      <c r="C37" s="2"/>
      <c r="D37" s="2"/>
      <c r="E37" s="2"/>
      <c r="F37" s="2"/>
      <c r="G37" s="60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60"/>
      <c r="L38" s="12"/>
    </row>
    <row r="39" spans="1:13" x14ac:dyDescent="0.25">
      <c r="A39" s="27"/>
      <c r="B39" s="29" t="s">
        <v>11</v>
      </c>
      <c r="C39" s="2">
        <v>591829.98</v>
      </c>
      <c r="D39" s="2">
        <f>C39/2</f>
        <v>295914.99</v>
      </c>
      <c r="E39" s="2">
        <f>50458.42+45458.42+45458.42</f>
        <v>141375.26</v>
      </c>
      <c r="F39" s="2">
        <f>C39-E39</f>
        <v>450454.72</v>
      </c>
      <c r="G39" s="60">
        <f>D39-E39</f>
        <v>154539.72999999998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f>C40/2</f>
        <v>39701.75</v>
      </c>
      <c r="E40" s="11">
        <v>16089</v>
      </c>
      <c r="F40" s="2">
        <f>C40-E40</f>
        <v>63314.5</v>
      </c>
      <c r="G40" s="60">
        <f>D40-E40</f>
        <v>23612.75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60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60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335616.74</v>
      </c>
      <c r="E43" s="8">
        <f>SUM(E39:E42)</f>
        <v>157464.26</v>
      </c>
      <c r="F43" s="8">
        <f>SUM(F39:F42)</f>
        <v>513769.22</v>
      </c>
      <c r="G43" s="61">
        <f>SUM(G39:G42)</f>
        <v>178152.47999999998</v>
      </c>
    </row>
    <row r="44" spans="1:13" x14ac:dyDescent="0.25">
      <c r="A44" s="27"/>
      <c r="B44" s="18"/>
      <c r="C44" s="2"/>
      <c r="D44" s="2"/>
      <c r="E44" s="2"/>
      <c r="F44" s="2"/>
      <c r="G44" s="60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60"/>
    </row>
    <row r="46" spans="1:13" x14ac:dyDescent="0.25">
      <c r="A46" s="27"/>
      <c r="B46" s="29" t="s">
        <v>11</v>
      </c>
      <c r="C46" s="2">
        <v>1053344.46</v>
      </c>
      <c r="D46" s="2">
        <f>C46/2</f>
        <v>526672.23</v>
      </c>
      <c r="E46" s="2">
        <f>56526.37+41526.37+41526.37</f>
        <v>139579.11000000002</v>
      </c>
      <c r="F46" s="2">
        <f>C46-E46</f>
        <v>913765.35</v>
      </c>
      <c r="G46" s="60">
        <f>D46-E46</f>
        <v>387093.12</v>
      </c>
    </row>
    <row r="47" spans="1:13" x14ac:dyDescent="0.25">
      <c r="A47" s="27"/>
      <c r="B47" s="29" t="s">
        <v>12</v>
      </c>
      <c r="C47" s="2">
        <v>205007.27</v>
      </c>
      <c r="D47" s="2">
        <f>C47/2</f>
        <v>102503.63499999999</v>
      </c>
      <c r="E47" s="11">
        <v>30233</v>
      </c>
      <c r="F47" s="2">
        <f>C47-E47</f>
        <v>174774.27</v>
      </c>
      <c r="G47" s="60">
        <f>D47-E47</f>
        <v>72270.634999999995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60">
        <f>D48-E48</f>
        <v>0</v>
      </c>
      <c r="H48" s="12"/>
    </row>
    <row r="49" spans="1:8" x14ac:dyDescent="0.25">
      <c r="A49" s="27"/>
      <c r="B49" s="29" t="s">
        <v>14</v>
      </c>
      <c r="C49" s="2"/>
      <c r="D49" s="2"/>
      <c r="E49" s="2"/>
      <c r="F49" s="2"/>
      <c r="G49" s="60"/>
      <c r="H49" s="12"/>
    </row>
    <row r="50" spans="1:8" x14ac:dyDescent="0.25">
      <c r="A50" s="27"/>
      <c r="B50" s="30" t="s">
        <v>27</v>
      </c>
      <c r="C50" s="8">
        <f>SUM(C46:C49)</f>
        <v>1258351.73</v>
      </c>
      <c r="D50" s="8">
        <f>SUM(D46:D49)</f>
        <v>629175.86499999999</v>
      </c>
      <c r="E50" s="8">
        <f>SUM(E46:E49)</f>
        <v>169812.11000000002</v>
      </c>
      <c r="F50" s="8">
        <f>SUM(F46:F49)</f>
        <v>1088539.6199999999</v>
      </c>
      <c r="G50" s="61">
        <f>SUM(G46:G49)</f>
        <v>459363.755</v>
      </c>
      <c r="H50" s="12"/>
    </row>
    <row r="51" spans="1:8" x14ac:dyDescent="0.25">
      <c r="A51" s="27"/>
      <c r="B51" s="18"/>
      <c r="C51" s="2"/>
      <c r="D51" s="2"/>
      <c r="E51" s="2"/>
      <c r="F51" s="2"/>
      <c r="G51" s="60"/>
      <c r="H51" s="12"/>
    </row>
    <row r="52" spans="1:8" x14ac:dyDescent="0.25">
      <c r="A52" s="27">
        <v>1091</v>
      </c>
      <c r="B52" s="28" t="s">
        <v>19</v>
      </c>
      <c r="C52" s="2"/>
      <c r="D52" s="2"/>
      <c r="E52" s="2"/>
      <c r="F52" s="2"/>
      <c r="G52" s="60"/>
      <c r="H52" s="12"/>
    </row>
    <row r="53" spans="1:8" x14ac:dyDescent="0.25">
      <c r="A53" s="27"/>
      <c r="B53" s="29" t="s">
        <v>11</v>
      </c>
      <c r="C53" s="2">
        <v>1583456.4</v>
      </c>
      <c r="D53" s="2">
        <f>C53/2</f>
        <v>791728.2</v>
      </c>
      <c r="E53" s="2">
        <f>150760.7+115760.7+115760.7</f>
        <v>382282.10000000003</v>
      </c>
      <c r="F53" s="2">
        <f>C53-E53</f>
        <v>1201174.2999999998</v>
      </c>
      <c r="G53" s="60">
        <f>D53-E53</f>
        <v>409446.09999999992</v>
      </c>
      <c r="H53" s="12"/>
    </row>
    <row r="54" spans="1:8" x14ac:dyDescent="0.25">
      <c r="A54" s="27"/>
      <c r="B54" s="29" t="s">
        <v>12</v>
      </c>
      <c r="C54" s="2">
        <v>321156.95</v>
      </c>
      <c r="D54" s="2">
        <f>C54/2</f>
        <v>160578.47500000001</v>
      </c>
      <c r="E54" s="11">
        <f>53406+3795+88858</f>
        <v>146059</v>
      </c>
      <c r="F54" s="2">
        <f>C54-E54</f>
        <v>175097.95</v>
      </c>
      <c r="G54" s="60">
        <f>D54-E54</f>
        <v>14519.475000000006</v>
      </c>
      <c r="H54" s="12"/>
    </row>
    <row r="55" spans="1:8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60">
        <f>D55-E55</f>
        <v>0</v>
      </c>
      <c r="H55" s="12"/>
    </row>
    <row r="56" spans="1:8" x14ac:dyDescent="0.25">
      <c r="A56" s="27"/>
      <c r="B56" s="29" t="s">
        <v>14</v>
      </c>
      <c r="C56" s="2"/>
      <c r="D56" s="2"/>
      <c r="E56" s="2"/>
      <c r="F56" s="2"/>
      <c r="G56" s="60"/>
      <c r="H56" s="12"/>
    </row>
    <row r="57" spans="1:8" x14ac:dyDescent="0.25">
      <c r="A57" s="31"/>
      <c r="B57" s="30" t="s">
        <v>27</v>
      </c>
      <c r="C57" s="8">
        <f>SUM(C53:C56)</f>
        <v>1904613.3499999999</v>
      </c>
      <c r="D57" s="8">
        <f>SUM(D53:D56)</f>
        <v>952306.67499999993</v>
      </c>
      <c r="E57" s="8">
        <f>SUM(E53:E56)</f>
        <v>528341.10000000009</v>
      </c>
      <c r="F57" s="8">
        <f>SUM(F53:F56)</f>
        <v>1376272.2499999998</v>
      </c>
      <c r="G57" s="61">
        <f>SUM(G53:G56)</f>
        <v>423965.57499999995</v>
      </c>
      <c r="H57" s="12"/>
    </row>
    <row r="58" spans="1:8" ht="15.75" thickBot="1" x14ac:dyDescent="0.3">
      <c r="A58" s="32"/>
      <c r="B58" s="33"/>
      <c r="C58" s="9"/>
      <c r="D58" s="9"/>
      <c r="E58" s="9"/>
      <c r="F58" s="9"/>
      <c r="G58" s="62"/>
      <c r="H58" s="12"/>
    </row>
    <row r="59" spans="1:8" x14ac:dyDescent="0.25">
      <c r="A59" s="35"/>
      <c r="B59" s="36"/>
      <c r="C59" s="10"/>
      <c r="D59" s="10"/>
      <c r="E59" s="10">
        <f>E12+E19+E26+E33+E40+E40+E54</f>
        <v>1037803</v>
      </c>
      <c r="F59" s="10"/>
      <c r="G59" s="10"/>
      <c r="H59" s="12"/>
    </row>
    <row r="60" spans="1:8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8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8" x14ac:dyDescent="0.25">
      <c r="A62" s="13" t="s">
        <v>2</v>
      </c>
      <c r="B62" s="36"/>
      <c r="C62" s="10"/>
      <c r="D62" s="10"/>
      <c r="E62" s="10"/>
      <c r="F62" s="10"/>
      <c r="G62" s="10"/>
      <c r="H62" s="12"/>
    </row>
    <row r="63" spans="1:8" x14ac:dyDescent="0.25">
      <c r="A63" s="24" t="s">
        <v>185</v>
      </c>
      <c r="B63" s="36"/>
      <c r="C63" s="10"/>
      <c r="D63" s="10"/>
      <c r="E63" s="10"/>
      <c r="F63" s="10"/>
      <c r="G63" s="10"/>
      <c r="H63" s="12"/>
    </row>
    <row r="64" spans="1:8" x14ac:dyDescent="0.25">
      <c r="A64" s="35"/>
      <c r="B64" s="36"/>
      <c r="C64" s="10"/>
      <c r="D64" s="10"/>
      <c r="E64" s="10"/>
      <c r="F64" s="10"/>
      <c r="G64" s="10"/>
      <c r="H64" s="12"/>
    </row>
    <row r="65" spans="1:8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</row>
    <row r="66" spans="1:8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</row>
    <row r="67" spans="1:8" x14ac:dyDescent="0.25">
      <c r="A67" s="26"/>
      <c r="B67" s="17"/>
      <c r="C67" s="19"/>
      <c r="D67" s="19"/>
      <c r="E67" s="19"/>
      <c r="F67" s="19"/>
      <c r="G67" s="19"/>
      <c r="H67" s="12"/>
    </row>
    <row r="68" spans="1:8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</row>
    <row r="69" spans="1:8" x14ac:dyDescent="0.25">
      <c r="A69" s="27"/>
      <c r="B69" s="29" t="s">
        <v>11</v>
      </c>
      <c r="C69" s="2">
        <v>757496.84</v>
      </c>
      <c r="D69" s="2">
        <f>C69/2</f>
        <v>378748.42</v>
      </c>
      <c r="E69" s="2">
        <f>69303.82+59303.82+59303.82</f>
        <v>187911.46000000002</v>
      </c>
      <c r="F69" s="2">
        <f>C69-E69</f>
        <v>569585.37999999989</v>
      </c>
      <c r="G69" s="60">
        <f>D69-E69</f>
        <v>190836.95999999996</v>
      </c>
      <c r="H69" s="12"/>
    </row>
    <row r="70" spans="1:8" x14ac:dyDescent="0.25">
      <c r="A70" s="27"/>
      <c r="B70" s="29" t="s">
        <v>12</v>
      </c>
      <c r="C70" s="2">
        <v>112211.77</v>
      </c>
      <c r="D70" s="2">
        <f>C70/2</f>
        <v>56105.885000000002</v>
      </c>
      <c r="E70" s="11">
        <v>46076</v>
      </c>
      <c r="F70" s="2">
        <f>C70-E70</f>
        <v>66135.77</v>
      </c>
      <c r="G70" s="60">
        <f>D70-E70</f>
        <v>10029.885000000002</v>
      </c>
      <c r="H70" s="12"/>
    </row>
    <row r="71" spans="1:8" x14ac:dyDescent="0.25">
      <c r="A71" s="27"/>
      <c r="B71" s="29" t="s">
        <v>13</v>
      </c>
      <c r="C71" s="2">
        <v>10000</v>
      </c>
      <c r="D71" s="2">
        <v>10000</v>
      </c>
      <c r="E71" s="11">
        <v>5800</v>
      </c>
      <c r="F71" s="2">
        <f>C71-E71</f>
        <v>4200</v>
      </c>
      <c r="G71" s="60">
        <f>D71-E71</f>
        <v>4200</v>
      </c>
      <c r="H71" s="12"/>
    </row>
    <row r="72" spans="1:8" x14ac:dyDescent="0.25">
      <c r="A72" s="27"/>
      <c r="B72" s="29" t="s">
        <v>14</v>
      </c>
      <c r="C72" s="2"/>
      <c r="D72" s="2"/>
      <c r="E72" s="2"/>
      <c r="F72" s="2"/>
      <c r="G72" s="60"/>
      <c r="H72" s="12"/>
    </row>
    <row r="73" spans="1:8" x14ac:dyDescent="0.25">
      <c r="A73" s="18"/>
      <c r="B73" s="30" t="s">
        <v>27</v>
      </c>
      <c r="C73" s="8">
        <f>SUM(C69:C72)</f>
        <v>879708.61</v>
      </c>
      <c r="D73" s="8">
        <f>SUM(D69:D72)</f>
        <v>444854.30499999999</v>
      </c>
      <c r="E73" s="8">
        <f>SUM(E69:E72)</f>
        <v>239787.46000000002</v>
      </c>
      <c r="F73" s="8">
        <f>SUM(F69:F72)</f>
        <v>639921.14999999991</v>
      </c>
      <c r="G73" s="61">
        <f>SUM(G69:G72)</f>
        <v>205066.84499999997</v>
      </c>
      <c r="H73" s="12"/>
    </row>
    <row r="74" spans="1:8" x14ac:dyDescent="0.25">
      <c r="A74" s="27"/>
      <c r="B74" s="18"/>
      <c r="C74" s="2"/>
      <c r="D74" s="2"/>
      <c r="E74" s="2"/>
      <c r="F74" s="2"/>
      <c r="G74" s="60"/>
      <c r="H74" s="12"/>
    </row>
    <row r="75" spans="1:8" x14ac:dyDescent="0.25">
      <c r="A75" s="27">
        <v>6544</v>
      </c>
      <c r="B75" s="28" t="s">
        <v>21</v>
      </c>
      <c r="C75" s="18"/>
      <c r="D75" s="2"/>
      <c r="E75" s="2"/>
      <c r="F75" s="2"/>
      <c r="G75" s="60"/>
      <c r="H75" s="12"/>
    </row>
    <row r="76" spans="1:8" x14ac:dyDescent="0.25">
      <c r="A76" s="27"/>
      <c r="B76" s="29" t="s">
        <v>11</v>
      </c>
      <c r="C76" s="2">
        <v>1136593.6000000001</v>
      </c>
      <c r="D76" s="2">
        <f>C76/2</f>
        <v>568296.80000000005</v>
      </c>
      <c r="E76" s="2">
        <f>74187.02+64798.86+62953.1</f>
        <v>201938.98</v>
      </c>
      <c r="F76" s="2">
        <f>C76-E76</f>
        <v>934654.62000000011</v>
      </c>
      <c r="G76" s="60">
        <f>D76-E76</f>
        <v>366357.82000000007</v>
      </c>
      <c r="H76" s="12"/>
    </row>
    <row r="77" spans="1:8" x14ac:dyDescent="0.25">
      <c r="A77" s="27"/>
      <c r="B77" s="29" t="s">
        <v>12</v>
      </c>
      <c r="C77" s="2">
        <v>749098.9</v>
      </c>
      <c r="D77" s="2">
        <f>C77/2</f>
        <v>374549.45</v>
      </c>
      <c r="E77" s="11">
        <v>367542.92</v>
      </c>
      <c r="F77" s="2">
        <f>C77-E77</f>
        <v>381555.98000000004</v>
      </c>
      <c r="G77" s="60">
        <f>D77-E77</f>
        <v>7006.5300000000279</v>
      </c>
      <c r="H77" s="12"/>
    </row>
    <row r="78" spans="1:8" x14ac:dyDescent="0.25">
      <c r="A78" s="27"/>
      <c r="B78" s="29" t="s">
        <v>13</v>
      </c>
      <c r="C78" s="2"/>
      <c r="D78" s="2"/>
      <c r="E78" s="2"/>
      <c r="F78" s="2"/>
      <c r="G78" s="60"/>
      <c r="H78" s="12"/>
    </row>
    <row r="79" spans="1:8" x14ac:dyDescent="0.25">
      <c r="A79" s="27"/>
      <c r="B79" s="29" t="s">
        <v>14</v>
      </c>
      <c r="C79" s="2"/>
      <c r="D79" s="2"/>
      <c r="E79" s="2"/>
      <c r="F79" s="2"/>
      <c r="G79" s="60"/>
      <c r="H79" s="12"/>
    </row>
    <row r="80" spans="1:8" x14ac:dyDescent="0.25">
      <c r="A80" s="27"/>
      <c r="B80" s="30" t="s">
        <v>27</v>
      </c>
      <c r="C80" s="8">
        <f>SUM(C76:C79)</f>
        <v>1885692.5</v>
      </c>
      <c r="D80" s="8">
        <f>SUM(D76:D79)</f>
        <v>942846.25</v>
      </c>
      <c r="E80" s="8">
        <f>SUM(E76:E79)</f>
        <v>569481.9</v>
      </c>
      <c r="F80" s="8">
        <f>SUM(F76:F79)</f>
        <v>1316210.6000000001</v>
      </c>
      <c r="G80" s="61">
        <f>SUM(G76:G79)</f>
        <v>373364.35000000009</v>
      </c>
      <c r="H80" s="12"/>
    </row>
    <row r="81" spans="1:8" x14ac:dyDescent="0.25">
      <c r="A81" s="27"/>
      <c r="B81" s="18"/>
      <c r="C81" s="2"/>
      <c r="D81" s="2"/>
      <c r="E81" s="2"/>
      <c r="F81" s="2"/>
      <c r="G81" s="60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60"/>
      <c r="H82" s="12"/>
    </row>
    <row r="83" spans="1:8" x14ac:dyDescent="0.25">
      <c r="A83" s="27"/>
      <c r="B83" s="29" t="s">
        <v>11</v>
      </c>
      <c r="C83" s="2">
        <v>2920190.6</v>
      </c>
      <c r="D83" s="2">
        <f>C83/2</f>
        <v>1460095.3</v>
      </c>
      <c r="E83" s="2">
        <f>245863.58+219063.58+206016.22</f>
        <v>670943.38</v>
      </c>
      <c r="F83" s="2">
        <f>C83-E83</f>
        <v>2249247.2200000002</v>
      </c>
      <c r="G83" s="60">
        <f>D83-E83</f>
        <v>789151.92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f>C84/2</f>
        <v>87449.425000000003</v>
      </c>
      <c r="E84" s="11">
        <v>63609.47</v>
      </c>
      <c r="F84" s="2">
        <f>C84-E84</f>
        <v>111289.38</v>
      </c>
      <c r="G84" s="60">
        <f>D84-E84</f>
        <v>23839.955000000002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60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60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1547544.7250000001</v>
      </c>
      <c r="E87" s="8">
        <f>SUM(E83:E86)</f>
        <v>734552.85</v>
      </c>
      <c r="F87" s="8">
        <f>SUM(F83:F86)</f>
        <v>2360536.6</v>
      </c>
      <c r="G87" s="61">
        <f>SUM(G83:G86)</f>
        <v>812991.875</v>
      </c>
      <c r="H87" s="12"/>
    </row>
    <row r="88" spans="1:8" x14ac:dyDescent="0.25">
      <c r="A88" s="27"/>
      <c r="B88" s="18"/>
      <c r="C88" s="2"/>
      <c r="D88" s="2"/>
      <c r="E88" s="2"/>
      <c r="F88" s="2"/>
      <c r="G88" s="60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60"/>
      <c r="H89" s="12"/>
    </row>
    <row r="90" spans="1:8" x14ac:dyDescent="0.25">
      <c r="A90" s="27"/>
      <c r="B90" s="29" t="s">
        <v>11</v>
      </c>
      <c r="C90" s="2">
        <v>1120789.58</v>
      </c>
      <c r="D90" s="2">
        <f>C90/2</f>
        <v>560394.79</v>
      </c>
      <c r="E90" s="2">
        <f>96696.78+76697.33+77039.49</f>
        <v>250433.59999999998</v>
      </c>
      <c r="F90" s="2">
        <f>C90-E90</f>
        <v>870355.9800000001</v>
      </c>
      <c r="G90" s="60">
        <f>D90-E90</f>
        <v>309961.19000000006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f>C91/2</f>
        <v>94985.574999999997</v>
      </c>
      <c r="E91" s="11">
        <v>57420.5</v>
      </c>
      <c r="F91" s="2">
        <f>C91-E91</f>
        <v>132550.65</v>
      </c>
      <c r="G91" s="60">
        <f>D91-E91</f>
        <v>37565.074999999997</v>
      </c>
      <c r="H91" s="12"/>
    </row>
    <row r="92" spans="1:8" x14ac:dyDescent="0.25">
      <c r="A92" s="27"/>
      <c r="B92" s="29" t="s">
        <v>13</v>
      </c>
      <c r="C92" s="2">
        <v>25000</v>
      </c>
      <c r="D92" s="2"/>
      <c r="E92" s="2"/>
      <c r="F92" s="2"/>
      <c r="G92" s="60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60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655380.36499999999</v>
      </c>
      <c r="E94" s="8">
        <f>SUM(E90:E93)</f>
        <v>307854.09999999998</v>
      </c>
      <c r="F94" s="8">
        <f>SUM(F90:F93)</f>
        <v>1002906.6300000001</v>
      </c>
      <c r="G94" s="61">
        <f>SUM(G90:G93)</f>
        <v>347526.26500000007</v>
      </c>
      <c r="H94" s="12"/>
    </row>
    <row r="95" spans="1:8" x14ac:dyDescent="0.25">
      <c r="A95" s="27"/>
      <c r="B95" s="18"/>
      <c r="C95" s="2"/>
      <c r="D95" s="2"/>
      <c r="E95" s="2"/>
      <c r="F95" s="2"/>
      <c r="G95" s="60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60"/>
      <c r="H96" s="12"/>
    </row>
    <row r="97" spans="1:8" x14ac:dyDescent="0.25">
      <c r="A97" s="27"/>
      <c r="B97" s="29" t="s">
        <v>11</v>
      </c>
      <c r="C97" s="2">
        <v>860982.08</v>
      </c>
      <c r="D97" s="2">
        <f>C97/2</f>
        <v>430491.04</v>
      </c>
      <c r="E97" s="2">
        <f>79099.84+64099.84+64099.84</f>
        <v>207299.52</v>
      </c>
      <c r="F97" s="2">
        <f>C97-E97</f>
        <v>653682.55999999994</v>
      </c>
      <c r="G97" s="60">
        <f>D97-E97</f>
        <v>223191.52</v>
      </c>
      <c r="H97" s="12"/>
    </row>
    <row r="98" spans="1:8" x14ac:dyDescent="0.25">
      <c r="A98" s="27"/>
      <c r="B98" s="29" t="s">
        <v>12</v>
      </c>
      <c r="C98" s="2">
        <v>87772.800000000003</v>
      </c>
      <c r="D98" s="2">
        <f>C98/2</f>
        <v>43886.400000000001</v>
      </c>
      <c r="E98" s="11">
        <v>22949.81</v>
      </c>
      <c r="F98" s="2">
        <f>C98-E98</f>
        <v>64822.990000000005</v>
      </c>
      <c r="G98" s="60">
        <f>D98-E98</f>
        <v>20936.59</v>
      </c>
      <c r="H98" s="12"/>
    </row>
    <row r="99" spans="1:8" x14ac:dyDescent="0.25">
      <c r="A99" s="27"/>
      <c r="B99" s="29" t="s">
        <v>13</v>
      </c>
      <c r="C99" s="2"/>
      <c r="D99" s="2"/>
      <c r="E99" s="2"/>
      <c r="F99" s="2"/>
      <c r="G99" s="60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60"/>
      <c r="H100" s="12"/>
    </row>
    <row r="101" spans="1:8" x14ac:dyDescent="0.25">
      <c r="A101" s="27"/>
      <c r="B101" s="30" t="s">
        <v>27</v>
      </c>
      <c r="C101" s="8">
        <f>SUM(C97:C100)</f>
        <v>948754.88</v>
      </c>
      <c r="D101" s="8">
        <f>SUM(D97:D100)</f>
        <v>474377.44</v>
      </c>
      <c r="E101" s="8">
        <f>SUM(E97:E100)</f>
        <v>230249.33</v>
      </c>
      <c r="F101" s="8">
        <f>SUM(F97:F100)</f>
        <v>718505.54999999993</v>
      </c>
      <c r="G101" s="61">
        <f>SUM(G97:G100)</f>
        <v>244128.11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60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60"/>
      <c r="H103" s="12"/>
    </row>
    <row r="104" spans="1:8" x14ac:dyDescent="0.25">
      <c r="A104" s="27"/>
      <c r="B104" s="29" t="s">
        <v>11</v>
      </c>
      <c r="C104" s="2">
        <v>1008030.66</v>
      </c>
      <c r="D104" s="2">
        <f>C104/2</f>
        <v>504015.33</v>
      </c>
      <c r="E104" s="2">
        <f>90740.06+75740.06+75740.06</f>
        <v>242220.18</v>
      </c>
      <c r="F104" s="2">
        <f>C104-E104</f>
        <v>765810.48</v>
      </c>
      <c r="G104" s="60">
        <f>D104-E104</f>
        <v>261795.15000000002</v>
      </c>
      <c r="H104" s="12"/>
    </row>
    <row r="105" spans="1:8" x14ac:dyDescent="0.25">
      <c r="A105" s="27"/>
      <c r="B105" s="29" t="s">
        <v>12</v>
      </c>
      <c r="C105" s="2">
        <v>61275.5</v>
      </c>
      <c r="D105" s="2">
        <f>C105/2</f>
        <v>30637.75</v>
      </c>
      <c r="E105" s="11">
        <v>24514</v>
      </c>
      <c r="F105" s="2">
        <f>C105-E105</f>
        <v>36761.5</v>
      </c>
      <c r="G105" s="60">
        <f>D105-E105</f>
        <v>6123.75</v>
      </c>
      <c r="H105" s="12"/>
    </row>
    <row r="106" spans="1:8" x14ac:dyDescent="0.25">
      <c r="A106" s="27"/>
      <c r="B106" s="29" t="s">
        <v>13</v>
      </c>
      <c r="C106" s="2"/>
      <c r="D106" s="2"/>
      <c r="E106" s="2"/>
      <c r="F106" s="2"/>
      <c r="G106" s="60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60"/>
      <c r="H107" s="12"/>
    </row>
    <row r="108" spans="1:8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534653.08000000007</v>
      </c>
      <c r="E108" s="8">
        <f>SUM(E104:E107)</f>
        <v>266734.18</v>
      </c>
      <c r="F108" s="8">
        <f>SUM(F104:F107)</f>
        <v>802571.98</v>
      </c>
      <c r="G108" s="61">
        <f>SUM(G104:G107)</f>
        <v>267918.90000000002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60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60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60">
        <f>D111-E111</f>
        <v>0</v>
      </c>
      <c r="H111" s="12"/>
    </row>
    <row r="112" spans="1:8" x14ac:dyDescent="0.25">
      <c r="A112" s="27"/>
      <c r="B112" s="29" t="s">
        <v>12</v>
      </c>
      <c r="C112" s="2">
        <v>66400</v>
      </c>
      <c r="D112" s="2">
        <f>C112/2</f>
        <v>33200</v>
      </c>
      <c r="E112" s="2"/>
      <c r="F112" s="2">
        <f>C112-E112</f>
        <v>66400</v>
      </c>
      <c r="G112" s="60">
        <f>D112-E112</f>
        <v>33200</v>
      </c>
      <c r="H112" s="12"/>
    </row>
    <row r="113" spans="1:8" x14ac:dyDescent="0.25">
      <c r="A113" s="27"/>
      <c r="B113" s="29" t="s">
        <v>13</v>
      </c>
      <c r="C113" s="2"/>
      <c r="D113" s="2"/>
      <c r="E113" s="2"/>
      <c r="F113" s="2"/>
      <c r="G113" s="60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60"/>
      <c r="H114" s="12"/>
    </row>
    <row r="115" spans="1:8" x14ac:dyDescent="0.25">
      <c r="A115" s="31"/>
      <c r="B115" s="30" t="s">
        <v>27</v>
      </c>
      <c r="C115" s="8">
        <f>SUM(C111:C114)</f>
        <v>66400</v>
      </c>
      <c r="D115" s="8">
        <f>SUM(D111:D114)</f>
        <v>33200</v>
      </c>
      <c r="E115" s="8">
        <f>SUM(E111:E114)</f>
        <v>0</v>
      </c>
      <c r="F115" s="8">
        <f>SUM(F111:F114)</f>
        <v>66400</v>
      </c>
      <c r="G115" s="61">
        <f>SUM(G111:G114)</f>
        <v>33200</v>
      </c>
      <c r="H115" s="12"/>
    </row>
    <row r="116" spans="1:8" ht="15.75" thickBot="1" x14ac:dyDescent="0.3">
      <c r="A116" s="37"/>
      <c r="B116" s="38"/>
      <c r="C116" s="9"/>
      <c r="D116" s="9"/>
      <c r="E116" s="9"/>
      <c r="F116" s="9"/>
      <c r="G116" s="6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E70+E71+E77+E84+E91+E98+E105</f>
        <v>587912.70000000007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6"/>
      <c r="C120" s="10"/>
      <c r="D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185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88" t="s">
        <v>3</v>
      </c>
      <c r="B125" s="88" t="s">
        <v>4</v>
      </c>
      <c r="C125" s="88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89"/>
      <c r="B126" s="89"/>
      <c r="C126" s="89"/>
      <c r="D126" s="89"/>
      <c r="E126" s="89"/>
      <c r="F126" s="16" t="s">
        <v>5</v>
      </c>
      <c r="G126" s="16" t="s">
        <v>6</v>
      </c>
      <c r="H126" s="12"/>
    </row>
    <row r="127" spans="1:8" x14ac:dyDescent="0.25">
      <c r="A127" s="17"/>
      <c r="B127" s="17"/>
      <c r="C127" s="19"/>
      <c r="D127" s="19"/>
      <c r="E127" s="19"/>
      <c r="F127" s="19"/>
      <c r="G127" s="19"/>
      <c r="H127" s="12"/>
    </row>
    <row r="128" spans="1:8" x14ac:dyDescent="0.25">
      <c r="A128" s="18" t="s">
        <v>29</v>
      </c>
      <c r="B128" s="18" t="s">
        <v>38</v>
      </c>
      <c r="C128" s="2">
        <v>35000</v>
      </c>
      <c r="D128" s="2">
        <f>C128/2</f>
        <v>17500</v>
      </c>
      <c r="E128" s="2"/>
      <c r="F128" s="2">
        <f t="shared" ref="F128:F156" si="2">C128-E128</f>
        <v>35000</v>
      </c>
      <c r="G128" s="60">
        <f t="shared" ref="G128:G157" si="3">D128-E128</f>
        <v>17500</v>
      </c>
      <c r="H128" s="12"/>
    </row>
    <row r="129" spans="1:10" x14ac:dyDescent="0.25">
      <c r="A129" s="18"/>
      <c r="B129" s="18" t="s">
        <v>32</v>
      </c>
      <c r="C129" s="2">
        <v>250000</v>
      </c>
      <c r="D129" s="2">
        <f t="shared" ref="D129:D131" si="4">C129/2</f>
        <v>125000</v>
      </c>
      <c r="E129" s="11">
        <v>33593</v>
      </c>
      <c r="F129" s="2"/>
      <c r="G129" s="60"/>
      <c r="H129" s="12"/>
    </row>
    <row r="130" spans="1:10" x14ac:dyDescent="0.25">
      <c r="A130" s="18"/>
      <c r="B130" s="18" t="s">
        <v>35</v>
      </c>
      <c r="C130" s="2">
        <v>430000</v>
      </c>
      <c r="D130" s="2">
        <f t="shared" si="4"/>
        <v>215000</v>
      </c>
      <c r="E130" s="11">
        <v>217454</v>
      </c>
      <c r="F130" s="2"/>
      <c r="G130" s="60"/>
      <c r="H130" s="12"/>
    </row>
    <row r="131" spans="1:10" x14ac:dyDescent="0.25">
      <c r="A131" s="18"/>
      <c r="B131" s="18" t="s">
        <v>96</v>
      </c>
      <c r="C131" s="2">
        <v>200000</v>
      </c>
      <c r="D131" s="2">
        <f t="shared" si="4"/>
        <v>100000</v>
      </c>
      <c r="E131" s="11">
        <v>10074.93</v>
      </c>
      <c r="F131" s="2"/>
      <c r="G131" s="60"/>
      <c r="H131" s="12"/>
    </row>
    <row r="132" spans="1:10" x14ac:dyDescent="0.25">
      <c r="A132" s="18"/>
      <c r="B132" s="18" t="s">
        <v>100</v>
      </c>
      <c r="C132" s="2">
        <v>300000</v>
      </c>
      <c r="D132" s="2"/>
      <c r="E132" s="2"/>
      <c r="F132" s="2"/>
      <c r="G132" s="60"/>
      <c r="H132" s="12"/>
    </row>
    <row r="133" spans="1:10" x14ac:dyDescent="0.25">
      <c r="A133" s="18"/>
      <c r="B133" s="18" t="s">
        <v>181</v>
      </c>
      <c r="C133" s="2">
        <v>180000</v>
      </c>
      <c r="D133" s="2"/>
      <c r="E133" s="2"/>
      <c r="F133" s="2"/>
      <c r="G133" s="60"/>
      <c r="H133" s="12"/>
    </row>
    <row r="134" spans="1:10" x14ac:dyDescent="0.25">
      <c r="A134" s="18"/>
      <c r="B134" s="18" t="s">
        <v>31</v>
      </c>
      <c r="C134" s="2"/>
      <c r="D134" s="2"/>
      <c r="E134" s="2"/>
      <c r="F134" s="2"/>
      <c r="G134" s="60"/>
      <c r="H134" s="12"/>
      <c r="I134" s="13">
        <f>230*22</f>
        <v>5060</v>
      </c>
    </row>
    <row r="135" spans="1:10" x14ac:dyDescent="0.25">
      <c r="A135" s="18"/>
      <c r="B135" s="55" t="s">
        <v>146</v>
      </c>
      <c r="C135" s="2">
        <v>300000</v>
      </c>
      <c r="D135" s="2">
        <v>300000</v>
      </c>
      <c r="E135" s="11">
        <v>251287.5</v>
      </c>
      <c r="F135" s="2"/>
      <c r="G135" s="60"/>
      <c r="H135" s="12"/>
      <c r="I135" s="13">
        <f>I134*12</f>
        <v>60720</v>
      </c>
    </row>
    <row r="136" spans="1:10" x14ac:dyDescent="0.25">
      <c r="A136" s="18"/>
      <c r="B136" s="55" t="s">
        <v>147</v>
      </c>
      <c r="C136" s="2">
        <v>400000</v>
      </c>
      <c r="D136" s="2">
        <v>400000</v>
      </c>
      <c r="E136" s="2"/>
      <c r="F136" s="2"/>
      <c r="G136" s="60"/>
      <c r="H136" s="12"/>
    </row>
    <row r="137" spans="1:10" x14ac:dyDescent="0.25">
      <c r="A137" s="18"/>
      <c r="B137" s="55" t="s">
        <v>148</v>
      </c>
      <c r="C137" s="2">
        <v>200000</v>
      </c>
      <c r="D137" s="2"/>
      <c r="E137" s="2"/>
      <c r="F137" s="2"/>
      <c r="G137" s="60"/>
      <c r="H137" s="12"/>
      <c r="I137" s="12">
        <v>32882308.219999999</v>
      </c>
    </row>
    <row r="138" spans="1:10" x14ac:dyDescent="0.25">
      <c r="A138" s="18"/>
      <c r="B138" s="55" t="s">
        <v>149</v>
      </c>
      <c r="C138" s="2">
        <v>100000</v>
      </c>
      <c r="D138" s="2"/>
      <c r="E138" s="2"/>
      <c r="F138" s="2">
        <f t="shared" si="2"/>
        <v>100000</v>
      </c>
      <c r="G138" s="60">
        <f t="shared" si="3"/>
        <v>0</v>
      </c>
      <c r="H138" s="12"/>
      <c r="I138" s="12">
        <v>17921</v>
      </c>
    </row>
    <row r="139" spans="1:10" x14ac:dyDescent="0.25">
      <c r="A139" s="18"/>
      <c r="B139" s="18" t="s">
        <v>151</v>
      </c>
      <c r="C139" s="2">
        <v>125000</v>
      </c>
      <c r="D139" s="2"/>
      <c r="E139" s="11">
        <v>8000</v>
      </c>
      <c r="F139" s="2">
        <f t="shared" si="2"/>
        <v>117000</v>
      </c>
      <c r="G139" s="60">
        <f t="shared" si="3"/>
        <v>-8000</v>
      </c>
      <c r="H139" s="12"/>
      <c r="I139" s="13">
        <f>I137/I138</f>
        <v>1834.8478444283242</v>
      </c>
      <c r="J139" s="12"/>
    </row>
    <row r="140" spans="1:10" x14ac:dyDescent="0.25">
      <c r="A140" s="18"/>
      <c r="B140" s="27" t="s">
        <v>150</v>
      </c>
      <c r="C140" s="2">
        <v>20000</v>
      </c>
      <c r="D140" s="2">
        <v>10000</v>
      </c>
      <c r="E140" s="2"/>
      <c r="F140" s="2">
        <f>C129-E140</f>
        <v>250000</v>
      </c>
      <c r="G140" s="60">
        <f t="shared" si="3"/>
        <v>10000</v>
      </c>
      <c r="H140" s="12"/>
      <c r="I140" s="12">
        <v>22067089.800000001</v>
      </c>
      <c r="J140" s="12">
        <v>857870</v>
      </c>
    </row>
    <row r="141" spans="1:10" x14ac:dyDescent="0.25">
      <c r="A141" s="18"/>
      <c r="B141" s="18" t="s">
        <v>98</v>
      </c>
      <c r="C141" s="2">
        <v>80000</v>
      </c>
      <c r="D141" s="2">
        <v>40000</v>
      </c>
      <c r="E141" s="11">
        <v>8719</v>
      </c>
      <c r="F141" s="2"/>
      <c r="G141" s="60"/>
      <c r="H141" s="12"/>
      <c r="I141" s="13">
        <f>I140/I137</f>
        <v>0.67109308909701604</v>
      </c>
      <c r="J141" s="12"/>
    </row>
    <row r="142" spans="1:10" x14ac:dyDescent="0.25">
      <c r="A142" s="18"/>
      <c r="B142" s="18" t="s">
        <v>94</v>
      </c>
      <c r="C142" s="2">
        <v>75000</v>
      </c>
      <c r="D142" s="2">
        <f>C142/2</f>
        <v>37500</v>
      </c>
      <c r="E142" s="11">
        <v>2000</v>
      </c>
      <c r="F142" s="2">
        <f t="shared" si="2"/>
        <v>73000</v>
      </c>
      <c r="G142" s="60">
        <f t="shared" si="3"/>
        <v>35500</v>
      </c>
      <c r="H142" s="12"/>
      <c r="J142" s="12"/>
    </row>
    <row r="143" spans="1:10" x14ac:dyDescent="0.25">
      <c r="A143" s="18"/>
      <c r="B143" s="18" t="s">
        <v>179</v>
      </c>
      <c r="C143" s="2">
        <v>75000</v>
      </c>
      <c r="D143" s="2">
        <f>C143/2</f>
        <v>37500</v>
      </c>
      <c r="E143" s="2"/>
      <c r="F143" s="2"/>
      <c r="G143" s="60"/>
      <c r="H143" s="12"/>
      <c r="J143" s="12"/>
    </row>
    <row r="144" spans="1:10" x14ac:dyDescent="0.25">
      <c r="A144" s="18"/>
      <c r="B144" s="18" t="s">
        <v>110</v>
      </c>
      <c r="C144" s="2">
        <v>1200000</v>
      </c>
      <c r="D144" s="2">
        <f>C144/2</f>
        <v>600000</v>
      </c>
      <c r="E144" s="11">
        <v>691247.5</v>
      </c>
      <c r="F144" s="2">
        <f t="shared" si="2"/>
        <v>508752.5</v>
      </c>
      <c r="G144" s="60">
        <f t="shared" si="3"/>
        <v>-91247.5</v>
      </c>
      <c r="H144" s="12"/>
      <c r="J144" s="12"/>
    </row>
    <row r="145" spans="1:10" x14ac:dyDescent="0.25">
      <c r="A145" s="18"/>
      <c r="B145" s="18" t="s">
        <v>49</v>
      </c>
      <c r="C145" s="2">
        <v>100000</v>
      </c>
      <c r="D145" s="2">
        <v>100000</v>
      </c>
      <c r="E145" s="11">
        <v>100000</v>
      </c>
      <c r="F145" s="2">
        <f t="shared" si="2"/>
        <v>0</v>
      </c>
      <c r="G145" s="60">
        <f t="shared" si="3"/>
        <v>0</v>
      </c>
      <c r="H145" s="12"/>
      <c r="J145" s="12">
        <f>J140*55%</f>
        <v>471828.50000000006</v>
      </c>
    </row>
    <row r="146" spans="1:10" x14ac:dyDescent="0.25">
      <c r="A146" s="18"/>
      <c r="B146" s="18" t="s">
        <v>33</v>
      </c>
      <c r="C146" s="2">
        <v>150000</v>
      </c>
      <c r="D146" s="2">
        <f t="shared" ref="D146:D153" si="5">C146/2</f>
        <v>75000</v>
      </c>
      <c r="E146" s="11">
        <v>113100</v>
      </c>
      <c r="F146" s="2"/>
      <c r="G146" s="60"/>
      <c r="H146" s="12"/>
      <c r="J146" s="12"/>
    </row>
    <row r="147" spans="1:10" x14ac:dyDescent="0.25">
      <c r="A147" s="18"/>
      <c r="B147" s="18" t="s">
        <v>152</v>
      </c>
      <c r="C147" s="2">
        <v>70000</v>
      </c>
      <c r="D147" s="2">
        <f t="shared" si="5"/>
        <v>35000</v>
      </c>
      <c r="E147" s="2"/>
      <c r="F147" s="2"/>
      <c r="G147" s="60"/>
      <c r="H147" s="12"/>
      <c r="J147" s="12"/>
    </row>
    <row r="148" spans="1:10" x14ac:dyDescent="0.25">
      <c r="A148" s="18"/>
      <c r="B148" s="18" t="s">
        <v>153</v>
      </c>
      <c r="C148" s="2">
        <v>800000</v>
      </c>
      <c r="D148" s="2">
        <v>300000</v>
      </c>
      <c r="E148" s="11">
        <v>191781.35</v>
      </c>
      <c r="F148" s="2">
        <f t="shared" si="2"/>
        <v>608218.65</v>
      </c>
      <c r="G148" s="60">
        <f t="shared" si="3"/>
        <v>108218.65</v>
      </c>
      <c r="J148" s="12"/>
    </row>
    <row r="149" spans="1:10" x14ac:dyDescent="0.25">
      <c r="A149" s="18"/>
      <c r="B149" s="18" t="s">
        <v>154</v>
      </c>
      <c r="C149" s="2">
        <v>20000</v>
      </c>
      <c r="D149" s="2">
        <v>5000</v>
      </c>
      <c r="E149" s="2"/>
      <c r="F149" s="2">
        <f t="shared" si="2"/>
        <v>20000</v>
      </c>
      <c r="G149" s="60"/>
      <c r="J149" s="12"/>
    </row>
    <row r="150" spans="1:10" x14ac:dyDescent="0.25">
      <c r="A150" s="18"/>
      <c r="B150" s="18" t="s">
        <v>102</v>
      </c>
      <c r="C150" s="2">
        <v>15000</v>
      </c>
      <c r="D150" s="2">
        <f t="shared" si="5"/>
        <v>7500</v>
      </c>
      <c r="E150" s="2"/>
      <c r="F150" s="2">
        <f t="shared" si="2"/>
        <v>15000</v>
      </c>
      <c r="G150" s="60">
        <f t="shared" si="3"/>
        <v>7500</v>
      </c>
      <c r="J150" s="12"/>
    </row>
    <row r="151" spans="1:10" x14ac:dyDescent="0.25">
      <c r="A151" s="18"/>
      <c r="B151" s="18" t="s">
        <v>51</v>
      </c>
      <c r="C151" s="2">
        <v>750000</v>
      </c>
      <c r="D151" s="2">
        <v>150000</v>
      </c>
      <c r="E151" s="11">
        <v>63925</v>
      </c>
      <c r="F151" s="2">
        <f t="shared" si="2"/>
        <v>686075</v>
      </c>
      <c r="G151" s="60">
        <f t="shared" si="3"/>
        <v>86075</v>
      </c>
      <c r="J151" s="12"/>
    </row>
    <row r="152" spans="1:10" x14ac:dyDescent="0.25">
      <c r="A152" s="18"/>
      <c r="B152" s="18" t="s">
        <v>52</v>
      </c>
      <c r="C152" s="2">
        <v>50000</v>
      </c>
      <c r="D152" s="2">
        <f t="shared" si="5"/>
        <v>25000</v>
      </c>
      <c r="E152" s="2"/>
      <c r="F152" s="2">
        <f t="shared" si="2"/>
        <v>50000</v>
      </c>
      <c r="G152" s="60">
        <f t="shared" si="3"/>
        <v>25000</v>
      </c>
    </row>
    <row r="153" spans="1:10" x14ac:dyDescent="0.25">
      <c r="A153" s="18"/>
      <c r="B153" s="18" t="s">
        <v>184</v>
      </c>
      <c r="C153" s="2">
        <v>200000</v>
      </c>
      <c r="D153" s="2">
        <f t="shared" si="5"/>
        <v>100000</v>
      </c>
      <c r="E153" s="2"/>
      <c r="F153" s="2">
        <f t="shared" si="2"/>
        <v>200000</v>
      </c>
      <c r="G153" s="60">
        <f t="shared" si="3"/>
        <v>100000</v>
      </c>
    </row>
    <row r="154" spans="1:10" x14ac:dyDescent="0.25">
      <c r="A154" s="18"/>
      <c r="B154" s="18" t="s">
        <v>155</v>
      </c>
      <c r="C154" s="2">
        <v>40247.599999999999</v>
      </c>
      <c r="D154" s="2">
        <v>10000</v>
      </c>
      <c r="E154" s="2"/>
      <c r="F154" s="2">
        <f t="shared" si="2"/>
        <v>40247.599999999999</v>
      </c>
      <c r="G154" s="60">
        <f t="shared" si="3"/>
        <v>10000</v>
      </c>
    </row>
    <row r="155" spans="1:10" x14ac:dyDescent="0.25">
      <c r="A155" s="18"/>
      <c r="B155" s="18" t="s">
        <v>180</v>
      </c>
      <c r="C155" s="2">
        <v>400000</v>
      </c>
      <c r="D155" s="2"/>
      <c r="E155" s="2"/>
      <c r="F155" s="2">
        <f t="shared" si="2"/>
        <v>400000</v>
      </c>
      <c r="G155" s="60"/>
    </row>
    <row r="156" spans="1:10" x14ac:dyDescent="0.25">
      <c r="A156" s="18"/>
      <c r="B156" s="18" t="s">
        <v>104</v>
      </c>
      <c r="C156" s="2">
        <v>700000</v>
      </c>
      <c r="D156" s="2">
        <f>C156/2</f>
        <v>350000</v>
      </c>
      <c r="E156" s="2">
        <v>388202</v>
      </c>
      <c r="F156" s="2">
        <f t="shared" si="2"/>
        <v>311798</v>
      </c>
      <c r="G156" s="60">
        <f t="shared" si="3"/>
        <v>-38202</v>
      </c>
    </row>
    <row r="157" spans="1:10" x14ac:dyDescent="0.25">
      <c r="A157" s="39"/>
      <c r="B157" s="39"/>
      <c r="C157" s="6"/>
      <c r="D157" s="6"/>
      <c r="E157" s="6"/>
      <c r="F157" s="2"/>
      <c r="G157" s="60">
        <f t="shared" si="3"/>
        <v>0</v>
      </c>
    </row>
    <row r="158" spans="1:10" x14ac:dyDescent="0.25">
      <c r="A158" s="40"/>
      <c r="B158" s="30" t="s">
        <v>27</v>
      </c>
      <c r="C158" s="8">
        <f>SUM(C128:C157)</f>
        <v>7265247.5999999996</v>
      </c>
      <c r="D158" s="8">
        <f>SUM(D128:D157)</f>
        <v>3040000</v>
      </c>
      <c r="E158" s="8">
        <f>SUM(E128:E157)</f>
        <v>2079384.28</v>
      </c>
      <c r="F158" s="8">
        <f>SUM(F128:F157)</f>
        <v>3415091.75</v>
      </c>
      <c r="G158" s="61">
        <f>SUM(G128:G157)</f>
        <v>262344.15000000002</v>
      </c>
    </row>
    <row r="159" spans="1:10" x14ac:dyDescent="0.25">
      <c r="C159" s="7"/>
    </row>
    <row r="160" spans="1:10" x14ac:dyDescent="0.25">
      <c r="C160" s="14"/>
    </row>
    <row r="161" spans="1:9" x14ac:dyDescent="0.25">
      <c r="C161" s="14"/>
    </row>
    <row r="163" spans="1:9" x14ac:dyDescent="0.25">
      <c r="A163" s="13" t="s">
        <v>0</v>
      </c>
      <c r="B163" s="36"/>
      <c r="C163" s="10"/>
      <c r="D163" s="10"/>
      <c r="E163" s="10"/>
      <c r="F163" s="10"/>
      <c r="G163" s="10"/>
    </row>
    <row r="164" spans="1:9" x14ac:dyDescent="0.25">
      <c r="A164" s="13" t="s">
        <v>1</v>
      </c>
      <c r="B164" s="36"/>
      <c r="C164" s="10"/>
      <c r="D164" s="10"/>
      <c r="E164" s="10"/>
      <c r="F164" s="10"/>
      <c r="G164" s="10"/>
    </row>
    <row r="165" spans="1:9" x14ac:dyDescent="0.25">
      <c r="A165" s="13" t="s">
        <v>2</v>
      </c>
      <c r="B165" s="36"/>
      <c r="C165" s="10"/>
      <c r="D165" s="10"/>
      <c r="E165" s="10"/>
      <c r="F165" s="10"/>
      <c r="G165" s="10"/>
    </row>
    <row r="166" spans="1:9" x14ac:dyDescent="0.25">
      <c r="A166" s="24" t="s">
        <v>185</v>
      </c>
      <c r="B166" s="36"/>
      <c r="C166" s="10"/>
      <c r="D166" s="10"/>
      <c r="E166" s="10"/>
      <c r="F166" s="10"/>
      <c r="G166" s="10"/>
    </row>
    <row r="167" spans="1:9" x14ac:dyDescent="0.25">
      <c r="A167" s="35"/>
      <c r="B167" s="36"/>
      <c r="C167" s="10"/>
      <c r="D167" s="10"/>
      <c r="E167" s="10"/>
      <c r="F167" s="10"/>
      <c r="G167" s="10"/>
    </row>
    <row r="168" spans="1:9" x14ac:dyDescent="0.25">
      <c r="A168" s="88" t="s">
        <v>3</v>
      </c>
      <c r="B168" s="88" t="s">
        <v>4</v>
      </c>
      <c r="C168" s="88" t="s">
        <v>5</v>
      </c>
      <c r="D168" s="88" t="s">
        <v>6</v>
      </c>
      <c r="E168" s="88" t="s">
        <v>7</v>
      </c>
      <c r="F168" s="15" t="s">
        <v>8</v>
      </c>
      <c r="G168" s="15" t="s">
        <v>8</v>
      </c>
    </row>
    <row r="169" spans="1:9" x14ac:dyDescent="0.25">
      <c r="A169" s="89"/>
      <c r="B169" s="89"/>
      <c r="C169" s="89"/>
      <c r="D169" s="89"/>
      <c r="E169" s="89"/>
      <c r="F169" s="16" t="s">
        <v>5</v>
      </c>
      <c r="G169" s="16" t="s">
        <v>6</v>
      </c>
    </row>
    <row r="170" spans="1:9" x14ac:dyDescent="0.25">
      <c r="A170" s="17"/>
      <c r="B170" s="17"/>
      <c r="C170" s="17"/>
      <c r="D170" s="17"/>
      <c r="E170" s="17"/>
      <c r="F170" s="17"/>
      <c r="G170" s="17"/>
    </row>
    <row r="171" spans="1:9" x14ac:dyDescent="0.25">
      <c r="A171" s="18"/>
      <c r="B171" s="28" t="s">
        <v>53</v>
      </c>
      <c r="C171" s="18"/>
      <c r="D171" s="18"/>
      <c r="E171" s="18"/>
      <c r="F171" s="18"/>
      <c r="G171" s="63"/>
    </row>
    <row r="172" spans="1:9" x14ac:dyDescent="0.25">
      <c r="A172" s="18"/>
      <c r="B172" s="29" t="s">
        <v>11</v>
      </c>
      <c r="C172" s="2"/>
      <c r="D172" s="2"/>
      <c r="E172" s="2"/>
      <c r="F172" s="2"/>
      <c r="G172" s="64"/>
    </row>
    <row r="173" spans="1:9" x14ac:dyDescent="0.25">
      <c r="A173" s="18"/>
      <c r="B173" s="4" t="s">
        <v>58</v>
      </c>
      <c r="C173" s="2">
        <v>320000</v>
      </c>
      <c r="D173" s="2">
        <v>320000</v>
      </c>
      <c r="E173" s="11">
        <v>281208.63</v>
      </c>
      <c r="F173" s="2">
        <f t="shared" ref="F173:F187" si="6">C173-E173</f>
        <v>38791.369999999995</v>
      </c>
      <c r="G173" s="2">
        <f t="shared" ref="G173:G187" si="7">D173-E173</f>
        <v>38791.369999999995</v>
      </c>
    </row>
    <row r="174" spans="1:9" x14ac:dyDescent="0.25">
      <c r="A174" s="18"/>
      <c r="B174" s="4" t="s">
        <v>59</v>
      </c>
      <c r="C174" s="2">
        <v>1060000</v>
      </c>
      <c r="D174" s="2">
        <f>C174/2</f>
        <v>530000</v>
      </c>
      <c r="E174" s="11">
        <v>504000</v>
      </c>
      <c r="F174" s="2">
        <f t="shared" si="6"/>
        <v>556000</v>
      </c>
      <c r="G174" s="2">
        <f t="shared" si="7"/>
        <v>26000</v>
      </c>
      <c r="I174" s="14">
        <f>E174*12</f>
        <v>6048000</v>
      </c>
    </row>
    <row r="175" spans="1:9" x14ac:dyDescent="0.25">
      <c r="A175" s="18"/>
      <c r="B175" s="29" t="s">
        <v>12</v>
      </c>
      <c r="C175" s="2"/>
      <c r="D175" s="2"/>
      <c r="E175" s="2"/>
      <c r="F175" s="2">
        <f t="shared" si="6"/>
        <v>0</v>
      </c>
      <c r="G175" s="2">
        <f t="shared" si="7"/>
        <v>0</v>
      </c>
    </row>
    <row r="176" spans="1:9" x14ac:dyDescent="0.25">
      <c r="A176" s="18"/>
      <c r="B176" s="4" t="s">
        <v>54</v>
      </c>
      <c r="C176" s="2">
        <v>2176195.09</v>
      </c>
      <c r="D176" s="2">
        <v>761294</v>
      </c>
      <c r="E176" s="48">
        <v>632969.34</v>
      </c>
      <c r="F176" s="2">
        <f t="shared" si="6"/>
        <v>1543225.75</v>
      </c>
      <c r="G176" s="2">
        <f t="shared" si="7"/>
        <v>128324.66000000003</v>
      </c>
      <c r="I176" s="14">
        <f>C176/4</f>
        <v>544048.77249999996</v>
      </c>
    </row>
    <row r="177" spans="1:7" x14ac:dyDescent="0.25">
      <c r="A177" s="18"/>
      <c r="B177" s="4" t="s">
        <v>55</v>
      </c>
      <c r="C177" s="2">
        <v>15000</v>
      </c>
      <c r="D177" s="2"/>
      <c r="E177" s="2"/>
      <c r="F177" s="2">
        <f t="shared" si="6"/>
        <v>15000</v>
      </c>
      <c r="G177" s="2">
        <f t="shared" si="7"/>
        <v>0</v>
      </c>
    </row>
    <row r="178" spans="1:7" x14ac:dyDescent="0.25">
      <c r="A178" s="18"/>
      <c r="B178" s="4" t="s">
        <v>56</v>
      </c>
      <c r="C178" s="2">
        <v>20000</v>
      </c>
      <c r="D178" s="2">
        <f>C178/2</f>
        <v>10000</v>
      </c>
      <c r="E178" s="11">
        <v>5000</v>
      </c>
      <c r="F178" s="2">
        <f t="shared" si="6"/>
        <v>15000</v>
      </c>
      <c r="G178" s="2">
        <f t="shared" si="7"/>
        <v>5000</v>
      </c>
    </row>
    <row r="179" spans="1:7" x14ac:dyDescent="0.25">
      <c r="A179" s="18"/>
      <c r="B179" s="4" t="s">
        <v>175</v>
      </c>
      <c r="C179" s="2">
        <v>2176195.09</v>
      </c>
      <c r="D179" s="2">
        <v>761294</v>
      </c>
      <c r="E179" s="48">
        <v>590410.93000000005</v>
      </c>
      <c r="F179" s="2">
        <f t="shared" si="6"/>
        <v>1585784.1599999997</v>
      </c>
      <c r="G179" s="2">
        <f t="shared" si="7"/>
        <v>170883.06999999995</v>
      </c>
    </row>
    <row r="180" spans="1:7" x14ac:dyDescent="0.25">
      <c r="A180" s="18"/>
      <c r="B180" s="4" t="s">
        <v>176</v>
      </c>
      <c r="C180" s="2">
        <v>435239.01</v>
      </c>
      <c r="D180" s="2">
        <v>152258</v>
      </c>
      <c r="E180" s="48">
        <v>48000</v>
      </c>
      <c r="F180" s="2"/>
      <c r="G180" s="2"/>
    </row>
    <row r="181" spans="1:7" x14ac:dyDescent="0.25">
      <c r="A181" s="18"/>
      <c r="B181" s="58" t="s">
        <v>177</v>
      </c>
      <c r="C181" s="2">
        <v>363262.38</v>
      </c>
      <c r="D181" s="2">
        <v>152258</v>
      </c>
      <c r="E181" s="48">
        <v>70634</v>
      </c>
      <c r="F181" s="2">
        <f t="shared" si="6"/>
        <v>292628.38</v>
      </c>
      <c r="G181" s="2">
        <f t="shared" si="7"/>
        <v>81624</v>
      </c>
    </row>
    <row r="182" spans="1:7" x14ac:dyDescent="0.25">
      <c r="A182" s="18"/>
      <c r="B182" s="4" t="s">
        <v>178</v>
      </c>
      <c r="C182" s="2">
        <v>100172.48</v>
      </c>
      <c r="D182" s="2">
        <f>C182</f>
        <v>100172.48</v>
      </c>
      <c r="E182" s="11">
        <v>67160</v>
      </c>
      <c r="F182" s="2">
        <f t="shared" si="6"/>
        <v>33012.479999999996</v>
      </c>
      <c r="G182" s="2">
        <f t="shared" si="7"/>
        <v>33012.479999999996</v>
      </c>
    </row>
    <row r="183" spans="1:7" x14ac:dyDescent="0.25">
      <c r="A183" s="18"/>
      <c r="B183" s="4" t="s">
        <v>113</v>
      </c>
      <c r="C183" s="2">
        <v>150000</v>
      </c>
      <c r="D183" s="2">
        <f>C183/2</f>
        <v>75000</v>
      </c>
      <c r="E183" s="11">
        <v>75325</v>
      </c>
      <c r="F183" s="2"/>
      <c r="G183" s="2"/>
    </row>
    <row r="184" spans="1:7" x14ac:dyDescent="0.25">
      <c r="A184" s="18"/>
      <c r="B184" s="29" t="s">
        <v>13</v>
      </c>
      <c r="C184" s="2"/>
      <c r="D184" s="2"/>
      <c r="E184" s="2"/>
      <c r="F184" s="2">
        <f t="shared" si="6"/>
        <v>0</v>
      </c>
      <c r="G184" s="2">
        <f t="shared" si="7"/>
        <v>0</v>
      </c>
    </row>
    <row r="185" spans="1:7" x14ac:dyDescent="0.25">
      <c r="A185" s="18"/>
      <c r="B185" s="4" t="s">
        <v>159</v>
      </c>
      <c r="C185" s="2">
        <v>500000</v>
      </c>
      <c r="D185" s="2">
        <f>C185</f>
        <v>500000</v>
      </c>
      <c r="E185" s="11">
        <f>20189+8760</f>
        <v>28949</v>
      </c>
      <c r="F185" s="2">
        <f t="shared" si="6"/>
        <v>471051</v>
      </c>
      <c r="G185" s="2">
        <f t="shared" si="7"/>
        <v>471051</v>
      </c>
    </row>
    <row r="186" spans="1:7" x14ac:dyDescent="0.25">
      <c r="A186" s="18"/>
      <c r="B186" s="4" t="s">
        <v>62</v>
      </c>
      <c r="C186" s="2"/>
      <c r="D186" s="2"/>
      <c r="E186" s="2"/>
      <c r="F186" s="2">
        <f t="shared" si="6"/>
        <v>0</v>
      </c>
      <c r="G186" s="2">
        <f t="shared" si="7"/>
        <v>0</v>
      </c>
    </row>
    <row r="187" spans="1:7" x14ac:dyDescent="0.25">
      <c r="A187" s="18"/>
      <c r="B187" s="5" t="s">
        <v>63</v>
      </c>
      <c r="C187" s="2">
        <v>1600000</v>
      </c>
      <c r="D187" s="2">
        <f>C187</f>
        <v>1600000</v>
      </c>
      <c r="E187" s="11">
        <v>1564814.07</v>
      </c>
      <c r="F187" s="2">
        <f t="shared" si="6"/>
        <v>35185.929999999935</v>
      </c>
      <c r="G187" s="2">
        <f t="shared" si="7"/>
        <v>35185.929999999935</v>
      </c>
    </row>
    <row r="188" spans="1:7" x14ac:dyDescent="0.25">
      <c r="A188" s="18"/>
      <c r="B188" s="4"/>
      <c r="C188" s="2"/>
      <c r="D188" s="2">
        <f>C188</f>
        <v>0</v>
      </c>
      <c r="E188" s="2"/>
      <c r="F188" s="2"/>
      <c r="G188" s="2"/>
    </row>
    <row r="189" spans="1:7" x14ac:dyDescent="0.25">
      <c r="A189" s="18"/>
      <c r="B189" s="41" t="s">
        <v>27</v>
      </c>
      <c r="C189" s="8">
        <f>SUM(C173:C188)</f>
        <v>8916064.0500000007</v>
      </c>
      <c r="D189" s="8">
        <f>SUM(D173:D188)</f>
        <v>4962276.4800000004</v>
      </c>
      <c r="E189" s="8">
        <f>SUM(E173:E188)</f>
        <v>3868470.9699999997</v>
      </c>
      <c r="F189" s="8">
        <f>SUM(F173:F188)</f>
        <v>4585679.0699999994</v>
      </c>
      <c r="G189" s="8">
        <f>SUM(G173:G188)</f>
        <v>989872.50999999989</v>
      </c>
    </row>
    <row r="190" spans="1:7" ht="15.75" thickBot="1" x14ac:dyDescent="0.3">
      <c r="A190" s="42"/>
      <c r="B190" s="43" t="s">
        <v>64</v>
      </c>
      <c r="C190" s="20">
        <f>C189+C158+C115+C108+C101+C94+C87+C80+C73+C57+C50+C43+C36+C29+C22+C15</f>
        <v>43523901.710000001</v>
      </c>
      <c r="D190" s="20">
        <f>D189+D158+D115+D108+D101+D94+D87+D80+D73+D57+D50+D43+D36+D29+D22+D15</f>
        <v>21666071.510000002</v>
      </c>
      <c r="E190" s="20">
        <f>E189+E158+E115+E108+E101+E94+E87+E80+E73+E57+E50+E43+E36+E29+E22+E15</f>
        <v>12544428.939999999</v>
      </c>
      <c r="F190" s="20">
        <f>F189+F158+F115+F108+F101+F94+F87+F80+F73+F57+F50+F43+F36+F29+F22+F15</f>
        <v>28721787.189999998</v>
      </c>
      <c r="G190" s="20">
        <f>G189+G158+G115+G108+G101+G94+G87+G80+G73+G57+G50+G43+G36+G29+G22+G15</f>
        <v>8319438</v>
      </c>
    </row>
    <row r="191" spans="1:7" ht="15.75" thickTop="1" x14ac:dyDescent="0.25">
      <c r="C191" s="12"/>
      <c r="D191" s="12"/>
      <c r="E191" s="12"/>
      <c r="F191" s="12"/>
      <c r="G191" s="12"/>
    </row>
    <row r="192" spans="1:7" x14ac:dyDescent="0.25">
      <c r="B192" s="13" t="s">
        <v>65</v>
      </c>
      <c r="C192" s="12"/>
      <c r="D192" s="12"/>
      <c r="E192" s="12"/>
      <c r="F192" s="12"/>
      <c r="G192" s="12"/>
    </row>
    <row r="193" spans="2:12" x14ac:dyDescent="0.25">
      <c r="C193" s="12"/>
      <c r="D193" s="12">
        <f>D173+D174+D178+D182+D183+D185+D187</f>
        <v>3135172.48</v>
      </c>
      <c r="E193" s="12">
        <f>E173+E174+E178+E182+E183+E185+E187</f>
        <v>2526456.7000000002</v>
      </c>
      <c r="F193" s="12" t="s">
        <v>186</v>
      </c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B195" s="44" t="s">
        <v>66</v>
      </c>
      <c r="C195" s="12"/>
      <c r="D195" s="12"/>
      <c r="E195" s="12"/>
      <c r="F195" s="12"/>
      <c r="G195" s="12"/>
    </row>
    <row r="196" spans="2:12" x14ac:dyDescent="0.25">
      <c r="B196" s="13" t="s">
        <v>67</v>
      </c>
    </row>
    <row r="200" spans="2:12" x14ac:dyDescent="0.25">
      <c r="C200" s="12"/>
      <c r="D200" s="90" t="s">
        <v>164</v>
      </c>
      <c r="E200" s="90"/>
      <c r="F200" s="12"/>
      <c r="G200" s="12"/>
    </row>
    <row r="201" spans="2:12" x14ac:dyDescent="0.25">
      <c r="C201" s="12"/>
      <c r="D201" s="12" t="s">
        <v>162</v>
      </c>
      <c r="E201" s="12" t="s">
        <v>163</v>
      </c>
      <c r="F201" s="12"/>
      <c r="G201" s="12"/>
      <c r="H201" s="57">
        <v>0.8</v>
      </c>
      <c r="I201" s="12">
        <v>2159415</v>
      </c>
      <c r="L201" s="13">
        <f>20*20</f>
        <v>400</v>
      </c>
    </row>
    <row r="202" spans="2:12" x14ac:dyDescent="0.25">
      <c r="C202" s="12" t="s">
        <v>160</v>
      </c>
      <c r="D202" s="12">
        <f>5518028.2+D46</f>
        <v>6044700.4299999997</v>
      </c>
      <c r="E202" s="12">
        <v>1646631.99</v>
      </c>
      <c r="F202" s="12"/>
      <c r="G202" s="12"/>
      <c r="H202" s="57">
        <v>0.2</v>
      </c>
      <c r="I202" s="12">
        <v>539854</v>
      </c>
      <c r="L202" s="13">
        <f>15*20</f>
        <v>300</v>
      </c>
    </row>
    <row r="203" spans="2:12" x14ac:dyDescent="0.25">
      <c r="C203" s="12" t="s">
        <v>161</v>
      </c>
      <c r="D203" s="12">
        <f>D190-D202</f>
        <v>15621371.080000002</v>
      </c>
      <c r="E203" s="12">
        <v>130701.19</v>
      </c>
      <c r="F203" s="12"/>
      <c r="G203" s="12"/>
      <c r="I203" s="12"/>
    </row>
    <row r="204" spans="2:12" x14ac:dyDescent="0.25">
      <c r="C204" s="56">
        <v>0.2</v>
      </c>
      <c r="D204" s="12"/>
      <c r="E204" s="12">
        <v>133869.85</v>
      </c>
      <c r="F204" s="12"/>
      <c r="G204" s="12"/>
      <c r="I204" s="12"/>
      <c r="L204" s="13">
        <f>SUM(L201:L203)</f>
        <v>700</v>
      </c>
    </row>
    <row r="205" spans="2:12" x14ac:dyDescent="0.25">
      <c r="C205" s="56">
        <v>0.05</v>
      </c>
      <c r="D205" s="12">
        <v>404890.34</v>
      </c>
      <c r="E205" s="12">
        <v>14850</v>
      </c>
      <c r="F205" s="12"/>
      <c r="G205" s="12"/>
      <c r="I205" s="12">
        <f>SUM(I201:I204)</f>
        <v>2699269</v>
      </c>
    </row>
    <row r="206" spans="2:12" x14ac:dyDescent="0.25">
      <c r="C206" s="12" t="s">
        <v>120</v>
      </c>
      <c r="D206" s="12"/>
      <c r="E206" s="12">
        <v>7200</v>
      </c>
      <c r="F206" s="12"/>
      <c r="G206" s="12">
        <f>I205-E190</f>
        <v>-9845159.9399999995</v>
      </c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F208" s="12"/>
      <c r="G208" s="12"/>
      <c r="I208" s="12"/>
    </row>
    <row r="209" spans="3:9" x14ac:dyDescent="0.25">
      <c r="C209" s="12" t="s">
        <v>143</v>
      </c>
      <c r="D209" s="12">
        <f>SUM(D202:D208)</f>
        <v>22070961.850000001</v>
      </c>
      <c r="E209" s="12">
        <f>SUM(E202:E207)</f>
        <v>1933253.03</v>
      </c>
      <c r="F209" s="12"/>
      <c r="G209" s="12"/>
      <c r="I209" s="12"/>
    </row>
    <row r="210" spans="3:9" x14ac:dyDescent="0.25">
      <c r="C210" s="12"/>
      <c r="D210" s="12"/>
      <c r="E210" s="12">
        <f>E190-E209</f>
        <v>10611175.91</v>
      </c>
      <c r="F210" s="12"/>
      <c r="G210" s="12"/>
      <c r="I210" s="12"/>
    </row>
    <row r="211" spans="3:9" x14ac:dyDescent="0.25">
      <c r="C211" s="12"/>
      <c r="D211" s="12">
        <f>32391227</f>
        <v>32391227</v>
      </c>
      <c r="E211" s="12">
        <f>E209-E190</f>
        <v>-10611175.91</v>
      </c>
      <c r="F211" s="12"/>
      <c r="G211" s="12"/>
      <c r="I211" s="12"/>
    </row>
    <row r="212" spans="3:9" x14ac:dyDescent="0.25">
      <c r="C212" s="12"/>
      <c r="D212" s="12">
        <f>D211*5%</f>
        <v>1619561.35</v>
      </c>
      <c r="E212" s="12"/>
      <c r="F212" s="12"/>
      <c r="G212" s="12"/>
    </row>
    <row r="213" spans="3:9" x14ac:dyDescent="0.25">
      <c r="C213" s="12"/>
      <c r="D213" s="12">
        <f>D212/4</f>
        <v>404890.33750000002</v>
      </c>
      <c r="E213" s="12">
        <f>E173+E174</f>
        <v>785208.63</v>
      </c>
      <c r="F213" s="12"/>
      <c r="G213" s="12"/>
    </row>
    <row r="214" spans="3:9" x14ac:dyDescent="0.25">
      <c r="C214" s="12"/>
      <c r="D214" s="12"/>
      <c r="E214" s="12"/>
      <c r="F214" s="12"/>
      <c r="G214" s="12"/>
    </row>
    <row r="215" spans="3:9" x14ac:dyDescent="0.25">
      <c r="C215" s="12"/>
      <c r="D215" s="12"/>
      <c r="E215" s="12">
        <f>E202+E203</f>
        <v>1777333.18</v>
      </c>
      <c r="F215" s="12"/>
      <c r="G215" s="12"/>
    </row>
    <row r="216" spans="3:9" x14ac:dyDescent="0.25">
      <c r="C216" s="12"/>
      <c r="D216" s="12"/>
      <c r="E216" s="12"/>
      <c r="F216" s="12"/>
      <c r="G216" s="12"/>
    </row>
    <row r="217" spans="3:9" x14ac:dyDescent="0.25">
      <c r="C217" s="12"/>
      <c r="D217" s="12"/>
      <c r="E217" s="12"/>
      <c r="F217" s="12"/>
      <c r="G217" s="12"/>
    </row>
    <row r="218" spans="3:9" x14ac:dyDescent="0.25">
      <c r="C218" s="12"/>
      <c r="D218" s="12"/>
      <c r="E218" s="12"/>
      <c r="F218" s="12"/>
      <c r="G218" s="12"/>
    </row>
    <row r="219" spans="3:9" x14ac:dyDescent="0.25">
      <c r="C219" s="12"/>
      <c r="D219" s="12"/>
      <c r="E219" s="12"/>
      <c r="F219" s="12"/>
      <c r="G219" s="12"/>
    </row>
    <row r="220" spans="3:9" x14ac:dyDescent="0.25">
      <c r="C220" s="12"/>
      <c r="D220" s="12"/>
      <c r="E220" s="12"/>
      <c r="F220" s="12"/>
      <c r="G220" s="12"/>
    </row>
    <row r="221" spans="3:9" x14ac:dyDescent="0.25">
      <c r="C221" s="12"/>
      <c r="D221" s="12"/>
      <c r="E221" s="12"/>
      <c r="F221" s="12"/>
      <c r="G221" s="12"/>
    </row>
    <row r="222" spans="3:9" x14ac:dyDescent="0.25">
      <c r="C222" s="12"/>
      <c r="D222" s="12"/>
      <c r="E222" s="12"/>
      <c r="F222" s="12"/>
      <c r="G222" s="12"/>
    </row>
    <row r="223" spans="3:9" x14ac:dyDescent="0.25">
      <c r="C223" s="12"/>
      <c r="D223" s="12"/>
      <c r="E223" s="12"/>
      <c r="F223" s="12"/>
      <c r="G223" s="12"/>
    </row>
    <row r="224" spans="3:9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>
        <f>20*25</f>
        <v>500</v>
      </c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</sheetData>
  <mergeCells count="21">
    <mergeCell ref="A6:A7"/>
    <mergeCell ref="B6:B7"/>
    <mergeCell ref="C6:C7"/>
    <mergeCell ref="D6:D7"/>
    <mergeCell ref="E6:E7"/>
    <mergeCell ref="A65:A66"/>
    <mergeCell ref="B65:B66"/>
    <mergeCell ref="C65:C66"/>
    <mergeCell ref="D65:D66"/>
    <mergeCell ref="E65:E66"/>
    <mergeCell ref="A125:A126"/>
    <mergeCell ref="B125:B126"/>
    <mergeCell ref="C125:C126"/>
    <mergeCell ref="D125:D126"/>
    <mergeCell ref="E125:E126"/>
    <mergeCell ref="D200:E200"/>
    <mergeCell ref="A168:A169"/>
    <mergeCell ref="B168:B169"/>
    <mergeCell ref="C168:C169"/>
    <mergeCell ref="D168:D169"/>
    <mergeCell ref="E168:E169"/>
  </mergeCells>
  <pageMargins left="0.12" right="0.12" top="0.36" bottom="0.41" header="0.3" footer="0.3"/>
  <pageSetup scale="8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"/>
  <sheetViews>
    <sheetView zoomScale="140" zoomScaleNormal="140" workbookViewId="0">
      <selection activeCell="E11" sqref="E11"/>
    </sheetView>
  </sheetViews>
  <sheetFormatPr defaultRowHeight="15" x14ac:dyDescent="0.25"/>
  <cols>
    <col min="1" max="1" width="7.5703125" style="13" customWidth="1"/>
    <col min="2" max="2" width="41.42578125" style="13" customWidth="1"/>
    <col min="3" max="3" width="17.28515625" style="13" customWidth="1"/>
    <col min="4" max="4" width="14.7109375" style="13" bestFit="1" customWidth="1"/>
    <col min="5" max="5" width="15.140625" style="13" customWidth="1"/>
    <col min="6" max="6" width="16.28515625" style="13" customWidth="1"/>
    <col min="7" max="7" width="14.28515625" style="13" customWidth="1"/>
    <col min="8" max="8" width="9.140625" style="13"/>
    <col min="9" max="9" width="15.140625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187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f>C11/2</f>
        <v>864963.49</v>
      </c>
      <c r="E11" s="11">
        <v>735313.7</v>
      </c>
      <c r="F11" s="2">
        <f>C11-E11</f>
        <v>994613.28</v>
      </c>
      <c r="G11" s="60">
        <f>D11-E11</f>
        <v>129649.79000000004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>
        <f>C12/2</f>
        <v>548990.31000000006</v>
      </c>
      <c r="E12" s="11">
        <f>503059.74+74346.8</f>
        <v>577406.54</v>
      </c>
      <c r="F12" s="2">
        <f t="shared" ref="F12:F13" si="0">C12-E12</f>
        <v>520574.08000000007</v>
      </c>
      <c r="G12" s="60">
        <f t="shared" ref="G12:G13" si="1">D12-E12</f>
        <v>-28416.229999999981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/>
      <c r="F13" s="2">
        <f t="shared" si="0"/>
        <v>0</v>
      </c>
      <c r="G13" s="60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60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1413953.8</v>
      </c>
      <c r="E15" s="8">
        <f>SUM(E11:E14)</f>
        <v>1312720.24</v>
      </c>
      <c r="F15" s="8">
        <f>SUM(F11:F14)</f>
        <v>1515187.36</v>
      </c>
      <c r="G15" s="61">
        <f>SUM(G11:G14)</f>
        <v>101233.56000000006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60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60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f>C18/2</f>
        <v>4204160.7</v>
      </c>
      <c r="E18" s="11">
        <v>2696044.46</v>
      </c>
      <c r="F18" s="2">
        <f>C18-E18</f>
        <v>5712276.9400000004</v>
      </c>
      <c r="G18" s="60">
        <f>D18-E18</f>
        <v>1508116.2400000002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>
        <f>C19/2</f>
        <v>537968.18000000005</v>
      </c>
      <c r="E19" s="11">
        <f>336911.64+191785.52</f>
        <v>528697.16</v>
      </c>
      <c r="F19" s="2">
        <f>C19-E19</f>
        <v>547239.20000000007</v>
      </c>
      <c r="G19" s="60">
        <f>D19-E19</f>
        <v>9271.0200000000186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60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60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4742128.88</v>
      </c>
      <c r="E22" s="8">
        <f>SUM(E18:E21)</f>
        <v>3224741.62</v>
      </c>
      <c r="F22" s="8">
        <f>SUM(F18:F21)</f>
        <v>6259516.1400000006</v>
      </c>
      <c r="G22" s="61">
        <f>SUM(G18:G21)</f>
        <v>1517387.2600000002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60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60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f>C25/2</f>
        <v>482111.42</v>
      </c>
      <c r="E25" s="11">
        <v>447725.82</v>
      </c>
      <c r="F25" s="2">
        <f>C25-E25</f>
        <v>516497.01999999996</v>
      </c>
      <c r="G25" s="60">
        <f>D25-E25</f>
        <v>34385.599999999977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f>C26/2</f>
        <v>68766.115000000005</v>
      </c>
      <c r="E26" s="11">
        <f>12431.12</f>
        <v>12431.12</v>
      </c>
      <c r="F26" s="2">
        <f>C26-E26</f>
        <v>125101.11000000002</v>
      </c>
      <c r="G26" s="60">
        <f>D26-E26</f>
        <v>56334.995000000003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60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60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550877.53500000003</v>
      </c>
      <c r="E29" s="8">
        <f>SUM(E25:E28)</f>
        <v>460156.94</v>
      </c>
      <c r="F29" s="8">
        <f>SUM(F25:F28)</f>
        <v>641598.13</v>
      </c>
      <c r="G29" s="61">
        <f>SUM(G25:G28)</f>
        <v>90720.594999999972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60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60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f>C32/2</f>
        <v>366440.19</v>
      </c>
      <c r="E32" s="11">
        <v>341159.44</v>
      </c>
      <c r="F32" s="2">
        <f>C32-E32</f>
        <v>391720.94</v>
      </c>
      <c r="G32" s="60">
        <f>D32-E32</f>
        <v>25280.75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f>C33/2</f>
        <v>40439.18</v>
      </c>
      <c r="E33" s="11">
        <f>1830+5333.5+2000</f>
        <v>9163.5</v>
      </c>
      <c r="F33" s="2">
        <f>C33-E33</f>
        <v>71714.86</v>
      </c>
      <c r="G33" s="60">
        <f>D33-E33</f>
        <v>31275.68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60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60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406879.37</v>
      </c>
      <c r="E36" s="8">
        <f>SUM(E32:E35)</f>
        <v>350322.94</v>
      </c>
      <c r="F36" s="8">
        <f>SUM(F32:F35)</f>
        <v>463435.8</v>
      </c>
      <c r="G36" s="61">
        <f>SUM(G32:G35)</f>
        <v>56556.43</v>
      </c>
      <c r="L36" s="12"/>
    </row>
    <row r="37" spans="1:13" x14ac:dyDescent="0.25">
      <c r="A37" s="27"/>
      <c r="B37" s="18"/>
      <c r="C37" s="2"/>
      <c r="D37" s="2"/>
      <c r="E37" s="2"/>
      <c r="F37" s="2"/>
      <c r="G37" s="60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60"/>
      <c r="L38" s="12"/>
    </row>
    <row r="39" spans="1:13" x14ac:dyDescent="0.25">
      <c r="A39" s="27"/>
      <c r="B39" s="29" t="s">
        <v>11</v>
      </c>
      <c r="C39" s="2">
        <v>591829.98</v>
      </c>
      <c r="D39" s="2">
        <f>C39/2</f>
        <v>295914.99</v>
      </c>
      <c r="E39" s="11">
        <v>241827.22</v>
      </c>
      <c r="F39" s="2">
        <f>C39-E39</f>
        <v>350002.76</v>
      </c>
      <c r="G39" s="60">
        <f>D39-E39</f>
        <v>54087.76999999999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f>C40/2</f>
        <v>39701.75</v>
      </c>
      <c r="E40" s="11">
        <f>16089+3000</f>
        <v>19089</v>
      </c>
      <c r="F40" s="2">
        <f>C40-E40</f>
        <v>60314.5</v>
      </c>
      <c r="G40" s="60">
        <f>D40-E40</f>
        <v>20612.75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60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60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335616.74</v>
      </c>
      <c r="E43" s="8">
        <f>SUM(E39:E42)</f>
        <v>260916.22</v>
      </c>
      <c r="F43" s="8">
        <f>SUM(F39:F42)</f>
        <v>410317.26</v>
      </c>
      <c r="G43" s="61">
        <f>SUM(G39:G42)</f>
        <v>74700.51999999999</v>
      </c>
    </row>
    <row r="44" spans="1:13" x14ac:dyDescent="0.25">
      <c r="A44" s="27"/>
      <c r="B44" s="18"/>
      <c r="C44" s="2"/>
      <c r="D44" s="2"/>
      <c r="E44" s="2"/>
      <c r="F44" s="2"/>
      <c r="G44" s="60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60"/>
    </row>
    <row r="46" spans="1:13" x14ac:dyDescent="0.25">
      <c r="A46" s="27"/>
      <c r="B46" s="29" t="s">
        <v>11</v>
      </c>
      <c r="C46" s="2">
        <v>1053344.46</v>
      </c>
      <c r="D46" s="2">
        <f>C46/2</f>
        <v>526672.23</v>
      </c>
      <c r="E46" s="11">
        <v>263823.77</v>
      </c>
      <c r="F46" s="2">
        <f>C46-E46</f>
        <v>789520.69</v>
      </c>
      <c r="G46" s="60">
        <f>D46-E46</f>
        <v>262848.45999999996</v>
      </c>
    </row>
    <row r="47" spans="1:13" x14ac:dyDescent="0.25">
      <c r="A47" s="27"/>
      <c r="B47" s="29" t="s">
        <v>12</v>
      </c>
      <c r="C47" s="2">
        <v>205007.27</v>
      </c>
      <c r="D47" s="2">
        <f>C47/2</f>
        <v>102503.63499999999</v>
      </c>
      <c r="E47" s="11">
        <f>30233+4260</f>
        <v>34493</v>
      </c>
      <c r="F47" s="2">
        <f>C47-E47</f>
        <v>170514.27</v>
      </c>
      <c r="G47" s="60">
        <f>D47-E47</f>
        <v>68010.634999999995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60">
        <f>D48-E48</f>
        <v>0</v>
      </c>
      <c r="H48" s="12"/>
    </row>
    <row r="49" spans="1:13" x14ac:dyDescent="0.25">
      <c r="A49" s="27"/>
      <c r="B49" s="29" t="s">
        <v>14</v>
      </c>
      <c r="C49" s="2"/>
      <c r="D49" s="2"/>
      <c r="E49" s="2"/>
      <c r="F49" s="2"/>
      <c r="G49" s="60"/>
      <c r="H49" s="12"/>
    </row>
    <row r="50" spans="1:13" x14ac:dyDescent="0.25">
      <c r="A50" s="27"/>
      <c r="B50" s="30" t="s">
        <v>27</v>
      </c>
      <c r="C50" s="8">
        <f>SUM(C46:C49)</f>
        <v>1258351.73</v>
      </c>
      <c r="D50" s="8">
        <f>SUM(D46:D49)</f>
        <v>629175.86499999999</v>
      </c>
      <c r="E50" s="8">
        <f>SUM(E46:E49)</f>
        <v>298316.77</v>
      </c>
      <c r="F50" s="8">
        <f>SUM(F46:F49)</f>
        <v>960034.96</v>
      </c>
      <c r="G50" s="61">
        <f>SUM(G46:G49)</f>
        <v>330859.09499999997</v>
      </c>
      <c r="H50" s="12"/>
    </row>
    <row r="51" spans="1:13" x14ac:dyDescent="0.25">
      <c r="A51" s="27"/>
      <c r="B51" s="18"/>
      <c r="C51" s="2"/>
      <c r="D51" s="2"/>
      <c r="E51" s="2"/>
      <c r="F51" s="2"/>
      <c r="G51" s="60"/>
      <c r="H51" s="12"/>
    </row>
    <row r="52" spans="1:13" x14ac:dyDescent="0.25">
      <c r="A52" s="27">
        <v>1091</v>
      </c>
      <c r="B52" s="28" t="s">
        <v>19</v>
      </c>
      <c r="C52" s="2"/>
      <c r="D52" s="2"/>
      <c r="E52" s="2"/>
      <c r="F52" s="2"/>
      <c r="G52" s="60"/>
      <c r="H52" s="12"/>
    </row>
    <row r="53" spans="1:13" x14ac:dyDescent="0.25">
      <c r="A53" s="27"/>
      <c r="B53" s="29" t="s">
        <v>11</v>
      </c>
      <c r="C53" s="2">
        <v>1583456.4</v>
      </c>
      <c r="D53" s="2">
        <f>C53/2</f>
        <v>791728.2</v>
      </c>
      <c r="E53" s="11">
        <v>716857.95</v>
      </c>
      <c r="F53" s="2">
        <f>C53-E53</f>
        <v>866598.45</v>
      </c>
      <c r="G53" s="60">
        <f>D53-E53</f>
        <v>74870.25</v>
      </c>
      <c r="H53" s="12"/>
    </row>
    <row r="54" spans="1:13" x14ac:dyDescent="0.25">
      <c r="A54" s="27"/>
      <c r="B54" s="29" t="s">
        <v>12</v>
      </c>
      <c r="C54" s="2">
        <v>321156.95</v>
      </c>
      <c r="D54" s="2">
        <f>C54/2</f>
        <v>160578.47500000001</v>
      </c>
      <c r="E54" s="11">
        <v>186570</v>
      </c>
      <c r="F54" s="2">
        <f>C54-E54</f>
        <v>134586.95000000001</v>
      </c>
      <c r="G54" s="60">
        <f>D54-E54</f>
        <v>-25991.524999999994</v>
      </c>
      <c r="H54" s="12"/>
    </row>
    <row r="55" spans="1:13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60">
        <f>D55-E55</f>
        <v>0</v>
      </c>
      <c r="H55" s="12"/>
    </row>
    <row r="56" spans="1:13" x14ac:dyDescent="0.25">
      <c r="A56" s="27"/>
      <c r="B56" s="29" t="s">
        <v>14</v>
      </c>
      <c r="C56" s="2"/>
      <c r="D56" s="2"/>
      <c r="E56" s="2"/>
      <c r="F56" s="2"/>
      <c r="G56" s="60"/>
      <c r="H56" s="12"/>
    </row>
    <row r="57" spans="1:13" x14ac:dyDescent="0.25">
      <c r="A57" s="31"/>
      <c r="B57" s="30" t="s">
        <v>27</v>
      </c>
      <c r="C57" s="8">
        <f>SUM(C53:C56)</f>
        <v>1904613.3499999999</v>
      </c>
      <c r="D57" s="8">
        <f>SUM(D53:D56)</f>
        <v>952306.67499999993</v>
      </c>
      <c r="E57" s="8">
        <f>SUM(E53:E56)</f>
        <v>903427.95</v>
      </c>
      <c r="F57" s="8">
        <f>SUM(F53:F56)</f>
        <v>1001185.3999999999</v>
      </c>
      <c r="G57" s="61">
        <f>SUM(G53:G56)</f>
        <v>48878.725000000006</v>
      </c>
      <c r="H57" s="12"/>
    </row>
    <row r="58" spans="1:13" ht="15.75" thickBot="1" x14ac:dyDescent="0.3">
      <c r="A58" s="32"/>
      <c r="B58" s="33"/>
      <c r="C58" s="9"/>
      <c r="D58" s="9"/>
      <c r="E58" s="9"/>
      <c r="F58" s="9"/>
      <c r="G58" s="62"/>
      <c r="H58" s="12"/>
    </row>
    <row r="59" spans="1:13" x14ac:dyDescent="0.25">
      <c r="A59" s="35"/>
      <c r="B59" s="36"/>
      <c r="C59" s="10"/>
      <c r="D59" s="10"/>
      <c r="E59" s="10">
        <f>E12+E19+E26+E33+E40+E40+E54</f>
        <v>1352446.3200000003</v>
      </c>
      <c r="F59" s="10"/>
      <c r="G59" s="10"/>
      <c r="H59" s="12"/>
    </row>
    <row r="60" spans="1:13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13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13" x14ac:dyDescent="0.25">
      <c r="A62" s="13" t="s">
        <v>2</v>
      </c>
      <c r="B62" s="36"/>
      <c r="C62" s="10"/>
      <c r="D62" s="10"/>
      <c r="E62" s="10"/>
      <c r="F62" s="10"/>
      <c r="G62" s="10"/>
      <c r="H62" s="12"/>
      <c r="M62" s="13">
        <v>45000</v>
      </c>
    </row>
    <row r="63" spans="1:13" x14ac:dyDescent="0.25">
      <c r="A63" s="24" t="s">
        <v>187</v>
      </c>
      <c r="B63" s="36"/>
      <c r="C63" s="10"/>
      <c r="D63" s="10"/>
      <c r="E63" s="10"/>
      <c r="F63" s="10"/>
      <c r="G63" s="10"/>
      <c r="H63" s="12"/>
      <c r="M63" s="13">
        <v>15000</v>
      </c>
    </row>
    <row r="64" spans="1:13" x14ac:dyDescent="0.25">
      <c r="A64" s="35"/>
      <c r="B64" s="36"/>
      <c r="C64" s="10"/>
      <c r="D64" s="10"/>
      <c r="E64" s="10"/>
      <c r="F64" s="10"/>
      <c r="G64" s="10"/>
      <c r="H64" s="12"/>
      <c r="M64" s="13">
        <v>40000</v>
      </c>
    </row>
    <row r="65" spans="1:13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  <c r="M65" s="13">
        <v>25000</v>
      </c>
    </row>
    <row r="66" spans="1:13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  <c r="M66" s="13">
        <v>45000</v>
      </c>
    </row>
    <row r="67" spans="1:13" x14ac:dyDescent="0.25">
      <c r="A67" s="26"/>
      <c r="B67" s="17"/>
      <c r="C67" s="19"/>
      <c r="D67" s="19"/>
      <c r="E67" s="19"/>
      <c r="F67" s="19"/>
      <c r="G67" s="19"/>
      <c r="H67" s="12"/>
      <c r="M67" s="13">
        <v>40000</v>
      </c>
    </row>
    <row r="68" spans="1:13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  <c r="M68" s="13">
        <v>14000</v>
      </c>
    </row>
    <row r="69" spans="1:13" x14ac:dyDescent="0.25">
      <c r="A69" s="27"/>
      <c r="B69" s="29" t="s">
        <v>11</v>
      </c>
      <c r="C69" s="2">
        <v>757496.84</v>
      </c>
      <c r="D69" s="2">
        <f>C69/2</f>
        <v>378748.42</v>
      </c>
      <c r="E69" s="11">
        <v>318112.53000000003</v>
      </c>
      <c r="F69" s="2">
        <f>C69-E69</f>
        <v>439384.30999999994</v>
      </c>
      <c r="G69" s="60">
        <f>D69-E69</f>
        <v>60635.889999999956</v>
      </c>
      <c r="H69" s="12"/>
      <c r="M69" s="13">
        <f>SUM(M62:M68)</f>
        <v>224000</v>
      </c>
    </row>
    <row r="70" spans="1:13" x14ac:dyDescent="0.25">
      <c r="A70" s="27"/>
      <c r="B70" s="29" t="s">
        <v>12</v>
      </c>
      <c r="C70" s="2">
        <v>112211.77</v>
      </c>
      <c r="D70" s="2">
        <f>C70/2</f>
        <v>56105.885000000002</v>
      </c>
      <c r="E70" s="11">
        <f>46076+1650</f>
        <v>47726</v>
      </c>
      <c r="F70" s="2">
        <f>C70-E70</f>
        <v>64485.770000000004</v>
      </c>
      <c r="G70" s="60">
        <f>D70-E70</f>
        <v>8379.885000000002</v>
      </c>
      <c r="H70" s="12"/>
    </row>
    <row r="71" spans="1:13" x14ac:dyDescent="0.25">
      <c r="A71" s="27"/>
      <c r="B71" s="29" t="s">
        <v>13</v>
      </c>
      <c r="C71" s="2">
        <v>10000</v>
      </c>
      <c r="D71" s="2">
        <v>10000</v>
      </c>
      <c r="E71" s="2">
        <v>5800</v>
      </c>
      <c r="F71" s="2">
        <f>C71-E71</f>
        <v>4200</v>
      </c>
      <c r="G71" s="60">
        <f>D71-E71</f>
        <v>4200</v>
      </c>
      <c r="H71" s="12"/>
    </row>
    <row r="72" spans="1:13" x14ac:dyDescent="0.25">
      <c r="A72" s="27"/>
      <c r="B72" s="29" t="s">
        <v>14</v>
      </c>
      <c r="C72" s="2"/>
      <c r="D72" s="2"/>
      <c r="E72" s="2"/>
      <c r="F72" s="2"/>
      <c r="G72" s="60"/>
      <c r="H72" s="12"/>
    </row>
    <row r="73" spans="1:13" x14ac:dyDescent="0.25">
      <c r="A73" s="18"/>
      <c r="B73" s="30" t="s">
        <v>27</v>
      </c>
      <c r="C73" s="8">
        <f>SUM(C69:C72)</f>
        <v>879708.61</v>
      </c>
      <c r="D73" s="8">
        <f>SUM(D69:D72)</f>
        <v>444854.30499999999</v>
      </c>
      <c r="E73" s="8">
        <f>SUM(E69:E72)</f>
        <v>371638.53</v>
      </c>
      <c r="F73" s="8">
        <f>SUM(F69:F72)</f>
        <v>508070.07999999996</v>
      </c>
      <c r="G73" s="61">
        <f>SUM(G69:G72)</f>
        <v>73215.774999999965</v>
      </c>
      <c r="H73" s="12"/>
    </row>
    <row r="74" spans="1:13" x14ac:dyDescent="0.25">
      <c r="A74" s="27"/>
      <c r="B74" s="18"/>
      <c r="C74" s="2"/>
      <c r="D74" s="2"/>
      <c r="E74" s="2"/>
      <c r="F74" s="2"/>
      <c r="G74" s="60"/>
      <c r="H74" s="12"/>
    </row>
    <row r="75" spans="1:13" x14ac:dyDescent="0.25">
      <c r="A75" s="27">
        <v>6544</v>
      </c>
      <c r="B75" s="28" t="s">
        <v>21</v>
      </c>
      <c r="C75" s="18"/>
      <c r="D75" s="2"/>
      <c r="E75" s="2"/>
      <c r="F75" s="2"/>
      <c r="G75" s="60"/>
      <c r="H75" s="12"/>
    </row>
    <row r="76" spans="1:13" x14ac:dyDescent="0.25">
      <c r="A76" s="27"/>
      <c r="B76" s="29" t="s">
        <v>11</v>
      </c>
      <c r="C76" s="2">
        <v>1136593.6000000001</v>
      </c>
      <c r="D76" s="2">
        <f>C76/2</f>
        <v>568296.80000000005</v>
      </c>
      <c r="E76" s="11">
        <v>429271.78</v>
      </c>
      <c r="F76" s="2">
        <f>C76-E76</f>
        <v>707321.82000000007</v>
      </c>
      <c r="G76" s="60">
        <f>D76-E76</f>
        <v>139025.02000000002</v>
      </c>
      <c r="H76" s="12"/>
    </row>
    <row r="77" spans="1:13" x14ac:dyDescent="0.25">
      <c r="A77" s="27"/>
      <c r="B77" s="29" t="s">
        <v>12</v>
      </c>
      <c r="C77" s="2">
        <v>749098.9</v>
      </c>
      <c r="D77" s="2">
        <f>C77/2</f>
        <v>374549.45</v>
      </c>
      <c r="E77" s="11">
        <f>367542.92+83316.92</f>
        <v>450859.83999999997</v>
      </c>
      <c r="F77" s="2">
        <f>C77-E77</f>
        <v>298239.06000000006</v>
      </c>
      <c r="G77" s="60">
        <f>D77-E77</f>
        <v>-76310.389999999956</v>
      </c>
      <c r="H77" s="12"/>
    </row>
    <row r="78" spans="1:13" x14ac:dyDescent="0.25">
      <c r="A78" s="27"/>
      <c r="B78" s="29" t="s">
        <v>13</v>
      </c>
      <c r="C78" s="2"/>
      <c r="D78" s="2"/>
      <c r="E78" s="2"/>
      <c r="F78" s="2"/>
      <c r="G78" s="60"/>
      <c r="H78" s="12"/>
    </row>
    <row r="79" spans="1:13" x14ac:dyDescent="0.25">
      <c r="A79" s="27"/>
      <c r="B79" s="29" t="s">
        <v>14</v>
      </c>
      <c r="C79" s="2"/>
      <c r="D79" s="2"/>
      <c r="E79" s="2"/>
      <c r="F79" s="2"/>
      <c r="G79" s="60"/>
      <c r="H79" s="12"/>
    </row>
    <row r="80" spans="1:13" x14ac:dyDescent="0.25">
      <c r="A80" s="27"/>
      <c r="B80" s="30" t="s">
        <v>27</v>
      </c>
      <c r="C80" s="8">
        <f>SUM(C76:C79)</f>
        <v>1885692.5</v>
      </c>
      <c r="D80" s="8">
        <f>SUM(D76:D79)</f>
        <v>942846.25</v>
      </c>
      <c r="E80" s="8">
        <f>SUM(E76:E79)</f>
        <v>880131.62</v>
      </c>
      <c r="F80" s="8">
        <f>SUM(F76:F79)</f>
        <v>1005560.8800000001</v>
      </c>
      <c r="G80" s="61">
        <f>SUM(G76:G79)</f>
        <v>62714.630000000063</v>
      </c>
      <c r="H80" s="12"/>
    </row>
    <row r="81" spans="1:8" x14ac:dyDescent="0.25">
      <c r="A81" s="27"/>
      <c r="B81" s="18"/>
      <c r="C81" s="2"/>
      <c r="D81" s="2"/>
      <c r="E81" s="2"/>
      <c r="F81" s="2"/>
      <c r="G81" s="60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60"/>
      <c r="H82" s="12"/>
    </row>
    <row r="83" spans="1:8" x14ac:dyDescent="0.25">
      <c r="A83" s="27"/>
      <c r="B83" s="29" t="s">
        <v>11</v>
      </c>
      <c r="C83" s="2">
        <v>2920190.6</v>
      </c>
      <c r="D83" s="2">
        <f>C83/2</f>
        <v>1460095.3</v>
      </c>
      <c r="E83" s="11">
        <v>1340328.3799999999</v>
      </c>
      <c r="F83" s="2">
        <f>C83-E83</f>
        <v>1579862.2200000002</v>
      </c>
      <c r="G83" s="60">
        <f>D83-E83</f>
        <v>119766.92000000016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f>C84/2</f>
        <v>87449.425000000003</v>
      </c>
      <c r="E84" s="11">
        <f>63609.47+9389.25</f>
        <v>72998.720000000001</v>
      </c>
      <c r="F84" s="2">
        <f>C84-E84</f>
        <v>101900.13</v>
      </c>
      <c r="G84" s="60">
        <f>D84-E84</f>
        <v>14450.705000000002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60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60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1547544.7250000001</v>
      </c>
      <c r="E87" s="8">
        <f>SUM(E83:E86)</f>
        <v>1413327.0999999999</v>
      </c>
      <c r="F87" s="8">
        <f>SUM(F83:F86)</f>
        <v>1681762.35</v>
      </c>
      <c r="G87" s="61">
        <f>SUM(G83:G86)</f>
        <v>134217.62500000017</v>
      </c>
      <c r="H87" s="12"/>
    </row>
    <row r="88" spans="1:8" x14ac:dyDescent="0.25">
      <c r="A88" s="27"/>
      <c r="B88" s="18"/>
      <c r="C88" s="2"/>
      <c r="D88" s="2"/>
      <c r="E88" s="2"/>
      <c r="F88" s="2"/>
      <c r="G88" s="60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60"/>
      <c r="H89" s="12"/>
    </row>
    <row r="90" spans="1:8" x14ac:dyDescent="0.25">
      <c r="A90" s="27"/>
      <c r="B90" s="29" t="s">
        <v>11</v>
      </c>
      <c r="C90" s="2">
        <v>1120789.58</v>
      </c>
      <c r="D90" s="2">
        <f>C90/2</f>
        <v>560394.79</v>
      </c>
      <c r="E90" s="11">
        <v>480377.69</v>
      </c>
      <c r="F90" s="2">
        <f>C90-E90</f>
        <v>640411.89000000013</v>
      </c>
      <c r="G90" s="60">
        <f>D90-E90</f>
        <v>80017.100000000035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f>C91/2</f>
        <v>94985.574999999997</v>
      </c>
      <c r="E91" s="11">
        <f>57420.5+13125</f>
        <v>70545.5</v>
      </c>
      <c r="F91" s="2">
        <f>C91-E91</f>
        <v>119425.65</v>
      </c>
      <c r="G91" s="60">
        <f>D91-E91</f>
        <v>24440.074999999997</v>
      </c>
      <c r="H91" s="12"/>
    </row>
    <row r="92" spans="1:8" x14ac:dyDescent="0.25">
      <c r="A92" s="27"/>
      <c r="B92" s="29" t="s">
        <v>13</v>
      </c>
      <c r="C92" s="2">
        <v>25000</v>
      </c>
      <c r="D92" s="2"/>
      <c r="E92" s="2"/>
      <c r="F92" s="2"/>
      <c r="G92" s="60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60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655380.36499999999</v>
      </c>
      <c r="E94" s="8">
        <f>SUM(E90:E93)</f>
        <v>550923.18999999994</v>
      </c>
      <c r="F94" s="8">
        <f>SUM(F90:F93)</f>
        <v>759837.54000000015</v>
      </c>
      <c r="G94" s="61">
        <f>SUM(G90:G93)</f>
        <v>104457.17500000003</v>
      </c>
      <c r="H94" s="12"/>
    </row>
    <row r="95" spans="1:8" x14ac:dyDescent="0.25">
      <c r="A95" s="27"/>
      <c r="B95" s="18"/>
      <c r="C95" s="2"/>
      <c r="D95" s="2"/>
      <c r="E95" s="2"/>
      <c r="F95" s="2"/>
      <c r="G95" s="60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60"/>
      <c r="H96" s="12"/>
    </row>
    <row r="97" spans="1:8" x14ac:dyDescent="0.25">
      <c r="A97" s="27"/>
      <c r="B97" s="29" t="s">
        <v>11</v>
      </c>
      <c r="C97" s="2">
        <v>860982.08</v>
      </c>
      <c r="D97" s="2">
        <f>C97/2</f>
        <v>430491.04</v>
      </c>
      <c r="E97" s="2">
        <v>388920</v>
      </c>
      <c r="F97" s="2">
        <f>C97-E97</f>
        <v>472062.07999999996</v>
      </c>
      <c r="G97" s="60">
        <f>D97-E97</f>
        <v>41571.039999999979</v>
      </c>
      <c r="H97" s="12"/>
    </row>
    <row r="98" spans="1:8" x14ac:dyDescent="0.25">
      <c r="A98" s="27"/>
      <c r="B98" s="29" t="s">
        <v>12</v>
      </c>
      <c r="C98" s="2">
        <v>87772.800000000003</v>
      </c>
      <c r="D98" s="2">
        <f>C98/2</f>
        <v>43886.400000000001</v>
      </c>
      <c r="E98" s="11">
        <f>22949.81+4958</f>
        <v>27907.81</v>
      </c>
      <c r="F98" s="2">
        <f>C98-E98</f>
        <v>59864.990000000005</v>
      </c>
      <c r="G98" s="60">
        <f>D98-E98</f>
        <v>15978.59</v>
      </c>
      <c r="H98" s="12"/>
    </row>
    <row r="99" spans="1:8" x14ac:dyDescent="0.25">
      <c r="A99" s="27"/>
      <c r="B99" s="29" t="s">
        <v>13</v>
      </c>
      <c r="C99" s="2"/>
      <c r="D99" s="2"/>
      <c r="E99" s="2"/>
      <c r="F99" s="2"/>
      <c r="G99" s="60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60"/>
      <c r="H100" s="12"/>
    </row>
    <row r="101" spans="1:8" x14ac:dyDescent="0.25">
      <c r="A101" s="27"/>
      <c r="B101" s="30" t="s">
        <v>27</v>
      </c>
      <c r="C101" s="8">
        <f>SUM(C97:C100)</f>
        <v>948754.88</v>
      </c>
      <c r="D101" s="8">
        <f>SUM(D97:D100)</f>
        <v>474377.44</v>
      </c>
      <c r="E101" s="8">
        <f>SUM(E97:E100)</f>
        <v>416827.81</v>
      </c>
      <c r="F101" s="8">
        <f>SUM(F97:F100)</f>
        <v>531927.06999999995</v>
      </c>
      <c r="G101" s="61">
        <f>SUM(G97:G100)</f>
        <v>57549.629999999976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60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60"/>
      <c r="H103" s="12"/>
    </row>
    <row r="104" spans="1:8" x14ac:dyDescent="0.25">
      <c r="A104" s="27"/>
      <c r="B104" s="29" t="s">
        <v>11</v>
      </c>
      <c r="C104" s="2">
        <v>1008030.66</v>
      </c>
      <c r="D104" s="2">
        <f>C104/2</f>
        <v>504015.33</v>
      </c>
      <c r="E104" s="11">
        <v>455417.55</v>
      </c>
      <c r="F104" s="2">
        <f>C104-E104</f>
        <v>552613.1100000001</v>
      </c>
      <c r="G104" s="60">
        <f>D104-E104</f>
        <v>48597.780000000028</v>
      </c>
      <c r="H104" s="12"/>
    </row>
    <row r="105" spans="1:8" x14ac:dyDescent="0.25">
      <c r="A105" s="27"/>
      <c r="B105" s="29" t="s">
        <v>12</v>
      </c>
      <c r="C105" s="2">
        <v>61275.5</v>
      </c>
      <c r="D105" s="2">
        <f>C105/2</f>
        <v>30637.75</v>
      </c>
      <c r="E105" s="11">
        <f>24514+4767</f>
        <v>29281</v>
      </c>
      <c r="F105" s="2">
        <f>C105-E105</f>
        <v>31994.5</v>
      </c>
      <c r="G105" s="60">
        <f>D105-E105</f>
        <v>1356.75</v>
      </c>
      <c r="H105" s="12"/>
    </row>
    <row r="106" spans="1:8" x14ac:dyDescent="0.25">
      <c r="A106" s="27"/>
      <c r="B106" s="29" t="s">
        <v>13</v>
      </c>
      <c r="C106" s="2"/>
      <c r="D106" s="2"/>
      <c r="E106" s="2"/>
      <c r="F106" s="2"/>
      <c r="G106" s="60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60"/>
      <c r="H107" s="12"/>
    </row>
    <row r="108" spans="1:8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534653.08000000007</v>
      </c>
      <c r="E108" s="8">
        <f>SUM(E104:E107)</f>
        <v>484698.55</v>
      </c>
      <c r="F108" s="8">
        <f>SUM(F104:F107)</f>
        <v>584607.6100000001</v>
      </c>
      <c r="G108" s="61">
        <f>SUM(G104:G107)</f>
        <v>49954.530000000028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60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60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60">
        <f>D111-E111</f>
        <v>0</v>
      </c>
      <c r="H111" s="12"/>
    </row>
    <row r="112" spans="1:8" x14ac:dyDescent="0.25">
      <c r="A112" s="27"/>
      <c r="B112" s="29" t="s">
        <v>12</v>
      </c>
      <c r="C112" s="2">
        <v>66400</v>
      </c>
      <c r="D112" s="2">
        <f>C112/2</f>
        <v>33200</v>
      </c>
      <c r="E112" s="11">
        <v>8535</v>
      </c>
      <c r="F112" s="2">
        <f>C112-E112</f>
        <v>57865</v>
      </c>
      <c r="G112" s="60">
        <f>D112-E112</f>
        <v>24665</v>
      </c>
      <c r="H112" s="12"/>
    </row>
    <row r="113" spans="1:8" x14ac:dyDescent="0.25">
      <c r="A113" s="27"/>
      <c r="B113" s="29" t="s">
        <v>13</v>
      </c>
      <c r="C113" s="2"/>
      <c r="D113" s="2"/>
      <c r="E113" s="2"/>
      <c r="F113" s="2"/>
      <c r="G113" s="60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60"/>
      <c r="H114" s="12"/>
    </row>
    <row r="115" spans="1:8" x14ac:dyDescent="0.25">
      <c r="A115" s="31"/>
      <c r="B115" s="30" t="s">
        <v>27</v>
      </c>
      <c r="C115" s="8">
        <f>SUM(C111:C114)</f>
        <v>66400</v>
      </c>
      <c r="D115" s="8">
        <f>SUM(D111:D114)</f>
        <v>33200</v>
      </c>
      <c r="E115" s="8">
        <f>SUM(E111:E114)</f>
        <v>8535</v>
      </c>
      <c r="F115" s="8">
        <f>SUM(F111:F114)</f>
        <v>57865</v>
      </c>
      <c r="G115" s="61">
        <f>SUM(G111:G114)</f>
        <v>24665</v>
      </c>
      <c r="H115" s="12"/>
    </row>
    <row r="116" spans="1:8" ht="15.75" thickBot="1" x14ac:dyDescent="0.3">
      <c r="A116" s="37"/>
      <c r="B116" s="38"/>
      <c r="C116" s="9"/>
      <c r="D116" s="9"/>
      <c r="E116" s="9"/>
      <c r="F116" s="9"/>
      <c r="G116" s="6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E70+E71+E77+E84+E91+E98+E105</f>
        <v>705118.87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6"/>
      <c r="C120" s="10"/>
      <c r="D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187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91" t="s">
        <v>3</v>
      </c>
      <c r="B125" s="91" t="s">
        <v>4</v>
      </c>
      <c r="C125" s="91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92"/>
      <c r="B126" s="92"/>
      <c r="C126" s="92"/>
      <c r="D126" s="89"/>
      <c r="E126" s="89"/>
      <c r="F126" s="16" t="s">
        <v>5</v>
      </c>
      <c r="G126" s="16" t="s">
        <v>6</v>
      </c>
      <c r="H126" s="12"/>
    </row>
    <row r="127" spans="1:8" ht="18.75" x14ac:dyDescent="0.3">
      <c r="A127" s="65"/>
      <c r="B127" s="65"/>
      <c r="C127" s="66"/>
      <c r="D127" s="19"/>
      <c r="E127" s="19"/>
      <c r="F127" s="19"/>
      <c r="G127" s="19"/>
      <c r="H127" s="12"/>
    </row>
    <row r="128" spans="1:8" ht="18.75" x14ac:dyDescent="0.3">
      <c r="A128" s="67" t="s">
        <v>29</v>
      </c>
      <c r="B128" s="67" t="s">
        <v>38</v>
      </c>
      <c r="C128" s="68">
        <v>35000</v>
      </c>
      <c r="D128" s="2">
        <f>C128/2</f>
        <v>17500</v>
      </c>
      <c r="E128" s="2"/>
      <c r="F128" s="2">
        <f t="shared" ref="F128:F156" si="2">C128-E128</f>
        <v>35000</v>
      </c>
      <c r="G128" s="60">
        <f t="shared" ref="G128:G157" si="3">D128-E128</f>
        <v>17500</v>
      </c>
      <c r="H128" s="12"/>
    </row>
    <row r="129" spans="1:10" ht="18.75" x14ac:dyDescent="0.3">
      <c r="A129" s="67"/>
      <c r="B129" s="67" t="s">
        <v>32</v>
      </c>
      <c r="C129" s="68">
        <v>250000</v>
      </c>
      <c r="D129" s="2">
        <f t="shared" ref="D129:D131" si="4">C129/2</f>
        <v>125000</v>
      </c>
      <c r="E129" s="2">
        <f>33593+1594.42</f>
        <v>35187.42</v>
      </c>
      <c r="F129" s="2">
        <f>C129-E129</f>
        <v>214812.58000000002</v>
      </c>
      <c r="G129" s="60"/>
      <c r="H129" s="12"/>
    </row>
    <row r="130" spans="1:10" ht="18.75" x14ac:dyDescent="0.3">
      <c r="A130" s="67"/>
      <c r="B130" s="67" t="s">
        <v>35</v>
      </c>
      <c r="C130" s="68">
        <v>430000</v>
      </c>
      <c r="D130" s="2">
        <f t="shared" si="4"/>
        <v>215000</v>
      </c>
      <c r="E130" s="2">
        <f>217454+78930</f>
        <v>296384</v>
      </c>
      <c r="F130" s="2"/>
      <c r="G130" s="60"/>
      <c r="H130" s="12"/>
    </row>
    <row r="131" spans="1:10" ht="18.75" x14ac:dyDescent="0.3">
      <c r="A131" s="67"/>
      <c r="B131" s="67" t="s">
        <v>96</v>
      </c>
      <c r="C131" s="68">
        <v>200000</v>
      </c>
      <c r="D131" s="2">
        <f t="shared" si="4"/>
        <v>100000</v>
      </c>
      <c r="E131" s="2">
        <v>10074.93</v>
      </c>
      <c r="F131" s="2"/>
      <c r="G131" s="60"/>
      <c r="H131" s="12"/>
    </row>
    <row r="132" spans="1:10" ht="18.75" x14ac:dyDescent="0.3">
      <c r="A132" s="67"/>
      <c r="B132" s="67" t="s">
        <v>100</v>
      </c>
      <c r="C132" s="68">
        <v>300000</v>
      </c>
      <c r="D132" s="2"/>
      <c r="E132" s="2"/>
      <c r="F132" s="2"/>
      <c r="G132" s="60"/>
      <c r="H132" s="12"/>
    </row>
    <row r="133" spans="1:10" ht="18.75" x14ac:dyDescent="0.3">
      <c r="A133" s="67"/>
      <c r="B133" s="67" t="s">
        <v>181</v>
      </c>
      <c r="C133" s="68">
        <v>180000</v>
      </c>
      <c r="D133" s="2"/>
      <c r="E133" s="2"/>
      <c r="F133" s="2"/>
      <c r="G133" s="60"/>
      <c r="H133" s="12"/>
    </row>
    <row r="134" spans="1:10" ht="18.75" x14ac:dyDescent="0.3">
      <c r="A134" s="67"/>
      <c r="B134" s="67" t="s">
        <v>31</v>
      </c>
      <c r="C134" s="68"/>
      <c r="D134" s="2"/>
      <c r="E134" s="2"/>
      <c r="F134" s="2"/>
      <c r="G134" s="60"/>
      <c r="H134" s="12"/>
      <c r="I134" s="13">
        <f>230*22</f>
        <v>5060</v>
      </c>
    </row>
    <row r="135" spans="1:10" ht="18.75" x14ac:dyDescent="0.3">
      <c r="A135" s="67"/>
      <c r="B135" s="69" t="s">
        <v>146</v>
      </c>
      <c r="C135" s="68">
        <v>300000</v>
      </c>
      <c r="D135" s="2">
        <v>300000</v>
      </c>
      <c r="E135" s="2">
        <f>251287.5+72900</f>
        <v>324187.5</v>
      </c>
      <c r="F135" s="2"/>
      <c r="G135" s="60"/>
      <c r="H135" s="12"/>
      <c r="I135" s="13">
        <f>I134*12</f>
        <v>60720</v>
      </c>
    </row>
    <row r="136" spans="1:10" ht="18.75" x14ac:dyDescent="0.3">
      <c r="A136" s="67"/>
      <c r="B136" s="69" t="s">
        <v>147</v>
      </c>
      <c r="C136" s="68">
        <v>400000</v>
      </c>
      <c r="D136" s="2">
        <v>400000</v>
      </c>
      <c r="E136" s="2">
        <v>300000</v>
      </c>
      <c r="F136" s="2"/>
      <c r="G136" s="60"/>
      <c r="H136" s="12"/>
    </row>
    <row r="137" spans="1:10" ht="18.75" x14ac:dyDescent="0.3">
      <c r="A137" s="67"/>
      <c r="B137" s="69" t="s">
        <v>148</v>
      </c>
      <c r="C137" s="68">
        <v>200000</v>
      </c>
      <c r="D137" s="2"/>
      <c r="E137" s="2"/>
      <c r="F137" s="2"/>
      <c r="G137" s="60"/>
      <c r="H137" s="12"/>
      <c r="I137" s="12">
        <v>32882308.219999999</v>
      </c>
    </row>
    <row r="138" spans="1:10" ht="18.75" x14ac:dyDescent="0.3">
      <c r="A138" s="67"/>
      <c r="B138" s="69" t="s">
        <v>149</v>
      </c>
      <c r="C138" s="68">
        <v>100000</v>
      </c>
      <c r="D138" s="2"/>
      <c r="E138" s="2"/>
      <c r="F138" s="2">
        <f t="shared" si="2"/>
        <v>100000</v>
      </c>
      <c r="G138" s="60">
        <f t="shared" si="3"/>
        <v>0</v>
      </c>
      <c r="H138" s="12"/>
      <c r="I138" s="12">
        <v>17921</v>
      </c>
    </row>
    <row r="139" spans="1:10" ht="18.75" x14ac:dyDescent="0.3">
      <c r="A139" s="67"/>
      <c r="B139" s="67" t="s">
        <v>151</v>
      </c>
      <c r="C139" s="68">
        <v>125000</v>
      </c>
      <c r="D139" s="2"/>
      <c r="E139" s="2">
        <v>8000</v>
      </c>
      <c r="F139" s="2">
        <f t="shared" si="2"/>
        <v>117000</v>
      </c>
      <c r="G139" s="60">
        <f t="shared" si="3"/>
        <v>-8000</v>
      </c>
      <c r="H139" s="12"/>
      <c r="I139" s="13">
        <f>I137/I138</f>
        <v>1834.8478444283242</v>
      </c>
      <c r="J139" s="12"/>
    </row>
    <row r="140" spans="1:10" ht="18.75" x14ac:dyDescent="0.3">
      <c r="A140" s="67"/>
      <c r="B140" s="70" t="s">
        <v>150</v>
      </c>
      <c r="C140" s="68">
        <v>20000</v>
      </c>
      <c r="D140" s="2">
        <v>10000</v>
      </c>
      <c r="E140" s="2"/>
      <c r="F140" s="2">
        <f>C129-E140</f>
        <v>250000</v>
      </c>
      <c r="G140" s="60">
        <f t="shared" si="3"/>
        <v>10000</v>
      </c>
      <c r="H140" s="12"/>
      <c r="I140" s="12">
        <v>22067089.800000001</v>
      </c>
      <c r="J140" s="12">
        <v>857870</v>
      </c>
    </row>
    <row r="141" spans="1:10" ht="18.75" x14ac:dyDescent="0.3">
      <c r="A141" s="67"/>
      <c r="B141" s="67" t="s">
        <v>98</v>
      </c>
      <c r="C141" s="68">
        <v>80000</v>
      </c>
      <c r="D141" s="2">
        <v>40000</v>
      </c>
      <c r="E141" s="2">
        <v>8719</v>
      </c>
      <c r="F141" s="2"/>
      <c r="G141" s="60"/>
      <c r="H141" s="12"/>
      <c r="I141" s="13">
        <f>I140/I137</f>
        <v>0.67109308909701604</v>
      </c>
      <c r="J141" s="12"/>
    </row>
    <row r="142" spans="1:10" ht="18.75" x14ac:dyDescent="0.3">
      <c r="A142" s="67"/>
      <c r="B142" s="67" t="s">
        <v>94</v>
      </c>
      <c r="C142" s="68">
        <v>75000</v>
      </c>
      <c r="D142" s="2">
        <f>C142/2</f>
        <v>37500</v>
      </c>
      <c r="E142" s="2">
        <v>2000</v>
      </c>
      <c r="F142" s="2">
        <f t="shared" si="2"/>
        <v>73000</v>
      </c>
      <c r="G142" s="60">
        <f t="shared" si="3"/>
        <v>35500</v>
      </c>
      <c r="H142" s="12"/>
      <c r="J142" s="12"/>
    </row>
    <row r="143" spans="1:10" ht="18.75" x14ac:dyDescent="0.3">
      <c r="A143" s="67"/>
      <c r="B143" s="67" t="s">
        <v>179</v>
      </c>
      <c r="C143" s="68">
        <v>75000</v>
      </c>
      <c r="D143" s="2">
        <f>C143/2</f>
        <v>37500</v>
      </c>
      <c r="E143" s="2"/>
      <c r="F143" s="2"/>
      <c r="G143" s="60"/>
      <c r="H143" s="12"/>
      <c r="J143" s="12"/>
    </row>
    <row r="144" spans="1:10" ht="18.75" x14ac:dyDescent="0.3">
      <c r="A144" s="67"/>
      <c r="B144" s="67" t="s">
        <v>110</v>
      </c>
      <c r="C144" s="68">
        <v>1200000</v>
      </c>
      <c r="D144" s="2">
        <f>C144/2</f>
        <v>600000</v>
      </c>
      <c r="E144" s="2">
        <f>691247.5+189655</f>
        <v>880902.5</v>
      </c>
      <c r="F144" s="2">
        <f t="shared" si="2"/>
        <v>319097.5</v>
      </c>
      <c r="G144" s="60">
        <f t="shared" si="3"/>
        <v>-280902.5</v>
      </c>
      <c r="H144" s="12"/>
      <c r="J144" s="12"/>
    </row>
    <row r="145" spans="1:10" ht="18.75" x14ac:dyDescent="0.3">
      <c r="A145" s="67"/>
      <c r="B145" s="67" t="s">
        <v>49</v>
      </c>
      <c r="C145" s="68">
        <v>100000</v>
      </c>
      <c r="D145" s="2">
        <v>100000</v>
      </c>
      <c r="E145" s="2">
        <v>100000</v>
      </c>
      <c r="F145" s="2">
        <f t="shared" si="2"/>
        <v>0</v>
      </c>
      <c r="G145" s="60">
        <f t="shared" si="3"/>
        <v>0</v>
      </c>
      <c r="H145" s="12"/>
      <c r="J145" s="12">
        <f>J140*55%</f>
        <v>471828.50000000006</v>
      </c>
    </row>
    <row r="146" spans="1:10" ht="18.75" x14ac:dyDescent="0.3">
      <c r="A146" s="67"/>
      <c r="B146" s="67" t="s">
        <v>33</v>
      </c>
      <c r="C146" s="68">
        <v>150000</v>
      </c>
      <c r="D146" s="2">
        <f t="shared" ref="D146:D153" si="5">C146/2</f>
        <v>75000</v>
      </c>
      <c r="E146" s="2">
        <f>113100+35400</f>
        <v>148500</v>
      </c>
      <c r="F146" s="2"/>
      <c r="G146" s="60"/>
      <c r="H146" s="12"/>
      <c r="J146" s="12"/>
    </row>
    <row r="147" spans="1:10" ht="18.75" x14ac:dyDescent="0.3">
      <c r="A147" s="67"/>
      <c r="B147" s="67" t="s">
        <v>152</v>
      </c>
      <c r="C147" s="68">
        <v>70000</v>
      </c>
      <c r="D147" s="2">
        <f t="shared" si="5"/>
        <v>35000</v>
      </c>
      <c r="E147" s="2"/>
      <c r="F147" s="2">
        <f>C147-D147</f>
        <v>35000</v>
      </c>
      <c r="G147" s="60"/>
      <c r="H147" s="12"/>
      <c r="J147" s="12"/>
    </row>
    <row r="148" spans="1:10" ht="18.75" x14ac:dyDescent="0.3">
      <c r="A148" s="67"/>
      <c r="B148" s="67" t="s">
        <v>153</v>
      </c>
      <c r="C148" s="68">
        <v>800000</v>
      </c>
      <c r="D148" s="2">
        <v>300000</v>
      </c>
      <c r="E148" s="2">
        <f>191781.35+24000</f>
        <v>215781.35</v>
      </c>
      <c r="F148" s="2">
        <f t="shared" si="2"/>
        <v>584218.65</v>
      </c>
      <c r="G148" s="60">
        <f t="shared" si="3"/>
        <v>84218.65</v>
      </c>
      <c r="J148" s="12"/>
    </row>
    <row r="149" spans="1:10" ht="18.75" x14ac:dyDescent="0.3">
      <c r="A149" s="67"/>
      <c r="B149" s="67" t="s">
        <v>154</v>
      </c>
      <c r="C149" s="68">
        <v>20000</v>
      </c>
      <c r="D149" s="2">
        <v>5000</v>
      </c>
      <c r="E149" s="2"/>
      <c r="F149" s="2">
        <f t="shared" si="2"/>
        <v>20000</v>
      </c>
      <c r="G149" s="60"/>
      <c r="J149" s="12"/>
    </row>
    <row r="150" spans="1:10" ht="18.75" x14ac:dyDescent="0.3">
      <c r="A150" s="67"/>
      <c r="B150" s="67" t="s">
        <v>102</v>
      </c>
      <c r="C150" s="68">
        <v>15000</v>
      </c>
      <c r="D150" s="2">
        <f t="shared" si="5"/>
        <v>7500</v>
      </c>
      <c r="E150" s="2">
        <v>8933.5</v>
      </c>
      <c r="F150" s="2">
        <f t="shared" si="2"/>
        <v>6066.5</v>
      </c>
      <c r="G150" s="60">
        <f t="shared" si="3"/>
        <v>-1433.5</v>
      </c>
      <c r="J150" s="12"/>
    </row>
    <row r="151" spans="1:10" ht="18.75" x14ac:dyDescent="0.3">
      <c r="A151" s="67"/>
      <c r="B151" s="67" t="s">
        <v>51</v>
      </c>
      <c r="C151" s="68">
        <v>750000</v>
      </c>
      <c r="D151" s="2">
        <v>150000</v>
      </c>
      <c r="E151" s="2">
        <f>63925+2575</f>
        <v>66500</v>
      </c>
      <c r="F151" s="2">
        <f t="shared" si="2"/>
        <v>683500</v>
      </c>
      <c r="G151" s="60">
        <f t="shared" si="3"/>
        <v>83500</v>
      </c>
      <c r="J151" s="12"/>
    </row>
    <row r="152" spans="1:10" ht="18.75" x14ac:dyDescent="0.3">
      <c r="A152" s="67"/>
      <c r="B152" s="67" t="s">
        <v>52</v>
      </c>
      <c r="C152" s="68">
        <v>50000</v>
      </c>
      <c r="D152" s="2">
        <f t="shared" si="5"/>
        <v>25000</v>
      </c>
      <c r="E152" s="2"/>
      <c r="F152" s="2">
        <f t="shared" si="2"/>
        <v>50000</v>
      </c>
      <c r="G152" s="60">
        <f t="shared" si="3"/>
        <v>25000</v>
      </c>
    </row>
    <row r="153" spans="1:10" ht="18.75" x14ac:dyDescent="0.3">
      <c r="A153" s="67"/>
      <c r="B153" s="67" t="s">
        <v>184</v>
      </c>
      <c r="C153" s="68">
        <v>200000</v>
      </c>
      <c r="D153" s="2">
        <f t="shared" si="5"/>
        <v>100000</v>
      </c>
      <c r="E153" s="2"/>
      <c r="F153" s="2">
        <f t="shared" si="2"/>
        <v>200000</v>
      </c>
      <c r="G153" s="60">
        <f t="shared" si="3"/>
        <v>100000</v>
      </c>
    </row>
    <row r="154" spans="1:10" ht="18.75" x14ac:dyDescent="0.3">
      <c r="A154" s="67"/>
      <c r="B154" s="67" t="s">
        <v>155</v>
      </c>
      <c r="C154" s="68">
        <v>40247.599999999999</v>
      </c>
      <c r="D154" s="2">
        <v>10000</v>
      </c>
      <c r="E154" s="2"/>
      <c r="F154" s="2">
        <f t="shared" si="2"/>
        <v>40247.599999999999</v>
      </c>
      <c r="G154" s="60">
        <f t="shared" si="3"/>
        <v>10000</v>
      </c>
    </row>
    <row r="155" spans="1:10" ht="18.75" x14ac:dyDescent="0.3">
      <c r="A155" s="67"/>
      <c r="B155" s="67" t="s">
        <v>180</v>
      </c>
      <c r="C155" s="68">
        <v>400000</v>
      </c>
      <c r="D155" s="2"/>
      <c r="E155" s="2"/>
      <c r="F155" s="2">
        <f t="shared" si="2"/>
        <v>400000</v>
      </c>
      <c r="G155" s="60"/>
    </row>
    <row r="156" spans="1:10" ht="18.75" x14ac:dyDescent="0.3">
      <c r="A156" s="67"/>
      <c r="B156" s="67" t="s">
        <v>104</v>
      </c>
      <c r="C156" s="68">
        <v>700000</v>
      </c>
      <c r="D156" s="2">
        <f>C156/2</f>
        <v>350000</v>
      </c>
      <c r="E156" s="2">
        <v>388202</v>
      </c>
      <c r="F156" s="2">
        <f t="shared" si="2"/>
        <v>311798</v>
      </c>
      <c r="G156" s="60">
        <f t="shared" si="3"/>
        <v>-38202</v>
      </c>
    </row>
    <row r="157" spans="1:10" ht="18.75" x14ac:dyDescent="0.3">
      <c r="A157" s="71"/>
      <c r="B157" s="71"/>
      <c r="C157" s="72"/>
      <c r="D157" s="6"/>
      <c r="E157" s="6"/>
      <c r="F157" s="2"/>
      <c r="G157" s="60">
        <f t="shared" si="3"/>
        <v>0</v>
      </c>
    </row>
    <row r="158" spans="1:10" ht="18.75" x14ac:dyDescent="0.3">
      <c r="A158" s="73"/>
      <c r="B158" s="74" t="s">
        <v>27</v>
      </c>
      <c r="C158" s="75">
        <f>SUM(C128:C157)</f>
        <v>7265247.5999999996</v>
      </c>
      <c r="D158" s="8">
        <f>SUM(D128:D157)</f>
        <v>3040000</v>
      </c>
      <c r="E158" s="8">
        <f>SUM(E128:E157)</f>
        <v>2793372.2</v>
      </c>
      <c r="F158" s="8">
        <f>SUM(F128:F157)</f>
        <v>3439740.83</v>
      </c>
      <c r="G158" s="61">
        <f>SUM(G128:G157)</f>
        <v>37180.649999999994</v>
      </c>
    </row>
    <row r="159" spans="1:10" x14ac:dyDescent="0.25">
      <c r="C159" s="7"/>
    </row>
    <row r="160" spans="1:10" x14ac:dyDescent="0.25">
      <c r="C160" s="14"/>
    </row>
    <row r="161" spans="1:9" x14ac:dyDescent="0.25">
      <c r="C161" s="14"/>
    </row>
    <row r="163" spans="1:9" x14ac:dyDescent="0.25">
      <c r="A163" s="13" t="s">
        <v>0</v>
      </c>
      <c r="B163" s="36"/>
      <c r="C163" s="10"/>
      <c r="D163" s="10"/>
      <c r="E163" s="10"/>
      <c r="F163" s="10"/>
      <c r="G163" s="10"/>
    </row>
    <row r="164" spans="1:9" x14ac:dyDescent="0.25">
      <c r="A164" s="13" t="s">
        <v>1</v>
      </c>
      <c r="B164" s="36"/>
      <c r="C164" s="10"/>
      <c r="D164" s="10"/>
      <c r="E164" s="10"/>
      <c r="F164" s="10"/>
      <c r="G164" s="10"/>
    </row>
    <row r="165" spans="1:9" x14ac:dyDescent="0.25">
      <c r="A165" s="13" t="s">
        <v>2</v>
      </c>
      <c r="B165" s="36"/>
      <c r="C165" s="10"/>
      <c r="D165" s="10"/>
      <c r="E165" s="10"/>
      <c r="F165" s="10"/>
      <c r="G165" s="10"/>
    </row>
    <row r="166" spans="1:9" x14ac:dyDescent="0.25">
      <c r="A166" s="24" t="s">
        <v>187</v>
      </c>
      <c r="B166" s="36"/>
      <c r="C166" s="10"/>
      <c r="D166" s="10"/>
      <c r="E166" s="10"/>
      <c r="F166" s="10"/>
      <c r="G166" s="10"/>
    </row>
    <row r="167" spans="1:9" x14ac:dyDescent="0.25">
      <c r="A167" s="35"/>
      <c r="B167" s="36"/>
      <c r="C167" s="10"/>
      <c r="D167" s="10"/>
      <c r="E167" s="10"/>
      <c r="F167" s="10"/>
      <c r="G167" s="10"/>
    </row>
    <row r="168" spans="1:9" x14ac:dyDescent="0.25">
      <c r="A168" s="88" t="s">
        <v>3</v>
      </c>
      <c r="B168" s="88" t="s">
        <v>4</v>
      </c>
      <c r="C168" s="88" t="s">
        <v>5</v>
      </c>
      <c r="D168" s="88" t="s">
        <v>6</v>
      </c>
      <c r="E168" s="88" t="s">
        <v>7</v>
      </c>
      <c r="F168" s="15" t="s">
        <v>8</v>
      </c>
      <c r="G168" s="15" t="s">
        <v>8</v>
      </c>
    </row>
    <row r="169" spans="1:9" x14ac:dyDescent="0.25">
      <c r="A169" s="89"/>
      <c r="B169" s="89"/>
      <c r="C169" s="89"/>
      <c r="D169" s="89"/>
      <c r="E169" s="89"/>
      <c r="F169" s="16" t="s">
        <v>5</v>
      </c>
      <c r="G169" s="16" t="s">
        <v>6</v>
      </c>
    </row>
    <row r="170" spans="1:9" x14ac:dyDescent="0.25">
      <c r="A170" s="17"/>
      <c r="B170" s="17"/>
      <c r="C170" s="17"/>
      <c r="D170" s="17"/>
      <c r="E170" s="17"/>
      <c r="F170" s="17"/>
      <c r="G170" s="17"/>
    </row>
    <row r="171" spans="1:9" x14ac:dyDescent="0.25">
      <c r="A171" s="18"/>
      <c r="B171" s="28" t="s">
        <v>53</v>
      </c>
      <c r="C171" s="18"/>
      <c r="D171" s="18"/>
      <c r="E171" s="18"/>
      <c r="F171" s="18"/>
      <c r="G171" s="63"/>
    </row>
    <row r="172" spans="1:9" x14ac:dyDescent="0.25">
      <c r="A172" s="18"/>
      <c r="B172" s="29" t="s">
        <v>11</v>
      </c>
      <c r="C172" s="2"/>
      <c r="D172" s="2"/>
      <c r="E172" s="2"/>
      <c r="F172" s="2"/>
      <c r="G172" s="64"/>
    </row>
    <row r="173" spans="1:9" x14ac:dyDescent="0.25">
      <c r="A173" s="18"/>
      <c r="B173" s="4" t="s">
        <v>58</v>
      </c>
      <c r="C173" s="2">
        <v>320000</v>
      </c>
      <c r="D173" s="2">
        <v>320000</v>
      </c>
      <c r="E173" s="54">
        <f>281208.63+5055.77</f>
        <v>286264.40000000002</v>
      </c>
      <c r="F173" s="2">
        <f t="shared" ref="F173:F187" si="6">C173-E173</f>
        <v>33735.599999999977</v>
      </c>
      <c r="G173" s="2">
        <f t="shared" ref="G173:G187" si="7">D173-E173</f>
        <v>33735.599999999977</v>
      </c>
    </row>
    <row r="174" spans="1:9" x14ac:dyDescent="0.25">
      <c r="A174" s="18"/>
      <c r="B174" s="4" t="s">
        <v>59</v>
      </c>
      <c r="C174" s="2">
        <v>1060000</v>
      </c>
      <c r="D174" s="2">
        <f>C174/2</f>
        <v>530000</v>
      </c>
      <c r="E174" s="11">
        <f>504000+126000</f>
        <v>630000</v>
      </c>
      <c r="F174" s="2">
        <f t="shared" si="6"/>
        <v>430000</v>
      </c>
      <c r="G174" s="2">
        <f t="shared" si="7"/>
        <v>-100000</v>
      </c>
      <c r="I174" s="14">
        <f>E174*12</f>
        <v>7560000</v>
      </c>
    </row>
    <row r="175" spans="1:9" x14ac:dyDescent="0.25">
      <c r="A175" s="18"/>
      <c r="B175" s="29" t="s">
        <v>12</v>
      </c>
      <c r="C175" s="2"/>
      <c r="D175" s="2"/>
      <c r="E175" s="2"/>
      <c r="F175" s="2">
        <f t="shared" si="6"/>
        <v>0</v>
      </c>
      <c r="G175" s="2">
        <f t="shared" si="7"/>
        <v>0</v>
      </c>
    </row>
    <row r="176" spans="1:9" x14ac:dyDescent="0.25">
      <c r="A176" s="18"/>
      <c r="B176" s="4" t="s">
        <v>54</v>
      </c>
      <c r="C176" s="2">
        <v>2176195.09</v>
      </c>
      <c r="D176" s="2">
        <v>761294</v>
      </c>
      <c r="E176" s="11">
        <f>632969.34+21260</f>
        <v>654229.34</v>
      </c>
      <c r="F176" s="2">
        <f t="shared" si="6"/>
        <v>1521965.75</v>
      </c>
      <c r="G176" s="2">
        <f t="shared" si="7"/>
        <v>107064.66000000003</v>
      </c>
      <c r="I176" s="14">
        <f>C176/4</f>
        <v>544048.77249999996</v>
      </c>
    </row>
    <row r="177" spans="1:7" x14ac:dyDescent="0.25">
      <c r="A177" s="18"/>
      <c r="B177" s="4" t="s">
        <v>55</v>
      </c>
      <c r="C177" s="2">
        <v>15000</v>
      </c>
      <c r="D177" s="2"/>
      <c r="E177" s="2"/>
      <c r="F177" s="2">
        <f t="shared" si="6"/>
        <v>15000</v>
      </c>
      <c r="G177" s="2">
        <f t="shared" si="7"/>
        <v>0</v>
      </c>
    </row>
    <row r="178" spans="1:7" x14ac:dyDescent="0.25">
      <c r="A178" s="18"/>
      <c r="B178" s="4" t="s">
        <v>56</v>
      </c>
      <c r="C178" s="2">
        <v>20000</v>
      </c>
      <c r="D178" s="2">
        <f>C178/2</f>
        <v>10000</v>
      </c>
      <c r="E178" s="11">
        <v>5000</v>
      </c>
      <c r="F178" s="2">
        <f t="shared" si="6"/>
        <v>15000</v>
      </c>
      <c r="G178" s="2">
        <f t="shared" si="7"/>
        <v>5000</v>
      </c>
    </row>
    <row r="179" spans="1:7" x14ac:dyDescent="0.25">
      <c r="A179" s="18"/>
      <c r="B179" s="4" t="s">
        <v>175</v>
      </c>
      <c r="C179" s="2">
        <v>2176195.09</v>
      </c>
      <c r="D179" s="2">
        <v>761294</v>
      </c>
      <c r="E179" s="11">
        <f>590410.93+30953</f>
        <v>621363.93000000005</v>
      </c>
      <c r="F179" s="2">
        <f t="shared" si="6"/>
        <v>1554831.1599999997</v>
      </c>
      <c r="G179" s="2">
        <f t="shared" si="7"/>
        <v>139930.06999999995</v>
      </c>
    </row>
    <row r="180" spans="1:7" x14ac:dyDescent="0.25">
      <c r="A180" s="18"/>
      <c r="B180" s="4" t="s">
        <v>176</v>
      </c>
      <c r="C180" s="2">
        <v>435239.01</v>
      </c>
      <c r="D180" s="2">
        <v>152258</v>
      </c>
      <c r="E180" s="11">
        <v>48000</v>
      </c>
      <c r="F180" s="2"/>
      <c r="G180" s="2"/>
    </row>
    <row r="181" spans="1:7" x14ac:dyDescent="0.25">
      <c r="A181" s="18"/>
      <c r="B181" s="58" t="s">
        <v>177</v>
      </c>
      <c r="C181" s="2">
        <v>363262.38</v>
      </c>
      <c r="D181" s="2">
        <v>152258</v>
      </c>
      <c r="E181" s="2">
        <v>70634</v>
      </c>
      <c r="F181" s="2">
        <f t="shared" si="6"/>
        <v>292628.38</v>
      </c>
      <c r="G181" s="2">
        <f t="shared" si="7"/>
        <v>81624</v>
      </c>
    </row>
    <row r="182" spans="1:7" x14ac:dyDescent="0.25">
      <c r="A182" s="18"/>
      <c r="B182" s="4" t="s">
        <v>178</v>
      </c>
      <c r="C182" s="2">
        <v>100172.48</v>
      </c>
      <c r="D182" s="2">
        <f>C182</f>
        <v>100172.48</v>
      </c>
      <c r="E182" s="11">
        <v>67160</v>
      </c>
      <c r="F182" s="2">
        <f t="shared" si="6"/>
        <v>33012.479999999996</v>
      </c>
      <c r="G182" s="2">
        <f t="shared" si="7"/>
        <v>33012.479999999996</v>
      </c>
    </row>
    <row r="183" spans="1:7" x14ac:dyDescent="0.25">
      <c r="A183" s="18"/>
      <c r="B183" s="4" t="s">
        <v>113</v>
      </c>
      <c r="C183" s="2">
        <v>150000</v>
      </c>
      <c r="D183" s="2">
        <f>C183/2</f>
        <v>75000</v>
      </c>
      <c r="E183" s="11">
        <f>75325+5105</f>
        <v>80430</v>
      </c>
      <c r="F183" s="2"/>
      <c r="G183" s="2"/>
    </row>
    <row r="184" spans="1:7" x14ac:dyDescent="0.25">
      <c r="A184" s="18"/>
      <c r="B184" s="29" t="s">
        <v>13</v>
      </c>
      <c r="C184" s="2"/>
      <c r="D184" s="2"/>
      <c r="E184" s="2"/>
      <c r="F184" s="2">
        <f t="shared" si="6"/>
        <v>0</v>
      </c>
      <c r="G184" s="2">
        <f t="shared" si="7"/>
        <v>0</v>
      </c>
    </row>
    <row r="185" spans="1:7" x14ac:dyDescent="0.25">
      <c r="A185" s="18"/>
      <c r="B185" s="4" t="s">
        <v>159</v>
      </c>
      <c r="C185" s="2">
        <v>500000</v>
      </c>
      <c r="D185" s="2">
        <f>C185</f>
        <v>500000</v>
      </c>
      <c r="E185" s="11">
        <f>20189+8760</f>
        <v>28949</v>
      </c>
      <c r="F185" s="2">
        <f t="shared" si="6"/>
        <v>471051</v>
      </c>
      <c r="G185" s="2">
        <f t="shared" si="7"/>
        <v>471051</v>
      </c>
    </row>
    <row r="186" spans="1:7" x14ac:dyDescent="0.25">
      <c r="A186" s="18"/>
      <c r="B186" s="4" t="s">
        <v>62</v>
      </c>
      <c r="C186" s="2"/>
      <c r="D186" s="2"/>
      <c r="E186" s="2"/>
      <c r="F186" s="2">
        <f t="shared" si="6"/>
        <v>0</v>
      </c>
      <c r="G186" s="2">
        <f t="shared" si="7"/>
        <v>0</v>
      </c>
    </row>
    <row r="187" spans="1:7" x14ac:dyDescent="0.25">
      <c r="A187" s="18"/>
      <c r="B187" s="5" t="s">
        <v>63</v>
      </c>
      <c r="C187" s="2">
        <v>1600000</v>
      </c>
      <c r="D187" s="2">
        <f>C187</f>
        <v>1600000</v>
      </c>
      <c r="E187" s="11">
        <v>1564814.07</v>
      </c>
      <c r="F187" s="2">
        <f t="shared" si="6"/>
        <v>35185.929999999935</v>
      </c>
      <c r="G187" s="2">
        <f t="shared" si="7"/>
        <v>35185.929999999935</v>
      </c>
    </row>
    <row r="188" spans="1:7" x14ac:dyDescent="0.25">
      <c r="A188" s="18"/>
      <c r="B188" s="4"/>
      <c r="C188" s="2"/>
      <c r="D188" s="2">
        <f>C188</f>
        <v>0</v>
      </c>
      <c r="E188" s="2"/>
      <c r="F188" s="2"/>
      <c r="G188" s="2"/>
    </row>
    <row r="189" spans="1:7" x14ac:dyDescent="0.25">
      <c r="A189" s="18"/>
      <c r="B189" s="41" t="s">
        <v>27</v>
      </c>
      <c r="C189" s="8">
        <f>SUM(C173:C188)</f>
        <v>8916064.0500000007</v>
      </c>
      <c r="D189" s="8">
        <f>SUM(D173:D188)</f>
        <v>4962276.4800000004</v>
      </c>
      <c r="E189" s="8">
        <f>SUM(E173:E188)</f>
        <v>4056844.74</v>
      </c>
      <c r="F189" s="8">
        <f>SUM(F173:F188)</f>
        <v>4402410.2999999989</v>
      </c>
      <c r="G189" s="8">
        <f>SUM(G173:G188)</f>
        <v>806603.73999999987</v>
      </c>
    </row>
    <row r="190" spans="1:7" ht="15.75" thickBot="1" x14ac:dyDescent="0.3">
      <c r="A190" s="42"/>
      <c r="B190" s="43" t="s">
        <v>64</v>
      </c>
      <c r="C190" s="20">
        <f>C189+C158+C115+C108+C101+C94+C87+C80+C73+C57+C50+C43+C36+C29+C22+C15</f>
        <v>43523901.710000001</v>
      </c>
      <c r="D190" s="20">
        <f>D189+D158+D115+D108+D101+D94+D87+D80+D73+D57+D50+D43+D36+D29+D22+D15</f>
        <v>21666071.510000002</v>
      </c>
      <c r="E190" s="20">
        <f>E189+E158+E115+E108+E101+E94+E87+E80+E73+E57+E50+E43+E36+E29+E22+E15</f>
        <v>17786901.419999994</v>
      </c>
      <c r="F190" s="20">
        <f>F189+F158+F115+F108+F101+F94+F87+F80+F73+F57+F50+F43+F36+F29+F22+F15</f>
        <v>24223056.710000001</v>
      </c>
      <c r="G190" s="20">
        <f>G189+G158+G115+G108+G101+G94+G87+G80+G73+G57+G50+G43+G36+G29+G22+G15</f>
        <v>3570894.9400000004</v>
      </c>
    </row>
    <row r="191" spans="1:7" ht="15.75" thickTop="1" x14ac:dyDescent="0.25">
      <c r="C191" s="12"/>
      <c r="D191" s="12"/>
      <c r="E191" s="12"/>
      <c r="F191" s="12"/>
      <c r="G191" s="12"/>
    </row>
    <row r="192" spans="1:7" x14ac:dyDescent="0.25">
      <c r="B192" s="13" t="s">
        <v>65</v>
      </c>
      <c r="C192" s="12"/>
      <c r="D192" s="12"/>
      <c r="E192" s="12"/>
      <c r="F192" s="12"/>
      <c r="G192" s="12"/>
    </row>
    <row r="193" spans="2:12" x14ac:dyDescent="0.25">
      <c r="C193" s="12"/>
      <c r="D193" s="12">
        <f>D173+D174+D178+D182+D183+D185+D187</f>
        <v>3135172.48</v>
      </c>
      <c r="E193" s="12">
        <f>E173+E174+E178+E182+E183+E185+E187</f>
        <v>2662617.4699999997</v>
      </c>
      <c r="F193" s="12" t="s">
        <v>186</v>
      </c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B195" s="44" t="s">
        <v>66</v>
      </c>
      <c r="C195" s="12"/>
      <c r="D195" s="12"/>
      <c r="F195" s="12"/>
      <c r="G195" s="12"/>
    </row>
    <row r="196" spans="2:12" x14ac:dyDescent="0.25">
      <c r="B196" s="13" t="s">
        <v>67</v>
      </c>
    </row>
    <row r="200" spans="2:12" x14ac:dyDescent="0.25">
      <c r="C200" s="12"/>
      <c r="D200" s="90" t="s">
        <v>164</v>
      </c>
      <c r="E200" s="90"/>
      <c r="F200" s="12"/>
      <c r="G200" s="12"/>
    </row>
    <row r="201" spans="2:12" x14ac:dyDescent="0.25">
      <c r="C201" s="12"/>
      <c r="D201" s="12" t="s">
        <v>162</v>
      </c>
      <c r="E201" s="12" t="s">
        <v>163</v>
      </c>
      <c r="F201" s="12"/>
      <c r="G201" s="12"/>
      <c r="H201" s="57">
        <v>0.8</v>
      </c>
      <c r="I201" s="12">
        <v>2159415</v>
      </c>
      <c r="L201" s="13">
        <f>20*20</f>
        <v>400</v>
      </c>
    </row>
    <row r="202" spans="2:12" x14ac:dyDescent="0.25">
      <c r="C202" s="12" t="s">
        <v>160</v>
      </c>
      <c r="D202" s="12">
        <f>5518028.2+D46</f>
        <v>6044700.4299999997</v>
      </c>
      <c r="E202" s="12">
        <v>1646631.99</v>
      </c>
      <c r="F202" s="12"/>
      <c r="G202" s="12"/>
      <c r="H202" s="57">
        <v>0.2</v>
      </c>
      <c r="I202" s="12">
        <v>539854</v>
      </c>
      <c r="L202" s="13">
        <f>15*20</f>
        <v>300</v>
      </c>
    </row>
    <row r="203" spans="2:12" x14ac:dyDescent="0.25">
      <c r="C203" s="12" t="s">
        <v>161</v>
      </c>
      <c r="D203" s="12">
        <f>D190-D202</f>
        <v>15621371.080000002</v>
      </c>
      <c r="E203" s="12">
        <v>130701.19</v>
      </c>
      <c r="F203" s="12"/>
      <c r="G203" s="12"/>
      <c r="I203" s="12"/>
    </row>
    <row r="204" spans="2:12" x14ac:dyDescent="0.25">
      <c r="C204" s="56">
        <v>0.2</v>
      </c>
      <c r="D204" s="12"/>
      <c r="E204" s="12">
        <v>133869.85</v>
      </c>
      <c r="F204" s="12"/>
      <c r="G204" s="12"/>
      <c r="I204" s="12"/>
      <c r="L204" s="13">
        <f>SUM(L201:L203)</f>
        <v>700</v>
      </c>
    </row>
    <row r="205" spans="2:12" x14ac:dyDescent="0.25">
      <c r="C205" s="56">
        <v>0.05</v>
      </c>
      <c r="D205" s="12">
        <v>404890.34</v>
      </c>
      <c r="E205" s="12">
        <v>14850</v>
      </c>
      <c r="F205" s="12"/>
      <c r="G205" s="12"/>
      <c r="I205" s="12">
        <f>SUM(I201:I204)</f>
        <v>2699269</v>
      </c>
    </row>
    <row r="206" spans="2:12" x14ac:dyDescent="0.25">
      <c r="C206" s="12" t="s">
        <v>120</v>
      </c>
      <c r="D206" s="12"/>
      <c r="E206" s="12">
        <v>7200</v>
      </c>
      <c r="F206" s="12"/>
      <c r="G206" s="12">
        <f>I205-E190</f>
        <v>-15087632.419999994</v>
      </c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F208" s="12"/>
      <c r="G208" s="12"/>
      <c r="I208" s="12"/>
    </row>
    <row r="209" spans="3:9" x14ac:dyDescent="0.25">
      <c r="C209" s="12" t="s">
        <v>143</v>
      </c>
      <c r="D209" s="12">
        <f>SUM(D202:D208)</f>
        <v>22070961.850000001</v>
      </c>
      <c r="E209" s="12">
        <f>SUM(E202:E207)</f>
        <v>1933253.03</v>
      </c>
      <c r="F209" s="12"/>
      <c r="G209" s="12"/>
      <c r="I209" s="12"/>
    </row>
    <row r="210" spans="3:9" x14ac:dyDescent="0.25">
      <c r="C210" s="12"/>
      <c r="D210" s="12"/>
      <c r="E210" s="12">
        <f>E190-E209</f>
        <v>15853648.389999995</v>
      </c>
      <c r="F210" s="12"/>
      <c r="G210" s="12"/>
      <c r="I210" s="12"/>
    </row>
    <row r="211" spans="3:9" x14ac:dyDescent="0.25">
      <c r="C211" s="12"/>
      <c r="D211" s="12">
        <f>32391227</f>
        <v>32391227</v>
      </c>
      <c r="E211" s="12">
        <f>E209-E190</f>
        <v>-15853648.389999995</v>
      </c>
      <c r="F211" s="12"/>
      <c r="G211" s="12"/>
      <c r="I211" s="12"/>
    </row>
    <row r="212" spans="3:9" x14ac:dyDescent="0.25">
      <c r="C212" s="12"/>
      <c r="D212" s="12">
        <f>D211*5%</f>
        <v>1619561.35</v>
      </c>
      <c r="E212" s="12"/>
      <c r="F212" s="12"/>
      <c r="G212" s="12"/>
    </row>
    <row r="213" spans="3:9" x14ac:dyDescent="0.25">
      <c r="C213" s="12"/>
      <c r="D213" s="12">
        <f>D212/4</f>
        <v>404890.33750000002</v>
      </c>
      <c r="E213" s="12">
        <f>E173+E174</f>
        <v>916264.4</v>
      </c>
      <c r="F213" s="12"/>
      <c r="G213" s="12"/>
    </row>
    <row r="214" spans="3:9" x14ac:dyDescent="0.25">
      <c r="C214" s="12"/>
      <c r="D214" s="12"/>
      <c r="E214" s="12"/>
      <c r="F214" s="12"/>
      <c r="G214" s="12"/>
    </row>
    <row r="215" spans="3:9" x14ac:dyDescent="0.25">
      <c r="C215" s="12"/>
      <c r="D215" s="12"/>
      <c r="E215" s="12">
        <f>E202+E203</f>
        <v>1777333.18</v>
      </c>
      <c r="F215" s="12"/>
      <c r="G215" s="12"/>
    </row>
    <row r="216" spans="3:9" x14ac:dyDescent="0.25">
      <c r="C216" s="12"/>
      <c r="D216" s="12"/>
      <c r="E216" s="12"/>
      <c r="F216" s="12"/>
      <c r="G216" s="12"/>
    </row>
    <row r="217" spans="3:9" x14ac:dyDescent="0.25">
      <c r="C217" s="12"/>
      <c r="D217" s="12"/>
      <c r="E217" s="12"/>
      <c r="F217" s="12"/>
      <c r="G217" s="12"/>
    </row>
    <row r="218" spans="3:9" x14ac:dyDescent="0.25">
      <c r="C218" s="12"/>
      <c r="D218" s="12"/>
      <c r="E218" s="12"/>
      <c r="F218" s="12"/>
      <c r="G218" s="12"/>
    </row>
    <row r="219" spans="3:9" x14ac:dyDescent="0.25">
      <c r="C219" s="12"/>
      <c r="D219" s="12"/>
      <c r="E219" s="12"/>
      <c r="F219" s="12"/>
      <c r="G219" s="12"/>
    </row>
    <row r="220" spans="3:9" x14ac:dyDescent="0.25">
      <c r="C220" s="12"/>
      <c r="D220" s="12"/>
      <c r="E220" s="12"/>
      <c r="F220" s="12"/>
      <c r="G220" s="12"/>
    </row>
    <row r="221" spans="3:9" x14ac:dyDescent="0.25">
      <c r="C221" s="12"/>
      <c r="D221" s="12"/>
      <c r="E221" s="12"/>
      <c r="F221" s="12"/>
      <c r="G221" s="12"/>
    </row>
    <row r="222" spans="3:9" x14ac:dyDescent="0.25">
      <c r="C222" s="12"/>
      <c r="D222" s="12"/>
      <c r="E222" s="12"/>
      <c r="F222" s="12"/>
      <c r="G222" s="12"/>
    </row>
    <row r="223" spans="3:9" x14ac:dyDescent="0.25">
      <c r="C223" s="12"/>
      <c r="D223" s="12"/>
      <c r="E223" s="12"/>
      <c r="F223" s="12"/>
      <c r="G223" s="12"/>
    </row>
    <row r="224" spans="3:9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>
        <f>20*25</f>
        <v>500</v>
      </c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</sheetData>
  <mergeCells count="21">
    <mergeCell ref="D200:E200"/>
    <mergeCell ref="A125:A126"/>
    <mergeCell ref="B125:B126"/>
    <mergeCell ref="C125:C126"/>
    <mergeCell ref="D125:D126"/>
    <mergeCell ref="E125:E126"/>
    <mergeCell ref="A168:A169"/>
    <mergeCell ref="B168:B169"/>
    <mergeCell ref="C168:C169"/>
    <mergeCell ref="D168:D169"/>
    <mergeCell ref="E168:E169"/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</mergeCells>
  <pageMargins left="0.12" right="0.12" top="0.24" bottom="0.41" header="0.3" footer="0.3"/>
  <pageSetup scale="8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"/>
  <sheetViews>
    <sheetView zoomScale="130" zoomScaleNormal="130" workbookViewId="0">
      <selection activeCell="B15" sqref="B15"/>
    </sheetView>
  </sheetViews>
  <sheetFormatPr defaultRowHeight="15" x14ac:dyDescent="0.25"/>
  <cols>
    <col min="1" max="1" width="7.5703125" style="13" customWidth="1"/>
    <col min="2" max="2" width="41.42578125" style="13" customWidth="1"/>
    <col min="3" max="3" width="17.28515625" style="13" customWidth="1"/>
    <col min="4" max="4" width="14.7109375" style="13" bestFit="1" customWidth="1"/>
    <col min="5" max="5" width="15.140625" style="13" customWidth="1"/>
    <col min="6" max="6" width="16.28515625" style="13" customWidth="1"/>
    <col min="7" max="7" width="14.28515625" style="13" customWidth="1"/>
    <col min="8" max="8" width="9.140625" style="13"/>
    <col min="9" max="9" width="15.140625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187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f>C11/2</f>
        <v>864963.49</v>
      </c>
      <c r="E11" s="11">
        <v>735313.7</v>
      </c>
      <c r="F11" s="2">
        <f>C11-E11</f>
        <v>994613.28</v>
      </c>
      <c r="G11" s="60">
        <f>D11-E11</f>
        <v>129649.79000000004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>
        <f>C12/2</f>
        <v>548990.31000000006</v>
      </c>
      <c r="E12" s="11">
        <f>503059.74+74346.8</f>
        <v>577406.54</v>
      </c>
      <c r="F12" s="2">
        <f t="shared" ref="F12:F13" si="0">C12-E12</f>
        <v>520574.08000000007</v>
      </c>
      <c r="G12" s="60">
        <f t="shared" ref="G12:G13" si="1">D12-E12</f>
        <v>-28416.229999999981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/>
      <c r="F13" s="2">
        <f t="shared" si="0"/>
        <v>0</v>
      </c>
      <c r="G13" s="60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60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1413953.8</v>
      </c>
      <c r="E15" s="8">
        <f>SUM(E11:E14)</f>
        <v>1312720.24</v>
      </c>
      <c r="F15" s="8">
        <f>SUM(F11:F14)</f>
        <v>1515187.36</v>
      </c>
      <c r="G15" s="61">
        <f>SUM(G11:G14)</f>
        <v>101233.56000000006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60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60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f>C18/2</f>
        <v>4204160.7</v>
      </c>
      <c r="E18" s="11">
        <v>2696044.46</v>
      </c>
      <c r="F18" s="2">
        <f>C18-E18</f>
        <v>5712276.9400000004</v>
      </c>
      <c r="G18" s="60">
        <f>D18-E18</f>
        <v>1508116.2400000002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>
        <f>C19/2</f>
        <v>537968.18000000005</v>
      </c>
      <c r="E19" s="11">
        <f>336911.64+191785.52</f>
        <v>528697.16</v>
      </c>
      <c r="F19" s="2">
        <f>C19-E19</f>
        <v>547239.20000000007</v>
      </c>
      <c r="G19" s="60">
        <f>D19-E19</f>
        <v>9271.0200000000186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60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60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4742128.88</v>
      </c>
      <c r="E22" s="8">
        <f>SUM(E18:E21)</f>
        <v>3224741.62</v>
      </c>
      <c r="F22" s="8">
        <f>SUM(F18:F21)</f>
        <v>6259516.1400000006</v>
      </c>
      <c r="G22" s="61">
        <f>SUM(G18:G21)</f>
        <v>1517387.2600000002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60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60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f>C25/2</f>
        <v>482111.42</v>
      </c>
      <c r="E25" s="11">
        <v>447725.82</v>
      </c>
      <c r="F25" s="2">
        <f>C25-E25</f>
        <v>516497.01999999996</v>
      </c>
      <c r="G25" s="60">
        <f>D25-E25</f>
        <v>34385.599999999977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f>C26/2</f>
        <v>68766.115000000005</v>
      </c>
      <c r="E26" s="11">
        <f>12431.12</f>
        <v>12431.12</v>
      </c>
      <c r="F26" s="2">
        <f>C26-E26</f>
        <v>125101.11000000002</v>
      </c>
      <c r="G26" s="60">
        <f>D26-E26</f>
        <v>56334.995000000003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60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60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550877.53500000003</v>
      </c>
      <c r="E29" s="8">
        <f>SUM(E25:E28)</f>
        <v>460156.94</v>
      </c>
      <c r="F29" s="8">
        <f>SUM(F25:F28)</f>
        <v>641598.13</v>
      </c>
      <c r="G29" s="61">
        <f>SUM(G25:G28)</f>
        <v>90720.594999999972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60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60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f>C32/2</f>
        <v>366440.19</v>
      </c>
      <c r="E32" s="11">
        <v>341159.44</v>
      </c>
      <c r="F32" s="2">
        <f>C32-E32</f>
        <v>391720.94</v>
      </c>
      <c r="G32" s="60">
        <f>D32-E32</f>
        <v>25280.75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f>C33/2</f>
        <v>40439.18</v>
      </c>
      <c r="E33" s="11">
        <f>1830+5333.5+2000</f>
        <v>9163.5</v>
      </c>
      <c r="F33" s="2">
        <f>C33-E33</f>
        <v>71714.86</v>
      </c>
      <c r="G33" s="60">
        <f>D33-E33</f>
        <v>31275.68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60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60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406879.37</v>
      </c>
      <c r="E36" s="8">
        <f>SUM(E32:E35)</f>
        <v>350322.94</v>
      </c>
      <c r="F36" s="8">
        <f>SUM(F32:F35)</f>
        <v>463435.8</v>
      </c>
      <c r="G36" s="61">
        <f>SUM(G32:G35)</f>
        <v>56556.43</v>
      </c>
      <c r="L36" s="12"/>
    </row>
    <row r="37" spans="1:13" x14ac:dyDescent="0.25">
      <c r="A37" s="27"/>
      <c r="B37" s="18"/>
      <c r="C37" s="2"/>
      <c r="D37" s="2"/>
      <c r="E37" s="2"/>
      <c r="F37" s="2"/>
      <c r="G37" s="60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60"/>
      <c r="L38" s="12"/>
    </row>
    <row r="39" spans="1:13" x14ac:dyDescent="0.25">
      <c r="A39" s="27"/>
      <c r="B39" s="29" t="s">
        <v>11</v>
      </c>
      <c r="C39" s="2">
        <v>591829.98</v>
      </c>
      <c r="D39" s="2">
        <f>C39/2</f>
        <v>295914.99</v>
      </c>
      <c r="E39" s="11">
        <v>241827.22</v>
      </c>
      <c r="F39" s="2">
        <f>C39-E39</f>
        <v>350002.76</v>
      </c>
      <c r="G39" s="60">
        <f>D39-E39</f>
        <v>54087.76999999999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f>C40/2</f>
        <v>39701.75</v>
      </c>
      <c r="E40" s="11">
        <f>16089+3000</f>
        <v>19089</v>
      </c>
      <c r="F40" s="2">
        <f>C40-E40</f>
        <v>60314.5</v>
      </c>
      <c r="G40" s="60">
        <f>D40-E40</f>
        <v>20612.75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60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60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335616.74</v>
      </c>
      <c r="E43" s="8">
        <f>SUM(E39:E42)</f>
        <v>260916.22</v>
      </c>
      <c r="F43" s="8">
        <f>SUM(F39:F42)</f>
        <v>410317.26</v>
      </c>
      <c r="G43" s="61">
        <f>SUM(G39:G42)</f>
        <v>74700.51999999999</v>
      </c>
    </row>
    <row r="44" spans="1:13" x14ac:dyDescent="0.25">
      <c r="A44" s="27"/>
      <c r="B44" s="18"/>
      <c r="C44" s="2"/>
      <c r="D44" s="2"/>
      <c r="E44" s="2"/>
      <c r="F44" s="2"/>
      <c r="G44" s="60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60"/>
    </row>
    <row r="46" spans="1:13" x14ac:dyDescent="0.25">
      <c r="A46" s="27"/>
      <c r="B46" s="29" t="s">
        <v>11</v>
      </c>
      <c r="C46" s="2">
        <v>1053344.46</v>
      </c>
      <c r="D46" s="2">
        <f>C46/2</f>
        <v>526672.23</v>
      </c>
      <c r="E46" s="11">
        <v>263823.77</v>
      </c>
      <c r="F46" s="2">
        <f>C46-E46</f>
        <v>789520.69</v>
      </c>
      <c r="G46" s="60">
        <f>D46-E46</f>
        <v>262848.45999999996</v>
      </c>
    </row>
    <row r="47" spans="1:13" x14ac:dyDescent="0.25">
      <c r="A47" s="27"/>
      <c r="B47" s="29" t="s">
        <v>12</v>
      </c>
      <c r="C47" s="2">
        <v>205007.27</v>
      </c>
      <c r="D47" s="2">
        <f>C47/2</f>
        <v>102503.63499999999</v>
      </c>
      <c r="E47" s="11">
        <f>30233+4260</f>
        <v>34493</v>
      </c>
      <c r="F47" s="2">
        <f>C47-E47</f>
        <v>170514.27</v>
      </c>
      <c r="G47" s="60">
        <f>D47-E47</f>
        <v>68010.634999999995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60">
        <f>D48-E48</f>
        <v>0</v>
      </c>
      <c r="H48" s="12"/>
    </row>
    <row r="49" spans="1:13" x14ac:dyDescent="0.25">
      <c r="A49" s="27"/>
      <c r="B49" s="29" t="s">
        <v>14</v>
      </c>
      <c r="C49" s="2"/>
      <c r="D49" s="2"/>
      <c r="E49" s="2"/>
      <c r="F49" s="2"/>
      <c r="G49" s="60"/>
      <c r="H49" s="12"/>
    </row>
    <row r="50" spans="1:13" x14ac:dyDescent="0.25">
      <c r="A50" s="27"/>
      <c r="B50" s="30" t="s">
        <v>27</v>
      </c>
      <c r="C50" s="8">
        <f>SUM(C46:C49)</f>
        <v>1258351.73</v>
      </c>
      <c r="D50" s="8">
        <f>SUM(D46:D49)</f>
        <v>629175.86499999999</v>
      </c>
      <c r="E50" s="8">
        <f>SUM(E46:E49)</f>
        <v>298316.77</v>
      </c>
      <c r="F50" s="8">
        <f>SUM(F46:F49)</f>
        <v>960034.96</v>
      </c>
      <c r="G50" s="61">
        <f>SUM(G46:G49)</f>
        <v>330859.09499999997</v>
      </c>
      <c r="H50" s="12"/>
    </row>
    <row r="51" spans="1:13" x14ac:dyDescent="0.25">
      <c r="A51" s="27"/>
      <c r="B51" s="18"/>
      <c r="C51" s="2"/>
      <c r="D51" s="2"/>
      <c r="E51" s="2"/>
      <c r="F51" s="2"/>
      <c r="G51" s="60"/>
      <c r="H51" s="12"/>
    </row>
    <row r="52" spans="1:13" x14ac:dyDescent="0.25">
      <c r="A52" s="27">
        <v>1091</v>
      </c>
      <c r="B52" s="28" t="s">
        <v>19</v>
      </c>
      <c r="C52" s="2"/>
      <c r="D52" s="2"/>
      <c r="E52" s="2"/>
      <c r="F52" s="2"/>
      <c r="G52" s="60"/>
      <c r="H52" s="12"/>
    </row>
    <row r="53" spans="1:13" x14ac:dyDescent="0.25">
      <c r="A53" s="27"/>
      <c r="B53" s="29" t="s">
        <v>11</v>
      </c>
      <c r="C53" s="2">
        <v>1583456.4</v>
      </c>
      <c r="D53" s="2">
        <f>C53/2</f>
        <v>791728.2</v>
      </c>
      <c r="E53" s="11">
        <v>716857.95</v>
      </c>
      <c r="F53" s="2">
        <f>C53-E53</f>
        <v>866598.45</v>
      </c>
      <c r="G53" s="60">
        <f>D53-E53</f>
        <v>74870.25</v>
      </c>
      <c r="H53" s="12"/>
    </row>
    <row r="54" spans="1:13" x14ac:dyDescent="0.25">
      <c r="A54" s="27"/>
      <c r="B54" s="29" t="s">
        <v>12</v>
      </c>
      <c r="C54" s="2">
        <v>321156.95</v>
      </c>
      <c r="D54" s="2">
        <f>C54/2</f>
        <v>160578.47500000001</v>
      </c>
      <c r="E54" s="11">
        <v>186570</v>
      </c>
      <c r="F54" s="2">
        <f>C54-E54</f>
        <v>134586.95000000001</v>
      </c>
      <c r="G54" s="60">
        <f>D54-E54</f>
        <v>-25991.524999999994</v>
      </c>
      <c r="H54" s="12"/>
    </row>
    <row r="55" spans="1:13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60">
        <f>D55-E55</f>
        <v>0</v>
      </c>
      <c r="H55" s="12"/>
    </row>
    <row r="56" spans="1:13" x14ac:dyDescent="0.25">
      <c r="A56" s="27"/>
      <c r="B56" s="29" t="s">
        <v>14</v>
      </c>
      <c r="C56" s="2"/>
      <c r="D56" s="2"/>
      <c r="E56" s="2"/>
      <c r="F56" s="2"/>
      <c r="G56" s="60"/>
      <c r="H56" s="12"/>
    </row>
    <row r="57" spans="1:13" x14ac:dyDescent="0.25">
      <c r="A57" s="31"/>
      <c r="B57" s="30" t="s">
        <v>27</v>
      </c>
      <c r="C57" s="8">
        <f>SUM(C53:C56)</f>
        <v>1904613.3499999999</v>
      </c>
      <c r="D57" s="8">
        <f>SUM(D53:D56)</f>
        <v>952306.67499999993</v>
      </c>
      <c r="E57" s="8">
        <f>SUM(E53:E56)</f>
        <v>903427.95</v>
      </c>
      <c r="F57" s="8">
        <f>SUM(F53:F56)</f>
        <v>1001185.3999999999</v>
      </c>
      <c r="G57" s="61">
        <f>SUM(G53:G56)</f>
        <v>48878.725000000006</v>
      </c>
      <c r="H57" s="12"/>
    </row>
    <row r="58" spans="1:13" ht="15.75" thickBot="1" x14ac:dyDescent="0.3">
      <c r="A58" s="32"/>
      <c r="B58" s="33"/>
      <c r="C58" s="9"/>
      <c r="D58" s="9"/>
      <c r="E58" s="9"/>
      <c r="F58" s="9"/>
      <c r="G58" s="62"/>
      <c r="H58" s="12"/>
    </row>
    <row r="59" spans="1:13" x14ac:dyDescent="0.25">
      <c r="A59" s="35"/>
      <c r="B59" s="36"/>
      <c r="C59" s="10"/>
      <c r="D59" s="10"/>
      <c r="E59" s="10">
        <f>E12+E19+E26+E33+E40+E40+E54</f>
        <v>1352446.3200000003</v>
      </c>
      <c r="F59" s="10"/>
      <c r="G59" s="10"/>
      <c r="H59" s="12"/>
    </row>
    <row r="60" spans="1:13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13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13" x14ac:dyDescent="0.25">
      <c r="A62" s="13" t="s">
        <v>2</v>
      </c>
      <c r="B62" s="36"/>
      <c r="C62" s="10"/>
      <c r="D62" s="10"/>
      <c r="E62" s="10"/>
      <c r="F62" s="10"/>
      <c r="G62" s="10"/>
      <c r="H62" s="12"/>
      <c r="M62" s="13">
        <v>45000</v>
      </c>
    </row>
    <row r="63" spans="1:13" x14ac:dyDescent="0.25">
      <c r="A63" s="24" t="s">
        <v>187</v>
      </c>
      <c r="B63" s="36"/>
      <c r="C63" s="10"/>
      <c r="D63" s="10"/>
      <c r="E63" s="10"/>
      <c r="F63" s="10"/>
      <c r="G63" s="10"/>
      <c r="H63" s="12"/>
      <c r="M63" s="13">
        <v>15000</v>
      </c>
    </row>
    <row r="64" spans="1:13" x14ac:dyDescent="0.25">
      <c r="A64" s="35"/>
      <c r="B64" s="36"/>
      <c r="C64" s="10"/>
      <c r="D64" s="10"/>
      <c r="E64" s="10"/>
      <c r="F64" s="10"/>
      <c r="G64" s="10"/>
      <c r="H64" s="12"/>
      <c r="M64" s="13">
        <v>40000</v>
      </c>
    </row>
    <row r="65" spans="1:13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  <c r="M65" s="13">
        <v>25000</v>
      </c>
    </row>
    <row r="66" spans="1:13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  <c r="M66" s="13">
        <v>45000</v>
      </c>
    </row>
    <row r="67" spans="1:13" x14ac:dyDescent="0.25">
      <c r="A67" s="26"/>
      <c r="B67" s="17"/>
      <c r="C67" s="19"/>
      <c r="D67" s="19"/>
      <c r="E67" s="19"/>
      <c r="F67" s="19"/>
      <c r="G67" s="19"/>
      <c r="H67" s="12"/>
      <c r="M67" s="13">
        <v>40000</v>
      </c>
    </row>
    <row r="68" spans="1:13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  <c r="M68" s="13">
        <v>14000</v>
      </c>
    </row>
    <row r="69" spans="1:13" x14ac:dyDescent="0.25">
      <c r="A69" s="27"/>
      <c r="B69" s="29" t="s">
        <v>11</v>
      </c>
      <c r="C69" s="2">
        <v>757496.84</v>
      </c>
      <c r="D69" s="2">
        <f>C69/2</f>
        <v>378748.42</v>
      </c>
      <c r="E69" s="11">
        <v>318112.53000000003</v>
      </c>
      <c r="F69" s="2">
        <f>C69-E69</f>
        <v>439384.30999999994</v>
      </c>
      <c r="G69" s="60">
        <f>D69-E69</f>
        <v>60635.889999999956</v>
      </c>
      <c r="H69" s="12"/>
      <c r="M69" s="13">
        <f>SUM(M62:M68)</f>
        <v>224000</v>
      </c>
    </row>
    <row r="70" spans="1:13" x14ac:dyDescent="0.25">
      <c r="A70" s="27"/>
      <c r="B70" s="29" t="s">
        <v>12</v>
      </c>
      <c r="C70" s="2">
        <v>112211.77</v>
      </c>
      <c r="D70" s="2">
        <f>C70/2</f>
        <v>56105.885000000002</v>
      </c>
      <c r="E70" s="11">
        <f>46076+1650</f>
        <v>47726</v>
      </c>
      <c r="F70" s="2">
        <f>C70-E70</f>
        <v>64485.770000000004</v>
      </c>
      <c r="G70" s="60">
        <f>D70-E70</f>
        <v>8379.885000000002</v>
      </c>
      <c r="H70" s="12"/>
    </row>
    <row r="71" spans="1:13" x14ac:dyDescent="0.25">
      <c r="A71" s="27"/>
      <c r="B71" s="29" t="s">
        <v>13</v>
      </c>
      <c r="C71" s="2">
        <v>10000</v>
      </c>
      <c r="D71" s="2">
        <v>10000</v>
      </c>
      <c r="E71" s="2">
        <v>5800</v>
      </c>
      <c r="F71" s="2">
        <f>C71-E71</f>
        <v>4200</v>
      </c>
      <c r="G71" s="60">
        <f>D71-E71</f>
        <v>4200</v>
      </c>
      <c r="H71" s="12"/>
    </row>
    <row r="72" spans="1:13" x14ac:dyDescent="0.25">
      <c r="A72" s="27"/>
      <c r="B72" s="29" t="s">
        <v>14</v>
      </c>
      <c r="C72" s="2"/>
      <c r="D72" s="2"/>
      <c r="E72" s="2"/>
      <c r="F72" s="2"/>
      <c r="G72" s="60"/>
      <c r="H72" s="12"/>
    </row>
    <row r="73" spans="1:13" x14ac:dyDescent="0.25">
      <c r="A73" s="18"/>
      <c r="B73" s="30" t="s">
        <v>27</v>
      </c>
      <c r="C73" s="8">
        <f>SUM(C69:C72)</f>
        <v>879708.61</v>
      </c>
      <c r="D73" s="8">
        <f>SUM(D69:D72)</f>
        <v>444854.30499999999</v>
      </c>
      <c r="E73" s="8">
        <f>SUM(E69:E72)</f>
        <v>371638.53</v>
      </c>
      <c r="F73" s="8">
        <f>SUM(F69:F72)</f>
        <v>508070.07999999996</v>
      </c>
      <c r="G73" s="61">
        <f>SUM(G69:G72)</f>
        <v>73215.774999999965</v>
      </c>
      <c r="H73" s="12"/>
    </row>
    <row r="74" spans="1:13" x14ac:dyDescent="0.25">
      <c r="A74" s="27"/>
      <c r="B74" s="18"/>
      <c r="C74" s="2"/>
      <c r="D74" s="2"/>
      <c r="E74" s="2"/>
      <c r="F74" s="2"/>
      <c r="G74" s="60"/>
      <c r="H74" s="12"/>
    </row>
    <row r="75" spans="1:13" x14ac:dyDescent="0.25">
      <c r="A75" s="27">
        <v>6544</v>
      </c>
      <c r="B75" s="28" t="s">
        <v>21</v>
      </c>
      <c r="C75" s="18"/>
      <c r="D75" s="2"/>
      <c r="E75" s="2"/>
      <c r="F75" s="2"/>
      <c r="G75" s="60"/>
      <c r="H75" s="12"/>
    </row>
    <row r="76" spans="1:13" x14ac:dyDescent="0.25">
      <c r="A76" s="27"/>
      <c r="B76" s="29" t="s">
        <v>11</v>
      </c>
      <c r="C76" s="2">
        <v>1136593.6000000001</v>
      </c>
      <c r="D76" s="2">
        <f>C76/2</f>
        <v>568296.80000000005</v>
      </c>
      <c r="E76" s="11">
        <v>429271.78</v>
      </c>
      <c r="F76" s="2">
        <f>C76-E76</f>
        <v>707321.82000000007</v>
      </c>
      <c r="G76" s="60">
        <f>D76-E76</f>
        <v>139025.02000000002</v>
      </c>
      <c r="H76" s="12"/>
    </row>
    <row r="77" spans="1:13" x14ac:dyDescent="0.25">
      <c r="A77" s="27"/>
      <c r="B77" s="29" t="s">
        <v>12</v>
      </c>
      <c r="C77" s="2">
        <v>749098.9</v>
      </c>
      <c r="D77" s="2">
        <f>C77/2</f>
        <v>374549.45</v>
      </c>
      <c r="E77" s="11">
        <f>367542.92+83316.92</f>
        <v>450859.83999999997</v>
      </c>
      <c r="F77" s="2">
        <f>C77-E77</f>
        <v>298239.06000000006</v>
      </c>
      <c r="G77" s="60">
        <f>D77-E77</f>
        <v>-76310.389999999956</v>
      </c>
      <c r="H77" s="12"/>
    </row>
    <row r="78" spans="1:13" x14ac:dyDescent="0.25">
      <c r="A78" s="27"/>
      <c r="B78" s="29" t="s">
        <v>13</v>
      </c>
      <c r="C78" s="2"/>
      <c r="D78" s="2"/>
      <c r="E78" s="2"/>
      <c r="F78" s="2"/>
      <c r="G78" s="60"/>
      <c r="H78" s="12"/>
    </row>
    <row r="79" spans="1:13" x14ac:dyDescent="0.25">
      <c r="A79" s="27"/>
      <c r="B79" s="29" t="s">
        <v>14</v>
      </c>
      <c r="C79" s="2"/>
      <c r="D79" s="2"/>
      <c r="E79" s="2"/>
      <c r="F79" s="2"/>
      <c r="G79" s="60"/>
      <c r="H79" s="12"/>
    </row>
    <row r="80" spans="1:13" x14ac:dyDescent="0.25">
      <c r="A80" s="27"/>
      <c r="B80" s="30" t="s">
        <v>27</v>
      </c>
      <c r="C80" s="8">
        <f>SUM(C76:C79)</f>
        <v>1885692.5</v>
      </c>
      <c r="D80" s="8">
        <f>SUM(D76:D79)</f>
        <v>942846.25</v>
      </c>
      <c r="E80" s="8">
        <f>SUM(E76:E79)</f>
        <v>880131.62</v>
      </c>
      <c r="F80" s="8">
        <f>SUM(F76:F79)</f>
        <v>1005560.8800000001</v>
      </c>
      <c r="G80" s="61">
        <f>SUM(G76:G79)</f>
        <v>62714.630000000063</v>
      </c>
      <c r="H80" s="12"/>
    </row>
    <row r="81" spans="1:8" x14ac:dyDescent="0.25">
      <c r="A81" s="27"/>
      <c r="B81" s="18"/>
      <c r="C81" s="2"/>
      <c r="D81" s="2"/>
      <c r="E81" s="2"/>
      <c r="F81" s="2"/>
      <c r="G81" s="60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60"/>
      <c r="H82" s="12"/>
    </row>
    <row r="83" spans="1:8" x14ac:dyDescent="0.25">
      <c r="A83" s="27"/>
      <c r="B83" s="29" t="s">
        <v>11</v>
      </c>
      <c r="C83" s="2">
        <v>2920190.6</v>
      </c>
      <c r="D83" s="2">
        <f>C83/2</f>
        <v>1460095.3</v>
      </c>
      <c r="E83" s="11">
        <v>1340328.3799999999</v>
      </c>
      <c r="F83" s="2">
        <f>C83-E83</f>
        <v>1579862.2200000002</v>
      </c>
      <c r="G83" s="60">
        <f>D83-E83</f>
        <v>119766.92000000016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f>C84/2</f>
        <v>87449.425000000003</v>
      </c>
      <c r="E84" s="11">
        <f>63609.47+9389.25</f>
        <v>72998.720000000001</v>
      </c>
      <c r="F84" s="2">
        <f>C84-E84</f>
        <v>101900.13</v>
      </c>
      <c r="G84" s="60">
        <f>D84-E84</f>
        <v>14450.705000000002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60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60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1547544.7250000001</v>
      </c>
      <c r="E87" s="8">
        <f>SUM(E83:E86)</f>
        <v>1413327.0999999999</v>
      </c>
      <c r="F87" s="8">
        <f>SUM(F83:F86)</f>
        <v>1681762.35</v>
      </c>
      <c r="G87" s="61">
        <f>SUM(G83:G86)</f>
        <v>134217.62500000017</v>
      </c>
      <c r="H87" s="12"/>
    </row>
    <row r="88" spans="1:8" x14ac:dyDescent="0.25">
      <c r="A88" s="27"/>
      <c r="B88" s="18"/>
      <c r="C88" s="2"/>
      <c r="D88" s="2"/>
      <c r="E88" s="2"/>
      <c r="F88" s="2"/>
      <c r="G88" s="60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60"/>
      <c r="H89" s="12"/>
    </row>
    <row r="90" spans="1:8" x14ac:dyDescent="0.25">
      <c r="A90" s="27"/>
      <c r="B90" s="29" t="s">
        <v>11</v>
      </c>
      <c r="C90" s="2">
        <v>1120789.58</v>
      </c>
      <c r="D90" s="2">
        <f>C90/2</f>
        <v>560394.79</v>
      </c>
      <c r="E90" s="11">
        <v>480377.69</v>
      </c>
      <c r="F90" s="2">
        <f>C90-E90</f>
        <v>640411.89000000013</v>
      </c>
      <c r="G90" s="60">
        <f>D90-E90</f>
        <v>80017.100000000035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f>C91/2</f>
        <v>94985.574999999997</v>
      </c>
      <c r="E91" s="11">
        <f>57420.5+13125</f>
        <v>70545.5</v>
      </c>
      <c r="F91" s="2">
        <f>C91-E91</f>
        <v>119425.65</v>
      </c>
      <c r="G91" s="60">
        <f>D91-E91</f>
        <v>24440.074999999997</v>
      </c>
      <c r="H91" s="12"/>
    </row>
    <row r="92" spans="1:8" x14ac:dyDescent="0.25">
      <c r="A92" s="27"/>
      <c r="B92" s="29" t="s">
        <v>13</v>
      </c>
      <c r="C92" s="2">
        <v>25000</v>
      </c>
      <c r="D92" s="2"/>
      <c r="E92" s="2"/>
      <c r="F92" s="2"/>
      <c r="G92" s="60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60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655380.36499999999</v>
      </c>
      <c r="E94" s="8">
        <f>SUM(E90:E93)</f>
        <v>550923.18999999994</v>
      </c>
      <c r="F94" s="8">
        <f>SUM(F90:F93)</f>
        <v>759837.54000000015</v>
      </c>
      <c r="G94" s="61">
        <f>SUM(G90:G93)</f>
        <v>104457.17500000003</v>
      </c>
      <c r="H94" s="12"/>
    </row>
    <row r="95" spans="1:8" x14ac:dyDescent="0.25">
      <c r="A95" s="27"/>
      <c r="B95" s="18"/>
      <c r="C95" s="2"/>
      <c r="D95" s="2"/>
      <c r="E95" s="2"/>
      <c r="F95" s="2"/>
      <c r="G95" s="60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60"/>
      <c r="H96" s="12"/>
    </row>
    <row r="97" spans="1:8" x14ac:dyDescent="0.25">
      <c r="A97" s="27"/>
      <c r="B97" s="29" t="s">
        <v>11</v>
      </c>
      <c r="C97" s="2">
        <v>860982.08</v>
      </c>
      <c r="D97" s="2">
        <f>C97/2</f>
        <v>430491.04</v>
      </c>
      <c r="E97" s="2">
        <v>388920</v>
      </c>
      <c r="F97" s="2">
        <f>C97-E97</f>
        <v>472062.07999999996</v>
      </c>
      <c r="G97" s="60">
        <f>D97-E97</f>
        <v>41571.039999999979</v>
      </c>
      <c r="H97" s="12"/>
    </row>
    <row r="98" spans="1:8" x14ac:dyDescent="0.25">
      <c r="A98" s="27"/>
      <c r="B98" s="29" t="s">
        <v>12</v>
      </c>
      <c r="C98" s="2">
        <v>87772.800000000003</v>
      </c>
      <c r="D98" s="2">
        <f>C98/2</f>
        <v>43886.400000000001</v>
      </c>
      <c r="E98" s="11">
        <f>22949.81+4958</f>
        <v>27907.81</v>
      </c>
      <c r="F98" s="2">
        <f>C98-E98</f>
        <v>59864.990000000005</v>
      </c>
      <c r="G98" s="60">
        <f>D98-E98</f>
        <v>15978.59</v>
      </c>
      <c r="H98" s="12"/>
    </row>
    <row r="99" spans="1:8" x14ac:dyDescent="0.25">
      <c r="A99" s="27"/>
      <c r="B99" s="29" t="s">
        <v>13</v>
      </c>
      <c r="C99" s="2"/>
      <c r="D99" s="2"/>
      <c r="E99" s="2"/>
      <c r="F99" s="2"/>
      <c r="G99" s="60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60"/>
      <c r="H100" s="12"/>
    </row>
    <row r="101" spans="1:8" x14ac:dyDescent="0.25">
      <c r="A101" s="27"/>
      <c r="B101" s="30" t="s">
        <v>27</v>
      </c>
      <c r="C101" s="8">
        <f>SUM(C97:C100)</f>
        <v>948754.88</v>
      </c>
      <c r="D101" s="8">
        <f>SUM(D97:D100)</f>
        <v>474377.44</v>
      </c>
      <c r="E101" s="8">
        <f>SUM(E97:E100)</f>
        <v>416827.81</v>
      </c>
      <c r="F101" s="8">
        <f>SUM(F97:F100)</f>
        <v>531927.06999999995</v>
      </c>
      <c r="G101" s="61">
        <f>SUM(G97:G100)</f>
        <v>57549.629999999976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60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60"/>
      <c r="H103" s="12"/>
    </row>
    <row r="104" spans="1:8" x14ac:dyDescent="0.25">
      <c r="A104" s="27"/>
      <c r="B104" s="29" t="s">
        <v>11</v>
      </c>
      <c r="C104" s="2">
        <v>1008030.66</v>
      </c>
      <c r="D104" s="2">
        <f>C104/2</f>
        <v>504015.33</v>
      </c>
      <c r="E104" s="11">
        <v>455417.55</v>
      </c>
      <c r="F104" s="2">
        <f>C104-E104</f>
        <v>552613.1100000001</v>
      </c>
      <c r="G104" s="60">
        <f>D104-E104</f>
        <v>48597.780000000028</v>
      </c>
      <c r="H104" s="12"/>
    </row>
    <row r="105" spans="1:8" x14ac:dyDescent="0.25">
      <c r="A105" s="27"/>
      <c r="B105" s="29" t="s">
        <v>12</v>
      </c>
      <c r="C105" s="2">
        <v>61275.5</v>
      </c>
      <c r="D105" s="2">
        <f>C105/2</f>
        <v>30637.75</v>
      </c>
      <c r="E105" s="11">
        <f>24514+4767</f>
        <v>29281</v>
      </c>
      <c r="F105" s="2">
        <f>C105-E105</f>
        <v>31994.5</v>
      </c>
      <c r="G105" s="60">
        <f>D105-E105</f>
        <v>1356.75</v>
      </c>
      <c r="H105" s="12"/>
    </row>
    <row r="106" spans="1:8" x14ac:dyDescent="0.25">
      <c r="A106" s="27"/>
      <c r="B106" s="29" t="s">
        <v>13</v>
      </c>
      <c r="C106" s="2"/>
      <c r="D106" s="2"/>
      <c r="E106" s="2"/>
      <c r="F106" s="2"/>
      <c r="G106" s="60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60"/>
      <c r="H107" s="12"/>
    </row>
    <row r="108" spans="1:8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534653.08000000007</v>
      </c>
      <c r="E108" s="8">
        <f>SUM(E104:E107)</f>
        <v>484698.55</v>
      </c>
      <c r="F108" s="8">
        <f>SUM(F104:F107)</f>
        <v>584607.6100000001</v>
      </c>
      <c r="G108" s="61">
        <f>SUM(G104:G107)</f>
        <v>49954.530000000028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60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60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60">
        <f>D111-E111</f>
        <v>0</v>
      </c>
      <c r="H111" s="12"/>
    </row>
    <row r="112" spans="1:8" x14ac:dyDescent="0.25">
      <c r="A112" s="27"/>
      <c r="B112" s="29" t="s">
        <v>12</v>
      </c>
      <c r="C112" s="2">
        <v>66400</v>
      </c>
      <c r="D112" s="2">
        <f>C112/2</f>
        <v>33200</v>
      </c>
      <c r="E112" s="11">
        <v>8535</v>
      </c>
      <c r="F112" s="2">
        <f>C112-E112</f>
        <v>57865</v>
      </c>
      <c r="G112" s="60">
        <f>D112-E112</f>
        <v>24665</v>
      </c>
      <c r="H112" s="12"/>
    </row>
    <row r="113" spans="1:8" x14ac:dyDescent="0.25">
      <c r="A113" s="27"/>
      <c r="B113" s="29" t="s">
        <v>13</v>
      </c>
      <c r="C113" s="2"/>
      <c r="D113" s="2"/>
      <c r="E113" s="2"/>
      <c r="F113" s="2"/>
      <c r="G113" s="60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60"/>
      <c r="H114" s="12"/>
    </row>
    <row r="115" spans="1:8" x14ac:dyDescent="0.25">
      <c r="A115" s="31"/>
      <c r="B115" s="30" t="s">
        <v>27</v>
      </c>
      <c r="C115" s="8">
        <f>SUM(C111:C114)</f>
        <v>66400</v>
      </c>
      <c r="D115" s="8">
        <f>SUM(D111:D114)</f>
        <v>33200</v>
      </c>
      <c r="E115" s="8">
        <f>SUM(E111:E114)</f>
        <v>8535</v>
      </c>
      <c r="F115" s="8">
        <f>SUM(F111:F114)</f>
        <v>57865</v>
      </c>
      <c r="G115" s="61">
        <f>SUM(G111:G114)</f>
        <v>24665</v>
      </c>
      <c r="H115" s="12"/>
    </row>
    <row r="116" spans="1:8" ht="15.75" thickBot="1" x14ac:dyDescent="0.3">
      <c r="A116" s="37"/>
      <c r="B116" s="38"/>
      <c r="C116" s="9"/>
      <c r="D116" s="9"/>
      <c r="E116" s="9"/>
      <c r="F116" s="9"/>
      <c r="G116" s="6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E70+E71+E77+E84+E91+E98+E105</f>
        <v>705118.87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6"/>
      <c r="C120" s="10"/>
      <c r="D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187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91" t="s">
        <v>3</v>
      </c>
      <c r="B125" s="91" t="s">
        <v>4</v>
      </c>
      <c r="C125" s="91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92"/>
      <c r="B126" s="92"/>
      <c r="C126" s="92"/>
      <c r="D126" s="89"/>
      <c r="E126" s="89"/>
      <c r="F126" s="16" t="s">
        <v>5</v>
      </c>
      <c r="G126" s="16" t="s">
        <v>6</v>
      </c>
      <c r="H126" s="12"/>
    </row>
    <row r="127" spans="1:8" ht="18.75" x14ac:dyDescent="0.3">
      <c r="A127" s="65"/>
      <c r="B127" s="65"/>
      <c r="C127" s="66"/>
      <c r="D127" s="19"/>
      <c r="E127" s="19"/>
      <c r="F127" s="19"/>
      <c r="G127" s="19"/>
      <c r="H127" s="12"/>
    </row>
    <row r="128" spans="1:8" ht="18.75" x14ac:dyDescent="0.3">
      <c r="A128" s="67" t="s">
        <v>29</v>
      </c>
      <c r="B128" s="67" t="s">
        <v>38</v>
      </c>
      <c r="C128" s="68">
        <v>35000</v>
      </c>
      <c r="D128" s="2">
        <f>C128/2</f>
        <v>17500</v>
      </c>
      <c r="E128" s="2"/>
      <c r="F128" s="2">
        <f t="shared" ref="F128:F156" si="2">C128-E128</f>
        <v>35000</v>
      </c>
      <c r="G128" s="60">
        <f t="shared" ref="G128:G157" si="3">D128-E128</f>
        <v>17500</v>
      </c>
      <c r="H128" s="12"/>
    </row>
    <row r="129" spans="1:10" ht="18.75" x14ac:dyDescent="0.3">
      <c r="A129" s="67"/>
      <c r="B129" s="67" t="s">
        <v>32</v>
      </c>
      <c r="C129" s="68">
        <v>250000</v>
      </c>
      <c r="D129" s="2">
        <f t="shared" ref="D129:D131" si="4">C129/2</f>
        <v>125000</v>
      </c>
      <c r="E129" s="2">
        <f>33593+1594.42</f>
        <v>35187.42</v>
      </c>
      <c r="F129" s="2">
        <f>C129-E129</f>
        <v>214812.58000000002</v>
      </c>
      <c r="G129" s="60"/>
      <c r="H129" s="12"/>
    </row>
    <row r="130" spans="1:10" ht="18.75" x14ac:dyDescent="0.3">
      <c r="A130" s="67"/>
      <c r="B130" s="67" t="s">
        <v>35</v>
      </c>
      <c r="C130" s="68">
        <v>430000</v>
      </c>
      <c r="D130" s="2">
        <f t="shared" si="4"/>
        <v>215000</v>
      </c>
      <c r="E130" s="2">
        <f>217454+78930</f>
        <v>296384</v>
      </c>
      <c r="F130" s="2"/>
      <c r="G130" s="60"/>
      <c r="H130" s="12"/>
    </row>
    <row r="131" spans="1:10" ht="18.75" x14ac:dyDescent="0.3">
      <c r="A131" s="67"/>
      <c r="B131" s="67" t="s">
        <v>96</v>
      </c>
      <c r="C131" s="68">
        <v>200000</v>
      </c>
      <c r="D131" s="2">
        <f t="shared" si="4"/>
        <v>100000</v>
      </c>
      <c r="E131" s="2">
        <v>10074.93</v>
      </c>
      <c r="F131" s="2"/>
      <c r="G131" s="60"/>
      <c r="H131" s="12"/>
    </row>
    <row r="132" spans="1:10" ht="18.75" x14ac:dyDescent="0.3">
      <c r="A132" s="67"/>
      <c r="B132" s="67" t="s">
        <v>100</v>
      </c>
      <c r="C132" s="68">
        <v>300000</v>
      </c>
      <c r="D132" s="2"/>
      <c r="E132" s="2"/>
      <c r="F132" s="2"/>
      <c r="G132" s="60"/>
      <c r="H132" s="12"/>
    </row>
    <row r="133" spans="1:10" ht="18.75" x14ac:dyDescent="0.3">
      <c r="A133" s="67"/>
      <c r="B133" s="67" t="s">
        <v>181</v>
      </c>
      <c r="C133" s="68">
        <v>180000</v>
      </c>
      <c r="D133" s="2"/>
      <c r="E133" s="2"/>
      <c r="F133" s="2"/>
      <c r="G133" s="60"/>
      <c r="H133" s="12"/>
    </row>
    <row r="134" spans="1:10" ht="18.75" x14ac:dyDescent="0.3">
      <c r="A134" s="67"/>
      <c r="B134" s="67" t="s">
        <v>31</v>
      </c>
      <c r="C134" s="68"/>
      <c r="D134" s="2"/>
      <c r="E134" s="2"/>
      <c r="F134" s="2"/>
      <c r="G134" s="60"/>
      <c r="H134" s="12"/>
      <c r="I134" s="13">
        <f>230*22</f>
        <v>5060</v>
      </c>
    </row>
    <row r="135" spans="1:10" ht="18.75" x14ac:dyDescent="0.3">
      <c r="A135" s="67"/>
      <c r="B135" s="69" t="s">
        <v>146</v>
      </c>
      <c r="C135" s="68">
        <v>300000</v>
      </c>
      <c r="D135" s="2">
        <v>300000</v>
      </c>
      <c r="E135" s="2">
        <f>251287.5+72900</f>
        <v>324187.5</v>
      </c>
      <c r="F135" s="2"/>
      <c r="G135" s="60"/>
      <c r="H135" s="12"/>
      <c r="I135" s="13">
        <f>I134*12</f>
        <v>60720</v>
      </c>
    </row>
    <row r="136" spans="1:10" ht="18.75" x14ac:dyDescent="0.3">
      <c r="A136" s="67"/>
      <c r="B136" s="69" t="s">
        <v>147</v>
      </c>
      <c r="C136" s="68">
        <v>400000</v>
      </c>
      <c r="D136" s="2">
        <v>400000</v>
      </c>
      <c r="E136" s="2">
        <v>300000</v>
      </c>
      <c r="F136" s="2"/>
      <c r="G136" s="60"/>
      <c r="H136" s="12"/>
    </row>
    <row r="137" spans="1:10" ht="18.75" x14ac:dyDescent="0.3">
      <c r="A137" s="67"/>
      <c r="B137" s="69" t="s">
        <v>148</v>
      </c>
      <c r="C137" s="68">
        <v>200000</v>
      </c>
      <c r="D137" s="2"/>
      <c r="E137" s="2"/>
      <c r="F137" s="2"/>
      <c r="G137" s="60"/>
      <c r="H137" s="12"/>
      <c r="I137" s="12">
        <v>32882308.219999999</v>
      </c>
    </row>
    <row r="138" spans="1:10" ht="18.75" x14ac:dyDescent="0.3">
      <c r="A138" s="67"/>
      <c r="B138" s="69" t="s">
        <v>149</v>
      </c>
      <c r="C138" s="68">
        <v>100000</v>
      </c>
      <c r="D138" s="2"/>
      <c r="E138" s="2"/>
      <c r="F138" s="2">
        <f t="shared" si="2"/>
        <v>100000</v>
      </c>
      <c r="G138" s="60">
        <f t="shared" si="3"/>
        <v>0</v>
      </c>
      <c r="H138" s="12"/>
      <c r="I138" s="12">
        <v>17921</v>
      </c>
    </row>
    <row r="139" spans="1:10" ht="18.75" x14ac:dyDescent="0.3">
      <c r="A139" s="67"/>
      <c r="B139" s="67" t="s">
        <v>151</v>
      </c>
      <c r="C139" s="68">
        <v>125000</v>
      </c>
      <c r="D139" s="2"/>
      <c r="E139" s="2">
        <v>8000</v>
      </c>
      <c r="F139" s="2">
        <f t="shared" si="2"/>
        <v>117000</v>
      </c>
      <c r="G139" s="60">
        <f t="shared" si="3"/>
        <v>-8000</v>
      </c>
      <c r="H139" s="12"/>
      <c r="I139" s="13">
        <f>I137/I138</f>
        <v>1834.8478444283242</v>
      </c>
      <c r="J139" s="12"/>
    </row>
    <row r="140" spans="1:10" ht="18.75" x14ac:dyDescent="0.3">
      <c r="A140" s="67"/>
      <c r="B140" s="70" t="s">
        <v>150</v>
      </c>
      <c r="C140" s="68">
        <v>20000</v>
      </c>
      <c r="D140" s="2">
        <v>10000</v>
      </c>
      <c r="E140" s="2"/>
      <c r="F140" s="2">
        <f>C129-E140</f>
        <v>250000</v>
      </c>
      <c r="G140" s="60">
        <f t="shared" si="3"/>
        <v>10000</v>
      </c>
      <c r="H140" s="12"/>
      <c r="I140" s="12">
        <v>22067089.800000001</v>
      </c>
      <c r="J140" s="12">
        <v>857870</v>
      </c>
    </row>
    <row r="141" spans="1:10" ht="18.75" x14ac:dyDescent="0.3">
      <c r="A141" s="67"/>
      <c r="B141" s="67" t="s">
        <v>98</v>
      </c>
      <c r="C141" s="68">
        <v>80000</v>
      </c>
      <c r="D141" s="2">
        <v>40000</v>
      </c>
      <c r="E141" s="2">
        <v>8719</v>
      </c>
      <c r="F141" s="2"/>
      <c r="G141" s="60"/>
      <c r="H141" s="12"/>
      <c r="I141" s="13">
        <f>I140/I137</f>
        <v>0.67109308909701604</v>
      </c>
      <c r="J141" s="12"/>
    </row>
    <row r="142" spans="1:10" ht="18.75" x14ac:dyDescent="0.3">
      <c r="A142" s="67"/>
      <c r="B142" s="67" t="s">
        <v>94</v>
      </c>
      <c r="C142" s="68">
        <v>75000</v>
      </c>
      <c r="D142" s="2">
        <f>C142/2</f>
        <v>37500</v>
      </c>
      <c r="E142" s="2">
        <v>2000</v>
      </c>
      <c r="F142" s="2">
        <f t="shared" si="2"/>
        <v>73000</v>
      </c>
      <c r="G142" s="60">
        <f t="shared" si="3"/>
        <v>35500</v>
      </c>
      <c r="H142" s="12"/>
      <c r="J142" s="12"/>
    </row>
    <row r="143" spans="1:10" ht="18.75" x14ac:dyDescent="0.3">
      <c r="A143" s="67"/>
      <c r="B143" s="67" t="s">
        <v>179</v>
      </c>
      <c r="C143" s="68">
        <v>75000</v>
      </c>
      <c r="D143" s="2">
        <f>C143/2</f>
        <v>37500</v>
      </c>
      <c r="E143" s="2"/>
      <c r="F143" s="2"/>
      <c r="G143" s="60"/>
      <c r="H143" s="12"/>
      <c r="J143" s="12"/>
    </row>
    <row r="144" spans="1:10" ht="18.75" x14ac:dyDescent="0.3">
      <c r="A144" s="67"/>
      <c r="B144" s="67" t="s">
        <v>110</v>
      </c>
      <c r="C144" s="68">
        <v>1200000</v>
      </c>
      <c r="D144" s="2">
        <f>C144/2</f>
        <v>600000</v>
      </c>
      <c r="E144" s="2">
        <f>691247.5+189655</f>
        <v>880902.5</v>
      </c>
      <c r="F144" s="2">
        <f t="shared" si="2"/>
        <v>319097.5</v>
      </c>
      <c r="G144" s="60">
        <f t="shared" si="3"/>
        <v>-280902.5</v>
      </c>
      <c r="H144" s="12"/>
      <c r="J144" s="12"/>
    </row>
    <row r="145" spans="1:10" ht="18.75" x14ac:dyDescent="0.3">
      <c r="A145" s="67"/>
      <c r="B145" s="67" t="s">
        <v>49</v>
      </c>
      <c r="C145" s="68">
        <v>100000</v>
      </c>
      <c r="D145" s="2">
        <v>100000</v>
      </c>
      <c r="E145" s="2">
        <v>100000</v>
      </c>
      <c r="F145" s="2">
        <f t="shared" si="2"/>
        <v>0</v>
      </c>
      <c r="G145" s="60">
        <f t="shared" si="3"/>
        <v>0</v>
      </c>
      <c r="H145" s="12"/>
      <c r="J145" s="12">
        <f>J140*55%</f>
        <v>471828.50000000006</v>
      </c>
    </row>
    <row r="146" spans="1:10" ht="18.75" x14ac:dyDescent="0.3">
      <c r="A146" s="67"/>
      <c r="B146" s="67" t="s">
        <v>33</v>
      </c>
      <c r="C146" s="68">
        <v>150000</v>
      </c>
      <c r="D146" s="2">
        <f t="shared" ref="D146:D153" si="5">C146/2</f>
        <v>75000</v>
      </c>
      <c r="E146" s="2">
        <f>113100+35400</f>
        <v>148500</v>
      </c>
      <c r="F146" s="2"/>
      <c r="G146" s="60"/>
      <c r="H146" s="12"/>
      <c r="J146" s="12"/>
    </row>
    <row r="147" spans="1:10" ht="18.75" x14ac:dyDescent="0.3">
      <c r="A147" s="67"/>
      <c r="B147" s="67" t="s">
        <v>152</v>
      </c>
      <c r="C147" s="68">
        <v>70000</v>
      </c>
      <c r="D147" s="2">
        <f t="shared" si="5"/>
        <v>35000</v>
      </c>
      <c r="E147" s="2"/>
      <c r="F147" s="2">
        <f>C147-D147</f>
        <v>35000</v>
      </c>
      <c r="G147" s="60"/>
      <c r="H147" s="12"/>
      <c r="J147" s="12"/>
    </row>
    <row r="148" spans="1:10" ht="18.75" x14ac:dyDescent="0.3">
      <c r="A148" s="67"/>
      <c r="B148" s="67" t="s">
        <v>153</v>
      </c>
      <c r="C148" s="68">
        <v>800000</v>
      </c>
      <c r="D148" s="2">
        <v>300000</v>
      </c>
      <c r="E148" s="2">
        <f>191781.35+24000</f>
        <v>215781.35</v>
      </c>
      <c r="F148" s="2">
        <f t="shared" si="2"/>
        <v>584218.65</v>
      </c>
      <c r="G148" s="60">
        <f t="shared" si="3"/>
        <v>84218.65</v>
      </c>
      <c r="J148" s="12"/>
    </row>
    <row r="149" spans="1:10" ht="18.75" x14ac:dyDescent="0.3">
      <c r="A149" s="67"/>
      <c r="B149" s="67" t="s">
        <v>154</v>
      </c>
      <c r="C149" s="68">
        <v>20000</v>
      </c>
      <c r="D149" s="2">
        <v>5000</v>
      </c>
      <c r="E149" s="2"/>
      <c r="F149" s="2">
        <f t="shared" si="2"/>
        <v>20000</v>
      </c>
      <c r="G149" s="60"/>
      <c r="J149" s="12"/>
    </row>
    <row r="150" spans="1:10" ht="18.75" x14ac:dyDescent="0.3">
      <c r="A150" s="67"/>
      <c r="B150" s="67" t="s">
        <v>102</v>
      </c>
      <c r="C150" s="68">
        <v>15000</v>
      </c>
      <c r="D150" s="2">
        <f t="shared" si="5"/>
        <v>7500</v>
      </c>
      <c r="E150" s="2">
        <v>8933.5</v>
      </c>
      <c r="F150" s="2">
        <f t="shared" si="2"/>
        <v>6066.5</v>
      </c>
      <c r="G150" s="60">
        <f t="shared" si="3"/>
        <v>-1433.5</v>
      </c>
      <c r="J150" s="12"/>
    </row>
    <row r="151" spans="1:10" ht="18.75" x14ac:dyDescent="0.3">
      <c r="A151" s="67"/>
      <c r="B151" s="67" t="s">
        <v>51</v>
      </c>
      <c r="C151" s="68">
        <v>750000</v>
      </c>
      <c r="D151" s="2">
        <v>150000</v>
      </c>
      <c r="E151" s="2">
        <f>63925+2575</f>
        <v>66500</v>
      </c>
      <c r="F151" s="2">
        <f t="shared" si="2"/>
        <v>683500</v>
      </c>
      <c r="G151" s="60">
        <f t="shared" si="3"/>
        <v>83500</v>
      </c>
      <c r="J151" s="12"/>
    </row>
    <row r="152" spans="1:10" ht="18.75" x14ac:dyDescent="0.3">
      <c r="A152" s="67"/>
      <c r="B152" s="67" t="s">
        <v>52</v>
      </c>
      <c r="C152" s="68">
        <v>50000</v>
      </c>
      <c r="D152" s="2">
        <f t="shared" si="5"/>
        <v>25000</v>
      </c>
      <c r="E152" s="2"/>
      <c r="F152" s="2">
        <f t="shared" si="2"/>
        <v>50000</v>
      </c>
      <c r="G152" s="60">
        <f t="shared" si="3"/>
        <v>25000</v>
      </c>
    </row>
    <row r="153" spans="1:10" ht="18.75" x14ac:dyDescent="0.3">
      <c r="A153" s="67"/>
      <c r="B153" s="67" t="s">
        <v>184</v>
      </c>
      <c r="C153" s="68">
        <v>200000</v>
      </c>
      <c r="D153" s="2">
        <f t="shared" si="5"/>
        <v>100000</v>
      </c>
      <c r="E153" s="2"/>
      <c r="F153" s="2">
        <f t="shared" si="2"/>
        <v>200000</v>
      </c>
      <c r="G153" s="60">
        <f t="shared" si="3"/>
        <v>100000</v>
      </c>
    </row>
    <row r="154" spans="1:10" ht="18.75" x14ac:dyDescent="0.3">
      <c r="A154" s="67"/>
      <c r="B154" s="67" t="s">
        <v>155</v>
      </c>
      <c r="C154" s="68">
        <v>40247.599999999999</v>
      </c>
      <c r="D154" s="2">
        <v>10000</v>
      </c>
      <c r="E154" s="2"/>
      <c r="F154" s="2">
        <f t="shared" si="2"/>
        <v>40247.599999999999</v>
      </c>
      <c r="G154" s="60">
        <f t="shared" si="3"/>
        <v>10000</v>
      </c>
    </row>
    <row r="155" spans="1:10" ht="18.75" x14ac:dyDescent="0.3">
      <c r="A155" s="67"/>
      <c r="B155" s="67" t="s">
        <v>180</v>
      </c>
      <c r="C155" s="68">
        <v>400000</v>
      </c>
      <c r="D155" s="2"/>
      <c r="E155" s="2"/>
      <c r="F155" s="2">
        <f t="shared" si="2"/>
        <v>400000</v>
      </c>
      <c r="G155" s="60"/>
    </row>
    <row r="156" spans="1:10" ht="18.75" x14ac:dyDescent="0.3">
      <c r="A156" s="67"/>
      <c r="B156" s="67" t="s">
        <v>104</v>
      </c>
      <c r="C156" s="68">
        <v>700000</v>
      </c>
      <c r="D156" s="2">
        <f>C156/2</f>
        <v>350000</v>
      </c>
      <c r="E156" s="2">
        <v>388202</v>
      </c>
      <c r="F156" s="2">
        <f t="shared" si="2"/>
        <v>311798</v>
      </c>
      <c r="G156" s="60">
        <f t="shared" si="3"/>
        <v>-38202</v>
      </c>
    </row>
    <row r="157" spans="1:10" ht="18.75" x14ac:dyDescent="0.3">
      <c r="A157" s="71"/>
      <c r="B157" s="71"/>
      <c r="C157" s="72"/>
      <c r="D157" s="6"/>
      <c r="E157" s="6"/>
      <c r="F157" s="2"/>
      <c r="G157" s="60">
        <f t="shared" si="3"/>
        <v>0</v>
      </c>
    </row>
    <row r="158" spans="1:10" ht="18.75" x14ac:dyDescent="0.3">
      <c r="A158" s="73"/>
      <c r="B158" s="74" t="s">
        <v>27</v>
      </c>
      <c r="C158" s="75">
        <f>SUM(C128:C157)</f>
        <v>7265247.5999999996</v>
      </c>
      <c r="D158" s="8">
        <f>SUM(D128:D157)</f>
        <v>3040000</v>
      </c>
      <c r="E158" s="8">
        <f>SUM(E128:E157)</f>
        <v>2793372.2</v>
      </c>
      <c r="F158" s="8">
        <f>SUM(F128:F157)</f>
        <v>3439740.83</v>
      </c>
      <c r="G158" s="61">
        <f>SUM(G128:G157)</f>
        <v>37180.649999999994</v>
      </c>
    </row>
    <row r="159" spans="1:10" x14ac:dyDescent="0.25">
      <c r="C159" s="7"/>
    </row>
    <row r="160" spans="1:10" x14ac:dyDescent="0.25">
      <c r="C160" s="14"/>
    </row>
    <row r="161" spans="1:9" x14ac:dyDescent="0.25">
      <c r="C161" s="14"/>
    </row>
    <row r="163" spans="1:9" x14ac:dyDescent="0.25">
      <c r="A163" s="13" t="s">
        <v>0</v>
      </c>
      <c r="B163" s="36"/>
      <c r="C163" s="10"/>
      <c r="D163" s="10"/>
      <c r="E163" s="10"/>
      <c r="F163" s="10"/>
      <c r="G163" s="10"/>
    </row>
    <row r="164" spans="1:9" x14ac:dyDescent="0.25">
      <c r="A164" s="13" t="s">
        <v>1</v>
      </c>
      <c r="B164" s="36"/>
      <c r="C164" s="10"/>
      <c r="D164" s="10"/>
      <c r="E164" s="10"/>
      <c r="F164" s="10"/>
      <c r="G164" s="10"/>
    </row>
    <row r="165" spans="1:9" x14ac:dyDescent="0.25">
      <c r="A165" s="13" t="s">
        <v>2</v>
      </c>
      <c r="B165" s="36"/>
      <c r="C165" s="10"/>
      <c r="D165" s="10"/>
      <c r="E165" s="10"/>
      <c r="F165" s="10"/>
      <c r="G165" s="10"/>
    </row>
    <row r="166" spans="1:9" x14ac:dyDescent="0.25">
      <c r="A166" s="24" t="s">
        <v>187</v>
      </c>
      <c r="B166" s="36"/>
      <c r="C166" s="10"/>
      <c r="D166" s="10"/>
      <c r="E166" s="10"/>
      <c r="F166" s="10"/>
      <c r="G166" s="10"/>
    </row>
    <row r="167" spans="1:9" x14ac:dyDescent="0.25">
      <c r="A167" s="35"/>
      <c r="B167" s="36"/>
      <c r="C167" s="10"/>
      <c r="D167" s="10"/>
      <c r="E167" s="10"/>
      <c r="F167" s="10"/>
      <c r="G167" s="10"/>
    </row>
    <row r="168" spans="1:9" x14ac:dyDescent="0.25">
      <c r="A168" s="88" t="s">
        <v>3</v>
      </c>
      <c r="B168" s="88" t="s">
        <v>4</v>
      </c>
      <c r="C168" s="88" t="s">
        <v>5</v>
      </c>
      <c r="D168" s="88" t="s">
        <v>6</v>
      </c>
      <c r="E168" s="88" t="s">
        <v>7</v>
      </c>
      <c r="F168" s="15" t="s">
        <v>8</v>
      </c>
      <c r="G168" s="15" t="s">
        <v>8</v>
      </c>
    </row>
    <row r="169" spans="1:9" x14ac:dyDescent="0.25">
      <c r="A169" s="89"/>
      <c r="B169" s="89"/>
      <c r="C169" s="89"/>
      <c r="D169" s="89"/>
      <c r="E169" s="89"/>
      <c r="F169" s="16" t="s">
        <v>5</v>
      </c>
      <c r="G169" s="16" t="s">
        <v>6</v>
      </c>
    </row>
    <row r="170" spans="1:9" x14ac:dyDescent="0.25">
      <c r="A170" s="17"/>
      <c r="B170" s="17"/>
      <c r="C170" s="17"/>
      <c r="D170" s="17"/>
      <c r="E170" s="17"/>
      <c r="F170" s="17"/>
      <c r="G170" s="17"/>
    </row>
    <row r="171" spans="1:9" x14ac:dyDescent="0.25">
      <c r="A171" s="18"/>
      <c r="B171" s="28" t="s">
        <v>53</v>
      </c>
      <c r="C171" s="18"/>
      <c r="D171" s="18"/>
      <c r="E171" s="18"/>
      <c r="F171" s="18"/>
      <c r="G171" s="63"/>
    </row>
    <row r="172" spans="1:9" x14ac:dyDescent="0.25">
      <c r="A172" s="18"/>
      <c r="B172" s="29" t="s">
        <v>11</v>
      </c>
      <c r="C172" s="2"/>
      <c r="D172" s="2"/>
      <c r="E172" s="2"/>
      <c r="F172" s="2"/>
      <c r="G172" s="64"/>
    </row>
    <row r="173" spans="1:9" x14ac:dyDescent="0.25">
      <c r="A173" s="18"/>
      <c r="B173" s="4" t="s">
        <v>58</v>
      </c>
      <c r="C173" s="2">
        <v>320000</v>
      </c>
      <c r="D173" s="2">
        <v>320000</v>
      </c>
      <c r="E173" s="54">
        <f>281208.63+5055.77</f>
        <v>286264.40000000002</v>
      </c>
      <c r="F173" s="2">
        <f t="shared" ref="F173:F187" si="6">C173-E173</f>
        <v>33735.599999999977</v>
      </c>
      <c r="G173" s="2">
        <f t="shared" ref="G173:G187" si="7">D173-E173</f>
        <v>33735.599999999977</v>
      </c>
    </row>
    <row r="174" spans="1:9" x14ac:dyDescent="0.25">
      <c r="A174" s="18"/>
      <c r="B174" s="4" t="s">
        <v>59</v>
      </c>
      <c r="C174" s="2">
        <v>1060000</v>
      </c>
      <c r="D174" s="2">
        <f>C174/2</f>
        <v>530000</v>
      </c>
      <c r="E174" s="11">
        <f>504000+126000</f>
        <v>630000</v>
      </c>
      <c r="F174" s="2">
        <f t="shared" si="6"/>
        <v>430000</v>
      </c>
      <c r="G174" s="2">
        <f t="shared" si="7"/>
        <v>-100000</v>
      </c>
      <c r="I174" s="14">
        <f>E174*12</f>
        <v>7560000</v>
      </c>
    </row>
    <row r="175" spans="1:9" x14ac:dyDescent="0.25">
      <c r="A175" s="18"/>
      <c r="B175" s="29" t="s">
        <v>12</v>
      </c>
      <c r="C175" s="2"/>
      <c r="D175" s="2"/>
      <c r="E175" s="2"/>
      <c r="F175" s="2">
        <f t="shared" si="6"/>
        <v>0</v>
      </c>
      <c r="G175" s="2">
        <f t="shared" si="7"/>
        <v>0</v>
      </c>
    </row>
    <row r="176" spans="1:9" x14ac:dyDescent="0.25">
      <c r="A176" s="18"/>
      <c r="B176" s="4" t="s">
        <v>54</v>
      </c>
      <c r="C176" s="2">
        <v>2176195.09</v>
      </c>
      <c r="D176" s="2">
        <v>761294</v>
      </c>
      <c r="E176" s="11">
        <f>632969.34+21260</f>
        <v>654229.34</v>
      </c>
      <c r="F176" s="2">
        <f t="shared" si="6"/>
        <v>1521965.75</v>
      </c>
      <c r="G176" s="2">
        <f t="shared" si="7"/>
        <v>107064.66000000003</v>
      </c>
      <c r="I176" s="14">
        <f>C176/4</f>
        <v>544048.77249999996</v>
      </c>
    </row>
    <row r="177" spans="1:7" x14ac:dyDescent="0.25">
      <c r="A177" s="18"/>
      <c r="B177" s="4" t="s">
        <v>55</v>
      </c>
      <c r="C177" s="2">
        <v>15000</v>
      </c>
      <c r="D177" s="2"/>
      <c r="E177" s="2"/>
      <c r="F177" s="2">
        <f t="shared" si="6"/>
        <v>15000</v>
      </c>
      <c r="G177" s="2">
        <f t="shared" si="7"/>
        <v>0</v>
      </c>
    </row>
    <row r="178" spans="1:7" x14ac:dyDescent="0.25">
      <c r="A178" s="18"/>
      <c r="B178" s="4" t="s">
        <v>56</v>
      </c>
      <c r="C178" s="2">
        <v>20000</v>
      </c>
      <c r="D178" s="2">
        <f>C178/2</f>
        <v>10000</v>
      </c>
      <c r="E178" s="11">
        <v>5000</v>
      </c>
      <c r="F178" s="2">
        <f t="shared" si="6"/>
        <v>15000</v>
      </c>
      <c r="G178" s="2">
        <f t="shared" si="7"/>
        <v>5000</v>
      </c>
    </row>
    <row r="179" spans="1:7" x14ac:dyDescent="0.25">
      <c r="A179" s="18"/>
      <c r="B179" s="4" t="s">
        <v>175</v>
      </c>
      <c r="C179" s="2">
        <v>2176195.09</v>
      </c>
      <c r="D179" s="2">
        <v>761294</v>
      </c>
      <c r="E179" s="11">
        <f>590410.93+30953</f>
        <v>621363.93000000005</v>
      </c>
      <c r="F179" s="2">
        <f t="shared" si="6"/>
        <v>1554831.1599999997</v>
      </c>
      <c r="G179" s="2">
        <f t="shared" si="7"/>
        <v>139930.06999999995</v>
      </c>
    </row>
    <row r="180" spans="1:7" x14ac:dyDescent="0.25">
      <c r="A180" s="18"/>
      <c r="B180" s="4" t="s">
        <v>176</v>
      </c>
      <c r="C180" s="2">
        <v>435239.01</v>
      </c>
      <c r="D180" s="2">
        <v>152258</v>
      </c>
      <c r="E180" s="11">
        <v>48000</v>
      </c>
      <c r="F180" s="2"/>
      <c r="G180" s="2"/>
    </row>
    <row r="181" spans="1:7" x14ac:dyDescent="0.25">
      <c r="A181" s="18"/>
      <c r="B181" s="58" t="s">
        <v>177</v>
      </c>
      <c r="C181" s="2">
        <v>363262.38</v>
      </c>
      <c r="D181" s="2">
        <v>152258</v>
      </c>
      <c r="E181" s="2">
        <v>70634</v>
      </c>
      <c r="F181" s="2">
        <f t="shared" si="6"/>
        <v>292628.38</v>
      </c>
      <c r="G181" s="2">
        <f t="shared" si="7"/>
        <v>81624</v>
      </c>
    </row>
    <row r="182" spans="1:7" x14ac:dyDescent="0.25">
      <c r="A182" s="18"/>
      <c r="B182" s="4" t="s">
        <v>178</v>
      </c>
      <c r="C182" s="2">
        <v>100172.48</v>
      </c>
      <c r="D182" s="2">
        <f>C182</f>
        <v>100172.48</v>
      </c>
      <c r="E182" s="11">
        <v>67160</v>
      </c>
      <c r="F182" s="2">
        <f t="shared" si="6"/>
        <v>33012.479999999996</v>
      </c>
      <c r="G182" s="2">
        <f t="shared" si="7"/>
        <v>33012.479999999996</v>
      </c>
    </row>
    <row r="183" spans="1:7" x14ac:dyDescent="0.25">
      <c r="A183" s="18"/>
      <c r="B183" s="4" t="s">
        <v>113</v>
      </c>
      <c r="C183" s="2">
        <v>150000</v>
      </c>
      <c r="D183" s="2">
        <f>C183/2</f>
        <v>75000</v>
      </c>
      <c r="E183" s="11">
        <f>75325+5105</f>
        <v>80430</v>
      </c>
      <c r="F183" s="2"/>
      <c r="G183" s="2"/>
    </row>
    <row r="184" spans="1:7" x14ac:dyDescent="0.25">
      <c r="A184" s="18"/>
      <c r="B184" s="29" t="s">
        <v>13</v>
      </c>
      <c r="C184" s="2"/>
      <c r="D184" s="2"/>
      <c r="E184" s="2"/>
      <c r="F184" s="2">
        <f t="shared" si="6"/>
        <v>0</v>
      </c>
      <c r="G184" s="2">
        <f t="shared" si="7"/>
        <v>0</v>
      </c>
    </row>
    <row r="185" spans="1:7" x14ac:dyDescent="0.25">
      <c r="A185" s="18"/>
      <c r="B185" s="4" t="s">
        <v>159</v>
      </c>
      <c r="C185" s="2">
        <v>500000</v>
      </c>
      <c r="D185" s="2">
        <f>C185</f>
        <v>500000</v>
      </c>
      <c r="E185" s="11">
        <f>20189+8760</f>
        <v>28949</v>
      </c>
      <c r="F185" s="2">
        <f t="shared" si="6"/>
        <v>471051</v>
      </c>
      <c r="G185" s="2">
        <f t="shared" si="7"/>
        <v>471051</v>
      </c>
    </row>
    <row r="186" spans="1:7" x14ac:dyDescent="0.25">
      <c r="A186" s="18"/>
      <c r="B186" s="4" t="s">
        <v>62</v>
      </c>
      <c r="C186" s="2"/>
      <c r="D186" s="2"/>
      <c r="E186" s="2"/>
      <c r="F186" s="2">
        <f t="shared" si="6"/>
        <v>0</v>
      </c>
      <c r="G186" s="2">
        <f t="shared" si="7"/>
        <v>0</v>
      </c>
    </row>
    <row r="187" spans="1:7" x14ac:dyDescent="0.25">
      <c r="A187" s="18"/>
      <c r="B187" s="5" t="s">
        <v>63</v>
      </c>
      <c r="C187" s="2">
        <v>1600000</v>
      </c>
      <c r="D187" s="2">
        <f>C187</f>
        <v>1600000</v>
      </c>
      <c r="E187" s="11">
        <v>1564814.07</v>
      </c>
      <c r="F187" s="2">
        <f t="shared" si="6"/>
        <v>35185.929999999935</v>
      </c>
      <c r="G187" s="2">
        <f t="shared" si="7"/>
        <v>35185.929999999935</v>
      </c>
    </row>
    <row r="188" spans="1:7" x14ac:dyDescent="0.25">
      <c r="A188" s="18"/>
      <c r="B188" s="4"/>
      <c r="C188" s="2"/>
      <c r="D188" s="2">
        <f>C188</f>
        <v>0</v>
      </c>
      <c r="E188" s="2"/>
      <c r="F188" s="2"/>
      <c r="G188" s="2"/>
    </row>
    <row r="189" spans="1:7" x14ac:dyDescent="0.25">
      <c r="A189" s="18"/>
      <c r="B189" s="41" t="s">
        <v>27</v>
      </c>
      <c r="C189" s="8">
        <f>SUM(C173:C188)</f>
        <v>8916064.0500000007</v>
      </c>
      <c r="D189" s="8">
        <f>SUM(D173:D188)</f>
        <v>4962276.4800000004</v>
      </c>
      <c r="E189" s="8">
        <f>SUM(E173:E188)</f>
        <v>4056844.74</v>
      </c>
      <c r="F189" s="8">
        <f>SUM(F173:F188)</f>
        <v>4402410.2999999989</v>
      </c>
      <c r="G189" s="8">
        <f>SUM(G173:G188)</f>
        <v>806603.73999999987</v>
      </c>
    </row>
    <row r="190" spans="1:7" ht="15.75" thickBot="1" x14ac:dyDescent="0.3">
      <c r="A190" s="42"/>
      <c r="B190" s="43" t="s">
        <v>64</v>
      </c>
      <c r="C190" s="20">
        <f>C189+C158+C115+C108+C101+C94+C87+C80+C73+C57+C50+C43+C36+C29+C22+C15</f>
        <v>43523901.710000001</v>
      </c>
      <c r="D190" s="20">
        <f>D189+D158+D115+D108+D101+D94+D87+D80+D73+D57+D50+D43+D36+D29+D22+D15</f>
        <v>21666071.510000002</v>
      </c>
      <c r="E190" s="20">
        <f>E189+E158+E115+E108+E101+E94+E87+E80+E73+E57+E50+E43+E36+E29+E22+E15</f>
        <v>17786901.419999994</v>
      </c>
      <c r="F190" s="20">
        <f>F189+F158+F115+F108+F101+F94+F87+F80+F73+F57+F50+F43+F36+F29+F22+F15</f>
        <v>24223056.710000001</v>
      </c>
      <c r="G190" s="20">
        <f>G189+G158+G115+G108+G101+G94+G87+G80+G73+G57+G50+G43+G36+G29+G22+G15</f>
        <v>3570894.9400000004</v>
      </c>
    </row>
    <row r="191" spans="1:7" ht="15.75" thickTop="1" x14ac:dyDescent="0.25">
      <c r="C191" s="12"/>
      <c r="D191" s="12"/>
      <c r="E191" s="12"/>
      <c r="F191" s="12"/>
      <c r="G191" s="12"/>
    </row>
    <row r="192" spans="1:7" x14ac:dyDescent="0.25">
      <c r="B192" s="13" t="s">
        <v>65</v>
      </c>
      <c r="C192" s="12"/>
      <c r="D192" s="12"/>
      <c r="E192" s="12"/>
      <c r="F192" s="12"/>
      <c r="G192" s="12"/>
    </row>
    <row r="193" spans="2:12" x14ac:dyDescent="0.25">
      <c r="C193" s="12"/>
      <c r="D193" s="12">
        <f>D173+D174+D178+D182+D183+D185+D187</f>
        <v>3135172.48</v>
      </c>
      <c r="E193" s="12">
        <f>E173+E174+E178+E182+E183+E185+E187</f>
        <v>2662617.4699999997</v>
      </c>
      <c r="F193" s="12" t="s">
        <v>186</v>
      </c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B195" s="44" t="s">
        <v>66</v>
      </c>
      <c r="C195" s="12"/>
      <c r="D195" s="12"/>
      <c r="F195" s="12"/>
      <c r="G195" s="12"/>
    </row>
    <row r="196" spans="2:12" x14ac:dyDescent="0.25">
      <c r="B196" s="13" t="s">
        <v>67</v>
      </c>
    </row>
    <row r="200" spans="2:12" x14ac:dyDescent="0.25">
      <c r="C200" s="12"/>
      <c r="D200" s="90" t="s">
        <v>164</v>
      </c>
      <c r="E200" s="90"/>
      <c r="F200" s="12"/>
      <c r="G200" s="12"/>
    </row>
    <row r="201" spans="2:12" x14ac:dyDescent="0.25">
      <c r="C201" s="12"/>
      <c r="D201" s="12" t="s">
        <v>162</v>
      </c>
      <c r="E201" s="12" t="s">
        <v>163</v>
      </c>
      <c r="F201" s="12"/>
      <c r="G201" s="12"/>
      <c r="H201" s="57">
        <v>0.8</v>
      </c>
      <c r="I201" s="12">
        <v>2159415</v>
      </c>
      <c r="L201" s="13">
        <f>20*20</f>
        <v>400</v>
      </c>
    </row>
    <row r="202" spans="2:12" x14ac:dyDescent="0.25">
      <c r="C202" s="12" t="s">
        <v>160</v>
      </c>
      <c r="D202" s="12">
        <f>5518028.2+D46</f>
        <v>6044700.4299999997</v>
      </c>
      <c r="E202" s="12">
        <v>1646631.99</v>
      </c>
      <c r="F202" s="12"/>
      <c r="G202" s="12"/>
      <c r="H202" s="57">
        <v>0.2</v>
      </c>
      <c r="I202" s="12">
        <v>539854</v>
      </c>
      <c r="L202" s="13">
        <f>15*20</f>
        <v>300</v>
      </c>
    </row>
    <row r="203" spans="2:12" x14ac:dyDescent="0.25">
      <c r="C203" s="12" t="s">
        <v>161</v>
      </c>
      <c r="D203" s="12">
        <f>D190-D202</f>
        <v>15621371.080000002</v>
      </c>
      <c r="E203" s="12">
        <v>130701.19</v>
      </c>
      <c r="F203" s="12"/>
      <c r="G203" s="12"/>
      <c r="I203" s="12"/>
    </row>
    <row r="204" spans="2:12" x14ac:dyDescent="0.25">
      <c r="C204" s="56">
        <v>0.2</v>
      </c>
      <c r="D204" s="12"/>
      <c r="E204" s="12">
        <v>133869.85</v>
      </c>
      <c r="F204" s="12"/>
      <c r="G204" s="12"/>
      <c r="I204" s="12"/>
      <c r="L204" s="13">
        <f>SUM(L201:L203)</f>
        <v>700</v>
      </c>
    </row>
    <row r="205" spans="2:12" x14ac:dyDescent="0.25">
      <c r="C205" s="56">
        <v>0.05</v>
      </c>
      <c r="D205" s="12">
        <v>404890.34</v>
      </c>
      <c r="E205" s="12">
        <v>14850</v>
      </c>
      <c r="F205" s="12"/>
      <c r="G205" s="12"/>
      <c r="I205" s="12">
        <f>SUM(I201:I204)</f>
        <v>2699269</v>
      </c>
    </row>
    <row r="206" spans="2:12" x14ac:dyDescent="0.25">
      <c r="C206" s="12" t="s">
        <v>120</v>
      </c>
      <c r="D206" s="12"/>
      <c r="E206" s="12">
        <v>7200</v>
      </c>
      <c r="F206" s="12"/>
      <c r="G206" s="12">
        <f>I205-E190</f>
        <v>-15087632.419999994</v>
      </c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F208" s="12"/>
      <c r="G208" s="12"/>
      <c r="I208" s="12"/>
    </row>
    <row r="209" spans="3:9" x14ac:dyDescent="0.25">
      <c r="C209" s="12" t="s">
        <v>143</v>
      </c>
      <c r="D209" s="12">
        <f>SUM(D202:D208)</f>
        <v>22070961.850000001</v>
      </c>
      <c r="E209" s="12">
        <f>SUM(E202:E207)</f>
        <v>1933253.03</v>
      </c>
      <c r="F209" s="12"/>
      <c r="G209" s="12"/>
      <c r="I209" s="12"/>
    </row>
    <row r="210" spans="3:9" x14ac:dyDescent="0.25">
      <c r="C210" s="12"/>
      <c r="D210" s="12"/>
      <c r="E210" s="12">
        <f>E190-E209</f>
        <v>15853648.389999995</v>
      </c>
      <c r="F210" s="12"/>
      <c r="G210" s="12"/>
      <c r="I210" s="12"/>
    </row>
    <row r="211" spans="3:9" x14ac:dyDescent="0.25">
      <c r="C211" s="12"/>
      <c r="D211" s="12">
        <f>32391227</f>
        <v>32391227</v>
      </c>
      <c r="E211" s="12">
        <f>E209-E190</f>
        <v>-15853648.389999995</v>
      </c>
      <c r="F211" s="12"/>
      <c r="G211" s="12"/>
      <c r="I211" s="12"/>
    </row>
    <row r="212" spans="3:9" x14ac:dyDescent="0.25">
      <c r="C212" s="12"/>
      <c r="D212" s="12">
        <f>D211*5%</f>
        <v>1619561.35</v>
      </c>
      <c r="E212" s="12"/>
      <c r="F212" s="12"/>
      <c r="G212" s="12"/>
    </row>
    <row r="213" spans="3:9" x14ac:dyDescent="0.25">
      <c r="C213" s="12"/>
      <c r="D213" s="12">
        <f>D212/4</f>
        <v>404890.33750000002</v>
      </c>
      <c r="E213" s="12">
        <f>E173+E174</f>
        <v>916264.4</v>
      </c>
      <c r="F213" s="12"/>
      <c r="G213" s="12"/>
    </row>
    <row r="214" spans="3:9" x14ac:dyDescent="0.25">
      <c r="C214" s="12"/>
      <c r="D214" s="12"/>
      <c r="E214" s="12"/>
      <c r="F214" s="12"/>
      <c r="G214" s="12"/>
    </row>
    <row r="215" spans="3:9" x14ac:dyDescent="0.25">
      <c r="C215" s="12"/>
      <c r="D215" s="12"/>
      <c r="E215" s="12">
        <f>E202+E203</f>
        <v>1777333.18</v>
      </c>
      <c r="F215" s="12"/>
      <c r="G215" s="12"/>
    </row>
    <row r="216" spans="3:9" x14ac:dyDescent="0.25">
      <c r="C216" s="12"/>
      <c r="D216" s="12"/>
      <c r="E216" s="12"/>
      <c r="F216" s="12"/>
      <c r="G216" s="12"/>
    </row>
    <row r="217" spans="3:9" x14ac:dyDescent="0.25">
      <c r="C217" s="12"/>
      <c r="D217" s="12"/>
      <c r="E217" s="12"/>
      <c r="F217" s="12"/>
      <c r="G217" s="12"/>
    </row>
    <row r="218" spans="3:9" x14ac:dyDescent="0.25">
      <c r="C218" s="12"/>
      <c r="D218" s="12"/>
      <c r="E218" s="12"/>
      <c r="F218" s="12"/>
      <c r="G218" s="12"/>
    </row>
    <row r="219" spans="3:9" x14ac:dyDescent="0.25">
      <c r="C219" s="12"/>
      <c r="D219" s="12"/>
      <c r="E219" s="12"/>
      <c r="F219" s="12"/>
      <c r="G219" s="12"/>
    </row>
    <row r="220" spans="3:9" x14ac:dyDescent="0.25">
      <c r="C220" s="12"/>
      <c r="D220" s="12"/>
      <c r="E220" s="12"/>
      <c r="F220" s="12"/>
      <c r="G220" s="12"/>
    </row>
    <row r="221" spans="3:9" x14ac:dyDescent="0.25">
      <c r="C221" s="12"/>
      <c r="D221" s="12"/>
      <c r="E221" s="12"/>
      <c r="F221" s="12"/>
      <c r="G221" s="12"/>
    </row>
    <row r="222" spans="3:9" x14ac:dyDescent="0.25">
      <c r="C222" s="12"/>
      <c r="D222" s="12"/>
      <c r="E222" s="12"/>
      <c r="F222" s="12"/>
      <c r="G222" s="12"/>
    </row>
    <row r="223" spans="3:9" x14ac:dyDescent="0.25">
      <c r="C223" s="12"/>
      <c r="D223" s="12"/>
      <c r="E223" s="12"/>
      <c r="F223" s="12"/>
      <c r="G223" s="12"/>
    </row>
    <row r="224" spans="3:9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>
        <f>20*25</f>
        <v>500</v>
      </c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</sheetData>
  <mergeCells count="21"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  <mergeCell ref="A125:A126"/>
    <mergeCell ref="B125:B126"/>
    <mergeCell ref="C125:C126"/>
    <mergeCell ref="D125:D126"/>
    <mergeCell ref="E125:E126"/>
    <mergeCell ref="D200:E200"/>
    <mergeCell ref="A168:A169"/>
    <mergeCell ref="B168:B169"/>
    <mergeCell ref="C168:C169"/>
    <mergeCell ref="D168:D169"/>
    <mergeCell ref="E168:E1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"/>
  <sheetViews>
    <sheetView zoomScale="140" zoomScaleNormal="140" workbookViewId="0">
      <selection activeCell="E11" sqref="E11"/>
    </sheetView>
  </sheetViews>
  <sheetFormatPr defaultRowHeight="15" x14ac:dyDescent="0.25"/>
  <cols>
    <col min="1" max="1" width="7.5703125" style="13" customWidth="1"/>
    <col min="2" max="2" width="41.42578125" style="13" customWidth="1"/>
    <col min="3" max="3" width="17.28515625" style="13" customWidth="1"/>
    <col min="4" max="4" width="15" style="13" bestFit="1" customWidth="1"/>
    <col min="5" max="5" width="15.140625" style="13" customWidth="1"/>
    <col min="6" max="6" width="16.28515625" style="13" customWidth="1"/>
    <col min="7" max="7" width="14.28515625" style="13" customWidth="1"/>
    <col min="8" max="8" width="9.140625" style="13"/>
    <col min="9" max="9" width="15.140625" style="13" customWidth="1"/>
    <col min="10" max="10" width="13.28515625" style="13" bestFit="1" customWidth="1"/>
    <col min="11" max="11" width="9.140625" style="13"/>
    <col min="12" max="12" width="10.85546875" style="13" bestFit="1" customWidth="1"/>
    <col min="13" max="13" width="12" style="13" bestFit="1" customWidth="1"/>
    <col min="14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188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A5" s="13" t="s">
        <v>156</v>
      </c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1729926.98</v>
      </c>
      <c r="D11" s="2">
        <f>C11/2</f>
        <v>864963.49</v>
      </c>
      <c r="E11" s="11">
        <v>735313.7</v>
      </c>
      <c r="F11" s="2">
        <f>C11-E11</f>
        <v>994613.28</v>
      </c>
      <c r="G11" s="60">
        <f>D11-E11</f>
        <v>129649.79000000004</v>
      </c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1097980.6200000001</v>
      </c>
      <c r="D12" s="2">
        <f>C12*0.7</f>
        <v>768586.43400000001</v>
      </c>
      <c r="E12" s="54">
        <v>881389.07</v>
      </c>
      <c r="F12" s="2">
        <f t="shared" ref="F12:F13" si="0">C12-E12</f>
        <v>216591.55000000016</v>
      </c>
      <c r="G12" s="60">
        <f t="shared" ref="G12:G13" si="1">D12-E12</f>
        <v>-112802.63599999994</v>
      </c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/>
      <c r="D13" s="2"/>
      <c r="E13" s="2"/>
      <c r="F13" s="2">
        <f t="shared" si="0"/>
        <v>0</v>
      </c>
      <c r="G13" s="60">
        <f t="shared" si="1"/>
        <v>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60"/>
      <c r="I14" s="12">
        <f>17.88*44</f>
        <v>786.71999999999991</v>
      </c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2827907.6</v>
      </c>
      <c r="D15" s="8">
        <f>SUM(D11:D14)</f>
        <v>1633549.9240000001</v>
      </c>
      <c r="E15" s="8">
        <f>SUM(E11:E14)</f>
        <v>1616702.77</v>
      </c>
      <c r="F15" s="8">
        <f>SUM(F11:F14)</f>
        <v>1211204.83</v>
      </c>
      <c r="G15" s="61">
        <f>SUM(G11:G14)</f>
        <v>16847.154000000097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60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60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8408321.4000000004</v>
      </c>
      <c r="D18" s="2">
        <f>C18/2</f>
        <v>4204160.7</v>
      </c>
      <c r="E18" s="11">
        <v>2696044.46</v>
      </c>
      <c r="F18" s="2">
        <f>C18-E18</f>
        <v>5712276.9400000004</v>
      </c>
      <c r="G18" s="60">
        <f>D18-E18</f>
        <v>1508116.2400000002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1075936.3600000001</v>
      </c>
      <c r="D19" s="2">
        <f>C19*0.7</f>
        <v>753155.45200000005</v>
      </c>
      <c r="E19" s="54">
        <v>803432.32</v>
      </c>
      <c r="F19" s="2">
        <f>C19-E19</f>
        <v>272504.04000000015</v>
      </c>
      <c r="G19" s="60">
        <f>D19-E19</f>
        <v>-50276.8679999999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60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60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9484257.7599999998</v>
      </c>
      <c r="D22" s="8">
        <f>SUM(D18:D21)</f>
        <v>4957316.1520000007</v>
      </c>
      <c r="E22" s="8">
        <f>SUM(E18:E21)</f>
        <v>3499476.78</v>
      </c>
      <c r="F22" s="8">
        <f>SUM(F18:F21)</f>
        <v>5984780.9800000004</v>
      </c>
      <c r="G22" s="61">
        <f>SUM(G18:G21)</f>
        <v>1457839.3720000004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60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60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964222.84</v>
      </c>
      <c r="D25" s="2">
        <f>C25/2</f>
        <v>482111.42</v>
      </c>
      <c r="E25" s="11">
        <v>447725.82</v>
      </c>
      <c r="F25" s="2">
        <f>C25-E25</f>
        <v>516497.01999999996</v>
      </c>
      <c r="G25" s="60">
        <f>D25-E25</f>
        <v>34385.599999999977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137532.23000000001</v>
      </c>
      <c r="D26" s="2">
        <f>C26*0.7</f>
        <v>96272.561000000002</v>
      </c>
      <c r="E26" s="54">
        <v>19223.04</v>
      </c>
      <c r="F26" s="2">
        <f>C26-E26</f>
        <v>118309.19</v>
      </c>
      <c r="G26" s="60">
        <f>D26-E26</f>
        <v>77049.521000000008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60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60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1101755.07</v>
      </c>
      <c r="D29" s="8">
        <f>SUM(D25:D28)</f>
        <v>578383.98100000003</v>
      </c>
      <c r="E29" s="8">
        <f>SUM(E25:E28)</f>
        <v>466948.86</v>
      </c>
      <c r="F29" s="8">
        <f>SUM(F25:F28)</f>
        <v>634806.21</v>
      </c>
      <c r="G29" s="61">
        <f>SUM(G25:G28)</f>
        <v>111435.12099999998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60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60"/>
      <c r="L31" s="12"/>
      <c r="M31" s="12">
        <v>2000</v>
      </c>
    </row>
    <row r="32" spans="1:19" x14ac:dyDescent="0.25">
      <c r="A32" s="27"/>
      <c r="B32" s="29" t="s">
        <v>11</v>
      </c>
      <c r="C32" s="2">
        <v>732880.38</v>
      </c>
      <c r="D32" s="2">
        <f>C32/2</f>
        <v>366440.19</v>
      </c>
      <c r="E32" s="11">
        <v>341159.44</v>
      </c>
      <c r="F32" s="2">
        <f>C32-E32</f>
        <v>391720.94</v>
      </c>
      <c r="G32" s="60">
        <f>D32-E32</f>
        <v>25280.75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80878.36</v>
      </c>
      <c r="D33" s="2">
        <f>C33*0.7</f>
        <v>56614.851999999999</v>
      </c>
      <c r="E33" s="54">
        <v>14093.3</v>
      </c>
      <c r="F33" s="2">
        <f>C33-E33</f>
        <v>66785.06</v>
      </c>
      <c r="G33" s="60">
        <f>D33-E33</f>
        <v>42521.551999999996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60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60"/>
      <c r="L35" s="12"/>
    </row>
    <row r="36" spans="1:13" x14ac:dyDescent="0.25">
      <c r="A36" s="27"/>
      <c r="B36" s="30" t="s">
        <v>27</v>
      </c>
      <c r="C36" s="8">
        <f>SUM(C32:C35)</f>
        <v>813758.74</v>
      </c>
      <c r="D36" s="8">
        <f>SUM(D32:D35)</f>
        <v>423055.04200000002</v>
      </c>
      <c r="E36" s="8">
        <f>SUM(E32:E35)</f>
        <v>355252.74</v>
      </c>
      <c r="F36" s="8">
        <f>SUM(F32:F35)</f>
        <v>458506</v>
      </c>
      <c r="G36" s="61">
        <f>SUM(G32:G35)</f>
        <v>67802.301999999996</v>
      </c>
      <c r="L36" s="12"/>
    </row>
    <row r="37" spans="1:13" x14ac:dyDescent="0.25">
      <c r="A37" s="27"/>
      <c r="B37" s="18"/>
      <c r="C37" s="2"/>
      <c r="D37" s="2"/>
      <c r="E37" s="2"/>
      <c r="F37" s="2"/>
      <c r="G37" s="60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60"/>
      <c r="L38" s="12"/>
    </row>
    <row r="39" spans="1:13" x14ac:dyDescent="0.25">
      <c r="A39" s="27"/>
      <c r="B39" s="29" t="s">
        <v>11</v>
      </c>
      <c r="C39" s="2">
        <v>591829.98</v>
      </c>
      <c r="D39" s="2">
        <f>C39/2</f>
        <v>295914.99</v>
      </c>
      <c r="E39" s="11">
        <v>241827.22</v>
      </c>
      <c r="F39" s="2">
        <f>C39-E39</f>
        <v>350002.76</v>
      </c>
      <c r="G39" s="60">
        <f>D39-E39</f>
        <v>54087.76999999999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79403.5</v>
      </c>
      <c r="D40" s="2">
        <f>C40*0.7</f>
        <v>55582.45</v>
      </c>
      <c r="E40" s="54">
        <v>26612</v>
      </c>
      <c r="F40" s="2">
        <f>C40-E40</f>
        <v>52791.5</v>
      </c>
      <c r="G40" s="60">
        <f>D40-E40</f>
        <v>28970.449999999997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60"/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60"/>
    </row>
    <row r="43" spans="1:13" x14ac:dyDescent="0.25">
      <c r="A43" s="27"/>
      <c r="B43" s="30" t="s">
        <v>27</v>
      </c>
      <c r="C43" s="8">
        <f>SUM(C39:C42)</f>
        <v>671233.48</v>
      </c>
      <c r="D43" s="8">
        <f>SUM(D39:D42)</f>
        <v>351497.44</v>
      </c>
      <c r="E43" s="8">
        <f>SUM(E39:E42)</f>
        <v>268439.21999999997</v>
      </c>
      <c r="F43" s="8">
        <f>SUM(F39:F42)</f>
        <v>402794.26</v>
      </c>
      <c r="G43" s="61">
        <f>SUM(G39:G42)</f>
        <v>83058.219999999987</v>
      </c>
    </row>
    <row r="44" spans="1:13" x14ac:dyDescent="0.25">
      <c r="A44" s="27"/>
      <c r="B44" s="18"/>
      <c r="C44" s="2"/>
      <c r="D44" s="2"/>
      <c r="E44" s="2"/>
      <c r="F44" s="2"/>
      <c r="G44" s="60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60"/>
    </row>
    <row r="46" spans="1:13" x14ac:dyDescent="0.25">
      <c r="A46" s="27"/>
      <c r="B46" s="29" t="s">
        <v>11</v>
      </c>
      <c r="C46" s="2">
        <v>1053344.46</v>
      </c>
      <c r="D46" s="2">
        <f>C46/2</f>
        <v>526672.23</v>
      </c>
      <c r="E46" s="11">
        <v>263823.77</v>
      </c>
      <c r="F46" s="2">
        <f>C46-E46</f>
        <v>789520.69</v>
      </c>
      <c r="G46" s="60">
        <f>D46-E46</f>
        <v>262848.45999999996</v>
      </c>
    </row>
    <row r="47" spans="1:13" x14ac:dyDescent="0.25">
      <c r="A47" s="27"/>
      <c r="B47" s="29" t="s">
        <v>12</v>
      </c>
      <c r="C47" s="2">
        <v>205007.27</v>
      </c>
      <c r="D47" s="2">
        <f>C47*0.7</f>
        <v>143505.08899999998</v>
      </c>
      <c r="E47" s="54">
        <v>47371</v>
      </c>
      <c r="F47" s="2">
        <f>C47-E47</f>
        <v>157636.26999999999</v>
      </c>
      <c r="G47" s="60">
        <f>D47-E47</f>
        <v>96134.088999999978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60">
        <f>D48-E48</f>
        <v>0</v>
      </c>
      <c r="H48" s="12"/>
    </row>
    <row r="49" spans="1:13" x14ac:dyDescent="0.25">
      <c r="A49" s="27"/>
      <c r="B49" s="29" t="s">
        <v>14</v>
      </c>
      <c r="C49" s="2"/>
      <c r="D49" s="2"/>
      <c r="E49" s="2"/>
      <c r="F49" s="2"/>
      <c r="G49" s="60"/>
      <c r="H49" s="12"/>
    </row>
    <row r="50" spans="1:13" x14ac:dyDescent="0.25">
      <c r="A50" s="27"/>
      <c r="B50" s="30" t="s">
        <v>27</v>
      </c>
      <c r="C50" s="8">
        <f>SUM(C46:C49)</f>
        <v>1258351.73</v>
      </c>
      <c r="D50" s="8">
        <f>SUM(D46:D49)</f>
        <v>670177.3189999999</v>
      </c>
      <c r="E50" s="8">
        <f>SUM(E46:E49)</f>
        <v>311194.77</v>
      </c>
      <c r="F50" s="8">
        <f>SUM(F46:F49)</f>
        <v>947156.96</v>
      </c>
      <c r="G50" s="61">
        <f>SUM(G46:G49)</f>
        <v>358982.54899999994</v>
      </c>
      <c r="H50" s="12"/>
    </row>
    <row r="51" spans="1:13" x14ac:dyDescent="0.25">
      <c r="A51" s="27"/>
      <c r="B51" s="18"/>
      <c r="C51" s="2"/>
      <c r="D51" s="2"/>
      <c r="E51" s="2"/>
      <c r="F51" s="2"/>
      <c r="G51" s="60"/>
      <c r="H51" s="12"/>
    </row>
    <row r="52" spans="1:13" x14ac:dyDescent="0.25">
      <c r="A52" s="27">
        <v>1091</v>
      </c>
      <c r="B52" s="28" t="s">
        <v>19</v>
      </c>
      <c r="C52" s="2"/>
      <c r="D52" s="2"/>
      <c r="E52" s="2"/>
      <c r="F52" s="2"/>
      <c r="G52" s="60"/>
      <c r="H52" s="12"/>
    </row>
    <row r="53" spans="1:13" x14ac:dyDescent="0.25">
      <c r="A53" s="27"/>
      <c r="B53" s="29" t="s">
        <v>11</v>
      </c>
      <c r="C53" s="2">
        <v>1583456.4</v>
      </c>
      <c r="D53" s="2">
        <f>C53/2</f>
        <v>791728.2</v>
      </c>
      <c r="E53" s="11">
        <v>716857.95</v>
      </c>
      <c r="F53" s="2">
        <f>C53-E53</f>
        <v>866598.45</v>
      </c>
      <c r="G53" s="60">
        <f>D53-E53</f>
        <v>74870.25</v>
      </c>
      <c r="H53" s="12"/>
    </row>
    <row r="54" spans="1:13" x14ac:dyDescent="0.25">
      <c r="A54" s="27"/>
      <c r="B54" s="29" t="s">
        <v>12</v>
      </c>
      <c r="C54" s="2">
        <v>321156.95</v>
      </c>
      <c r="D54" s="2">
        <f>C54*0.7</f>
        <v>224809.86499999999</v>
      </c>
      <c r="E54" s="54">
        <v>284022.86</v>
      </c>
      <c r="F54" s="2">
        <f>C54-E54</f>
        <v>37134.090000000026</v>
      </c>
      <c r="G54" s="60">
        <f>D54-E54</f>
        <v>-59212.994999999995</v>
      </c>
      <c r="H54" s="12"/>
    </row>
    <row r="55" spans="1:13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60">
        <f>D55-E55</f>
        <v>0</v>
      </c>
      <c r="H55" s="12"/>
    </row>
    <row r="56" spans="1:13" x14ac:dyDescent="0.25">
      <c r="A56" s="27"/>
      <c r="B56" s="29" t="s">
        <v>14</v>
      </c>
      <c r="C56" s="2"/>
      <c r="D56" s="2"/>
      <c r="E56" s="2"/>
      <c r="F56" s="2"/>
      <c r="G56" s="60"/>
      <c r="H56" s="12"/>
    </row>
    <row r="57" spans="1:13" x14ac:dyDescent="0.25">
      <c r="A57" s="31"/>
      <c r="B57" s="30" t="s">
        <v>27</v>
      </c>
      <c r="C57" s="8">
        <f>SUM(C53:C56)</f>
        <v>1904613.3499999999</v>
      </c>
      <c r="D57" s="8">
        <f>SUM(D53:D56)</f>
        <v>1016538.0649999999</v>
      </c>
      <c r="E57" s="8">
        <f>SUM(E53:E56)</f>
        <v>1000880.8099999999</v>
      </c>
      <c r="F57" s="8">
        <f>SUM(F53:F56)</f>
        <v>903732.54</v>
      </c>
      <c r="G57" s="61">
        <f>SUM(G53:G56)</f>
        <v>15657.255000000005</v>
      </c>
      <c r="H57" s="12"/>
    </row>
    <row r="58" spans="1:13" ht="15.75" thickBot="1" x14ac:dyDescent="0.3">
      <c r="A58" s="32"/>
      <c r="B58" s="33"/>
      <c r="C58" s="9"/>
      <c r="D58" s="9"/>
      <c r="E58" s="9"/>
      <c r="F58" s="9"/>
      <c r="G58" s="62"/>
      <c r="H58" s="12"/>
    </row>
    <row r="59" spans="1:13" x14ac:dyDescent="0.25">
      <c r="A59" s="35"/>
      <c r="B59" s="36"/>
      <c r="C59" s="10"/>
      <c r="D59" s="10"/>
      <c r="E59" s="10">
        <f>E12+E19+E26+E33+E40+E40+E54</f>
        <v>2055384.5899999999</v>
      </c>
      <c r="F59" s="10"/>
      <c r="G59" s="10"/>
      <c r="H59" s="12"/>
    </row>
    <row r="60" spans="1:13" x14ac:dyDescent="0.25">
      <c r="A60" s="13" t="s">
        <v>0</v>
      </c>
      <c r="B60" s="36"/>
      <c r="C60" s="10"/>
      <c r="D60" s="10"/>
      <c r="E60" s="10"/>
      <c r="F60" s="10"/>
      <c r="G60" s="10"/>
      <c r="H60" s="12"/>
    </row>
    <row r="61" spans="1:13" x14ac:dyDescent="0.25">
      <c r="A61" s="13" t="s">
        <v>1</v>
      </c>
      <c r="B61" s="36"/>
      <c r="C61" s="10"/>
      <c r="D61" s="10"/>
      <c r="E61" s="10"/>
      <c r="F61" s="10"/>
      <c r="G61" s="10"/>
      <c r="H61" s="12"/>
    </row>
    <row r="62" spans="1:13" x14ac:dyDescent="0.25">
      <c r="A62" s="13" t="s">
        <v>2</v>
      </c>
      <c r="B62" s="36"/>
      <c r="C62" s="10"/>
      <c r="D62" s="10"/>
      <c r="E62" s="10"/>
      <c r="F62" s="10"/>
      <c r="G62" s="10"/>
      <c r="H62" s="12"/>
      <c r="M62" s="13">
        <v>45000</v>
      </c>
    </row>
    <row r="63" spans="1:13" x14ac:dyDescent="0.25">
      <c r="A63" s="24" t="s">
        <v>188</v>
      </c>
      <c r="B63" s="36"/>
      <c r="C63" s="10"/>
      <c r="D63" s="10"/>
      <c r="E63" s="10"/>
      <c r="F63" s="10"/>
      <c r="G63" s="10"/>
      <c r="H63" s="12"/>
      <c r="M63" s="13">
        <v>15000</v>
      </c>
    </row>
    <row r="64" spans="1:13" x14ac:dyDescent="0.25">
      <c r="A64" s="35"/>
      <c r="B64" s="36"/>
      <c r="C64" s="10"/>
      <c r="D64" s="10"/>
      <c r="E64" s="10"/>
      <c r="F64" s="10"/>
      <c r="G64" s="10"/>
      <c r="H64" s="12"/>
      <c r="M64" s="13">
        <v>40000</v>
      </c>
    </row>
    <row r="65" spans="1:13" x14ac:dyDescent="0.25">
      <c r="A65" s="88" t="s">
        <v>3</v>
      </c>
      <c r="B65" s="88" t="s">
        <v>4</v>
      </c>
      <c r="C65" s="88" t="s">
        <v>5</v>
      </c>
      <c r="D65" s="88" t="s">
        <v>6</v>
      </c>
      <c r="E65" s="88" t="s">
        <v>7</v>
      </c>
      <c r="F65" s="15" t="s">
        <v>8</v>
      </c>
      <c r="G65" s="15" t="s">
        <v>8</v>
      </c>
      <c r="H65" s="12"/>
      <c r="M65" s="13">
        <v>25000</v>
      </c>
    </row>
    <row r="66" spans="1:13" x14ac:dyDescent="0.25">
      <c r="A66" s="89"/>
      <c r="B66" s="89"/>
      <c r="C66" s="89"/>
      <c r="D66" s="89"/>
      <c r="E66" s="89"/>
      <c r="F66" s="16" t="s">
        <v>5</v>
      </c>
      <c r="G66" s="16" t="s">
        <v>6</v>
      </c>
      <c r="H66" s="12"/>
      <c r="M66" s="13">
        <v>45000</v>
      </c>
    </row>
    <row r="67" spans="1:13" x14ac:dyDescent="0.25">
      <c r="A67" s="26"/>
      <c r="B67" s="17"/>
      <c r="C67" s="19"/>
      <c r="D67" s="19"/>
      <c r="E67" s="19"/>
      <c r="F67" s="19"/>
      <c r="G67" s="19"/>
      <c r="H67" s="12"/>
      <c r="M67" s="13">
        <v>40000</v>
      </c>
    </row>
    <row r="68" spans="1:13" x14ac:dyDescent="0.25">
      <c r="A68" s="27">
        <v>1101</v>
      </c>
      <c r="B68" s="28" t="s">
        <v>20</v>
      </c>
      <c r="C68" s="2"/>
      <c r="D68" s="2"/>
      <c r="E68" s="2"/>
      <c r="F68" s="2"/>
      <c r="G68" s="2"/>
      <c r="H68" s="12"/>
      <c r="M68" s="13">
        <v>14000</v>
      </c>
    </row>
    <row r="69" spans="1:13" x14ac:dyDescent="0.25">
      <c r="A69" s="27"/>
      <c r="B69" s="29" t="s">
        <v>11</v>
      </c>
      <c r="C69" s="2">
        <v>757496.84</v>
      </c>
      <c r="D69" s="2">
        <f>C69/2</f>
        <v>378748.42</v>
      </c>
      <c r="E69" s="11">
        <v>318112.53000000003</v>
      </c>
      <c r="F69" s="2">
        <f>C69-E69</f>
        <v>439384.30999999994</v>
      </c>
      <c r="G69" s="60">
        <f>D69-E69</f>
        <v>60635.889999999956</v>
      </c>
      <c r="H69" s="12"/>
      <c r="M69" s="13">
        <f>SUM(M62:M68)</f>
        <v>224000</v>
      </c>
    </row>
    <row r="70" spans="1:13" x14ac:dyDescent="0.25">
      <c r="A70" s="27"/>
      <c r="B70" s="29" t="s">
        <v>12</v>
      </c>
      <c r="C70" s="2">
        <v>112211.77</v>
      </c>
      <c r="D70" s="2">
        <f>C70*0.7</f>
        <v>78548.239000000001</v>
      </c>
      <c r="E70" s="54">
        <v>51284.7</v>
      </c>
      <c r="F70" s="2">
        <f>C70-E70</f>
        <v>60927.070000000007</v>
      </c>
      <c r="G70" s="60">
        <f>D70-E70</f>
        <v>27263.539000000004</v>
      </c>
      <c r="H70" s="12"/>
    </row>
    <row r="71" spans="1:13" x14ac:dyDescent="0.25">
      <c r="A71" s="27"/>
      <c r="B71" s="29" t="s">
        <v>13</v>
      </c>
      <c r="C71" s="2">
        <v>10000</v>
      </c>
      <c r="D71" s="2">
        <f>C71*0.7</f>
        <v>7000</v>
      </c>
      <c r="E71" s="2">
        <v>5800</v>
      </c>
      <c r="F71" s="2">
        <f>C71-E71</f>
        <v>4200</v>
      </c>
      <c r="G71" s="60">
        <f>D71-E71</f>
        <v>1200</v>
      </c>
      <c r="H71" s="12"/>
    </row>
    <row r="72" spans="1:13" x14ac:dyDescent="0.25">
      <c r="A72" s="27"/>
      <c r="B72" s="29" t="s">
        <v>14</v>
      </c>
      <c r="C72" s="2"/>
      <c r="D72" s="2"/>
      <c r="E72" s="2"/>
      <c r="F72" s="2"/>
      <c r="G72" s="60"/>
      <c r="H72" s="12"/>
    </row>
    <row r="73" spans="1:13" x14ac:dyDescent="0.25">
      <c r="A73" s="18"/>
      <c r="B73" s="30" t="s">
        <v>27</v>
      </c>
      <c r="C73" s="8">
        <f>SUM(C69:C72)</f>
        <v>879708.61</v>
      </c>
      <c r="D73" s="8">
        <f>SUM(D69:D72)</f>
        <v>464296.65899999999</v>
      </c>
      <c r="E73" s="8">
        <f>SUM(E69:E72)</f>
        <v>375197.23000000004</v>
      </c>
      <c r="F73" s="8">
        <f>SUM(F69:F72)</f>
        <v>504511.37999999995</v>
      </c>
      <c r="G73" s="61">
        <f>SUM(G69:G72)</f>
        <v>89099.42899999996</v>
      </c>
      <c r="H73" s="12"/>
    </row>
    <row r="74" spans="1:13" x14ac:dyDescent="0.25">
      <c r="A74" s="27"/>
      <c r="B74" s="18"/>
      <c r="C74" s="2"/>
      <c r="D74" s="2"/>
      <c r="E74" s="2"/>
      <c r="F74" s="2"/>
      <c r="G74" s="60"/>
      <c r="H74" s="12"/>
    </row>
    <row r="75" spans="1:13" x14ac:dyDescent="0.25">
      <c r="A75" s="27">
        <v>6544</v>
      </c>
      <c r="B75" s="28" t="s">
        <v>21</v>
      </c>
      <c r="C75" s="18"/>
      <c r="D75" s="2"/>
      <c r="E75" s="2"/>
      <c r="F75" s="2"/>
      <c r="G75" s="60"/>
      <c r="H75" s="12"/>
    </row>
    <row r="76" spans="1:13" x14ac:dyDescent="0.25">
      <c r="A76" s="27"/>
      <c r="B76" s="29" t="s">
        <v>11</v>
      </c>
      <c r="C76" s="2">
        <v>1136593.6000000001</v>
      </c>
      <c r="D76" s="2">
        <f>C76/2</f>
        <v>568296.80000000005</v>
      </c>
      <c r="E76" s="11">
        <v>429271.78</v>
      </c>
      <c r="F76" s="2">
        <f>C76-E76</f>
        <v>707321.82000000007</v>
      </c>
      <c r="G76" s="60">
        <f>D76-E76</f>
        <v>139025.02000000002</v>
      </c>
      <c r="H76" s="12"/>
    </row>
    <row r="77" spans="1:13" x14ac:dyDescent="0.25">
      <c r="A77" s="27"/>
      <c r="B77" s="29" t="s">
        <v>12</v>
      </c>
      <c r="C77" s="2">
        <v>749098.9</v>
      </c>
      <c r="D77" s="2">
        <f>C77*0.7</f>
        <v>524369.23</v>
      </c>
      <c r="E77" s="54">
        <v>539670.48</v>
      </c>
      <c r="F77" s="2">
        <f>C77-E77</f>
        <v>209428.42000000004</v>
      </c>
      <c r="G77" s="60">
        <f>D77-E77</f>
        <v>-15301.25</v>
      </c>
      <c r="H77" s="12"/>
    </row>
    <row r="78" spans="1:13" x14ac:dyDescent="0.25">
      <c r="A78" s="27"/>
      <c r="B78" s="29" t="s">
        <v>13</v>
      </c>
      <c r="C78" s="2"/>
      <c r="D78" s="2"/>
      <c r="E78" s="2"/>
      <c r="F78" s="2"/>
      <c r="G78" s="60"/>
      <c r="H78" s="12"/>
    </row>
    <row r="79" spans="1:13" x14ac:dyDescent="0.25">
      <c r="A79" s="27"/>
      <c r="B79" s="29" t="s">
        <v>14</v>
      </c>
      <c r="C79" s="2"/>
      <c r="D79" s="2"/>
      <c r="E79" s="2"/>
      <c r="F79" s="2"/>
      <c r="G79" s="60"/>
      <c r="H79" s="12"/>
    </row>
    <row r="80" spans="1:13" x14ac:dyDescent="0.25">
      <c r="A80" s="27"/>
      <c r="B80" s="30" t="s">
        <v>27</v>
      </c>
      <c r="C80" s="8">
        <f>SUM(C76:C79)</f>
        <v>1885692.5</v>
      </c>
      <c r="D80" s="8">
        <f>SUM(D76:D79)</f>
        <v>1092666.03</v>
      </c>
      <c r="E80" s="8">
        <f>SUM(E76:E79)</f>
        <v>968942.26</v>
      </c>
      <c r="F80" s="8">
        <f>SUM(F76:F79)</f>
        <v>916750.24000000011</v>
      </c>
      <c r="G80" s="61">
        <f>SUM(G76:G79)</f>
        <v>123723.77000000002</v>
      </c>
      <c r="H80" s="12"/>
    </row>
    <row r="81" spans="1:8" x14ac:dyDescent="0.25">
      <c r="A81" s="27"/>
      <c r="B81" s="18"/>
      <c r="C81" s="2"/>
      <c r="D81" s="2"/>
      <c r="E81" s="2"/>
      <c r="F81" s="2"/>
      <c r="G81" s="60"/>
      <c r="H81" s="12"/>
    </row>
    <row r="82" spans="1:8" x14ac:dyDescent="0.25">
      <c r="A82" s="27">
        <v>4411</v>
      </c>
      <c r="B82" s="28" t="s">
        <v>22</v>
      </c>
      <c r="C82" s="18"/>
      <c r="D82" s="2"/>
      <c r="E82" s="2"/>
      <c r="F82" s="2"/>
      <c r="G82" s="60"/>
      <c r="H82" s="12"/>
    </row>
    <row r="83" spans="1:8" x14ac:dyDescent="0.25">
      <c r="A83" s="27"/>
      <c r="B83" s="29" t="s">
        <v>11</v>
      </c>
      <c r="C83" s="2">
        <v>2920190.6</v>
      </c>
      <c r="D83" s="2">
        <f>C83/2</f>
        <v>1460095.3</v>
      </c>
      <c r="E83" s="11">
        <v>1340328.3799999999</v>
      </c>
      <c r="F83" s="2">
        <f>C83-E83</f>
        <v>1579862.2200000002</v>
      </c>
      <c r="G83" s="60">
        <f>D83-E83</f>
        <v>119766.92000000016</v>
      </c>
      <c r="H83" s="12"/>
    </row>
    <row r="84" spans="1:8" x14ac:dyDescent="0.25">
      <c r="A84" s="27"/>
      <c r="B84" s="29" t="s">
        <v>12</v>
      </c>
      <c r="C84" s="2">
        <v>174898.85</v>
      </c>
      <c r="D84" s="2">
        <f>C84*0.7</f>
        <v>122429.19499999999</v>
      </c>
      <c r="E84" s="54">
        <v>77325.98</v>
      </c>
      <c r="F84" s="2">
        <f>C84-E84</f>
        <v>97572.87000000001</v>
      </c>
      <c r="G84" s="60">
        <f>D84-E84</f>
        <v>45103.214999999997</v>
      </c>
      <c r="H84" s="12"/>
    </row>
    <row r="85" spans="1:8" x14ac:dyDescent="0.25">
      <c r="A85" s="27"/>
      <c r="B85" s="29" t="s">
        <v>13</v>
      </c>
      <c r="C85" s="2"/>
      <c r="D85" s="2"/>
      <c r="E85" s="2"/>
      <c r="F85" s="2"/>
      <c r="G85" s="60"/>
      <c r="H85" s="12"/>
    </row>
    <row r="86" spans="1:8" x14ac:dyDescent="0.25">
      <c r="A86" s="27"/>
      <c r="B86" s="29" t="s">
        <v>14</v>
      </c>
      <c r="C86" s="2"/>
      <c r="D86" s="2"/>
      <c r="E86" s="2"/>
      <c r="F86" s="2"/>
      <c r="G86" s="60"/>
      <c r="H86" s="12"/>
    </row>
    <row r="87" spans="1:8" x14ac:dyDescent="0.25">
      <c r="A87" s="27"/>
      <c r="B87" s="30" t="s">
        <v>27</v>
      </c>
      <c r="C87" s="8">
        <f>SUM(C83:C86)</f>
        <v>3095089.45</v>
      </c>
      <c r="D87" s="8">
        <f>SUM(D83:D86)</f>
        <v>1582524.4950000001</v>
      </c>
      <c r="E87" s="8">
        <f>SUM(E83:E86)</f>
        <v>1417654.3599999999</v>
      </c>
      <c r="F87" s="8">
        <f>SUM(F83:F86)</f>
        <v>1677435.0900000003</v>
      </c>
      <c r="G87" s="61">
        <f>SUM(G83:G86)</f>
        <v>164870.13500000015</v>
      </c>
      <c r="H87" s="12"/>
    </row>
    <row r="88" spans="1:8" x14ac:dyDescent="0.25">
      <c r="A88" s="27"/>
      <c r="B88" s="18"/>
      <c r="C88" s="2"/>
      <c r="D88" s="2"/>
      <c r="E88" s="2"/>
      <c r="F88" s="2"/>
      <c r="G88" s="60"/>
      <c r="H88" s="12"/>
    </row>
    <row r="89" spans="1:8" x14ac:dyDescent="0.25">
      <c r="A89" s="27">
        <v>7611</v>
      </c>
      <c r="B89" s="28" t="s">
        <v>23</v>
      </c>
      <c r="C89" s="2"/>
      <c r="D89" s="2"/>
      <c r="E89" s="2"/>
      <c r="F89" s="2"/>
      <c r="G89" s="60"/>
      <c r="H89" s="12"/>
    </row>
    <row r="90" spans="1:8" x14ac:dyDescent="0.25">
      <c r="A90" s="27"/>
      <c r="B90" s="29" t="s">
        <v>11</v>
      </c>
      <c r="C90" s="2">
        <v>1120789.58</v>
      </c>
      <c r="D90" s="2">
        <f>C90/2</f>
        <v>560394.79</v>
      </c>
      <c r="E90" s="11">
        <v>480377.69</v>
      </c>
      <c r="F90" s="2">
        <f>C90-E90</f>
        <v>640411.89000000013</v>
      </c>
      <c r="G90" s="60">
        <f>D90-E90</f>
        <v>80017.100000000035</v>
      </c>
      <c r="H90" s="12"/>
    </row>
    <row r="91" spans="1:8" x14ac:dyDescent="0.25">
      <c r="A91" s="27"/>
      <c r="B91" s="29" t="s">
        <v>12</v>
      </c>
      <c r="C91" s="2">
        <v>189971.15</v>
      </c>
      <c r="D91" s="2">
        <f>C91*0.7</f>
        <v>132979.80499999999</v>
      </c>
      <c r="E91" s="54">
        <v>99835.5</v>
      </c>
      <c r="F91" s="2">
        <f>C91-E91</f>
        <v>90135.65</v>
      </c>
      <c r="G91" s="60">
        <f>D91-E91</f>
        <v>33144.304999999993</v>
      </c>
      <c r="H91" s="12"/>
    </row>
    <row r="92" spans="1:8" x14ac:dyDescent="0.25">
      <c r="A92" s="27"/>
      <c r="B92" s="29" t="s">
        <v>13</v>
      </c>
      <c r="C92" s="2">
        <v>25000</v>
      </c>
      <c r="D92" s="2"/>
      <c r="E92" s="2"/>
      <c r="F92" s="2"/>
      <c r="G92" s="60"/>
      <c r="H92" s="12"/>
    </row>
    <row r="93" spans="1:8" x14ac:dyDescent="0.25">
      <c r="A93" s="27"/>
      <c r="B93" s="29" t="s">
        <v>14</v>
      </c>
      <c r="C93" s="2"/>
      <c r="D93" s="2"/>
      <c r="E93" s="2"/>
      <c r="F93" s="2"/>
      <c r="G93" s="60"/>
      <c r="H93" s="12"/>
    </row>
    <row r="94" spans="1:8" x14ac:dyDescent="0.25">
      <c r="A94" s="27"/>
      <c r="B94" s="30" t="s">
        <v>27</v>
      </c>
      <c r="C94" s="8">
        <f>SUM(C90:C93)</f>
        <v>1335760.73</v>
      </c>
      <c r="D94" s="8">
        <f>SUM(D90:D93)</f>
        <v>693374.59499999997</v>
      </c>
      <c r="E94" s="8">
        <f>SUM(E90:E93)</f>
        <v>580213.18999999994</v>
      </c>
      <c r="F94" s="8">
        <f>SUM(F90:F93)</f>
        <v>730547.54000000015</v>
      </c>
      <c r="G94" s="61">
        <f>SUM(G90:G93)</f>
        <v>113161.40500000003</v>
      </c>
      <c r="H94" s="12"/>
    </row>
    <row r="95" spans="1:8" x14ac:dyDescent="0.25">
      <c r="A95" s="27"/>
      <c r="B95" s="18"/>
      <c r="C95" s="2"/>
      <c r="D95" s="2"/>
      <c r="E95" s="2"/>
      <c r="F95" s="2"/>
      <c r="G95" s="60"/>
      <c r="H95" s="12"/>
    </row>
    <row r="96" spans="1:8" x14ac:dyDescent="0.25">
      <c r="A96" s="27">
        <v>8711</v>
      </c>
      <c r="B96" s="28" t="s">
        <v>24</v>
      </c>
      <c r="C96" s="2"/>
      <c r="D96" s="2"/>
      <c r="E96" s="2"/>
      <c r="F96" s="2"/>
      <c r="G96" s="60"/>
      <c r="H96" s="12"/>
    </row>
    <row r="97" spans="1:8" x14ac:dyDescent="0.25">
      <c r="A97" s="27"/>
      <c r="B97" s="29" t="s">
        <v>11</v>
      </c>
      <c r="C97" s="2">
        <v>860982.08</v>
      </c>
      <c r="D97" s="2">
        <f>C97/2</f>
        <v>430491.04</v>
      </c>
      <c r="E97" s="2">
        <v>388920</v>
      </c>
      <c r="F97" s="2">
        <f>C97-E97</f>
        <v>472062.07999999996</v>
      </c>
      <c r="G97" s="60">
        <f>D97-E97</f>
        <v>41571.039999999979</v>
      </c>
      <c r="H97" s="12"/>
    </row>
    <row r="98" spans="1:8" x14ac:dyDescent="0.25">
      <c r="A98" s="27"/>
      <c r="B98" s="29" t="s">
        <v>12</v>
      </c>
      <c r="C98" s="2">
        <v>87772.800000000003</v>
      </c>
      <c r="D98" s="2">
        <f>C98*0.7</f>
        <v>61440.959999999999</v>
      </c>
      <c r="E98" s="54">
        <v>35988.29</v>
      </c>
      <c r="F98" s="2">
        <f>C98-E98</f>
        <v>51784.51</v>
      </c>
      <c r="G98" s="60">
        <f>D98-E98</f>
        <v>25452.67</v>
      </c>
      <c r="H98" s="12"/>
    </row>
    <row r="99" spans="1:8" x14ac:dyDescent="0.25">
      <c r="A99" s="27"/>
      <c r="B99" s="29" t="s">
        <v>13</v>
      </c>
      <c r="C99" s="2"/>
      <c r="D99" s="2"/>
      <c r="E99" s="2"/>
      <c r="F99" s="2"/>
      <c r="G99" s="60"/>
      <c r="H99" s="12"/>
    </row>
    <row r="100" spans="1:8" x14ac:dyDescent="0.25">
      <c r="A100" s="27"/>
      <c r="B100" s="29" t="s">
        <v>14</v>
      </c>
      <c r="C100" s="2"/>
      <c r="D100" s="2"/>
      <c r="E100" s="2"/>
      <c r="F100" s="2"/>
      <c r="G100" s="60"/>
      <c r="H100" s="12"/>
    </row>
    <row r="101" spans="1:8" x14ac:dyDescent="0.25">
      <c r="A101" s="27"/>
      <c r="B101" s="30" t="s">
        <v>27</v>
      </c>
      <c r="C101" s="8">
        <f>SUM(C97:C100)</f>
        <v>948754.88</v>
      </c>
      <c r="D101" s="8">
        <f>SUM(D97:D100)</f>
        <v>491932</v>
      </c>
      <c r="E101" s="8">
        <f>SUM(E97:E100)</f>
        <v>424908.29</v>
      </c>
      <c r="F101" s="8">
        <f>SUM(F97:F100)</f>
        <v>523846.58999999997</v>
      </c>
      <c r="G101" s="61">
        <f>SUM(G97:G100)</f>
        <v>67023.709999999977</v>
      </c>
      <c r="H101" s="12"/>
    </row>
    <row r="102" spans="1:8" x14ac:dyDescent="0.25">
      <c r="A102" s="27"/>
      <c r="B102" s="18"/>
      <c r="C102" s="2"/>
      <c r="D102" s="2"/>
      <c r="E102" s="2"/>
      <c r="F102" s="2"/>
      <c r="G102" s="60"/>
      <c r="H102" s="12"/>
    </row>
    <row r="103" spans="1:8" x14ac:dyDescent="0.25">
      <c r="A103" s="27">
        <v>8751</v>
      </c>
      <c r="B103" s="28" t="s">
        <v>25</v>
      </c>
      <c r="C103" s="2"/>
      <c r="D103" s="2"/>
      <c r="E103" s="2"/>
      <c r="F103" s="2"/>
      <c r="G103" s="60"/>
      <c r="H103" s="12"/>
    </row>
    <row r="104" spans="1:8" x14ac:dyDescent="0.25">
      <c r="A104" s="27"/>
      <c r="B104" s="29" t="s">
        <v>11</v>
      </c>
      <c r="C104" s="2">
        <v>1008030.66</v>
      </c>
      <c r="D104" s="2">
        <f>C104/2</f>
        <v>504015.33</v>
      </c>
      <c r="E104" s="11">
        <v>455417.55</v>
      </c>
      <c r="F104" s="2">
        <f>C104-E104</f>
        <v>552613.1100000001</v>
      </c>
      <c r="G104" s="60">
        <f>D104-E104</f>
        <v>48597.780000000028</v>
      </c>
      <c r="H104" s="12"/>
    </row>
    <row r="105" spans="1:8" x14ac:dyDescent="0.25">
      <c r="A105" s="27"/>
      <c r="B105" s="29" t="s">
        <v>12</v>
      </c>
      <c r="C105" s="2">
        <v>61275.5</v>
      </c>
      <c r="D105" s="2">
        <f>C105*0.7</f>
        <v>42892.85</v>
      </c>
      <c r="E105" s="54">
        <v>31281</v>
      </c>
      <c r="F105" s="2">
        <f>C105-E105</f>
        <v>29994.5</v>
      </c>
      <c r="G105" s="60">
        <f>D105-E105</f>
        <v>11611.849999999999</v>
      </c>
      <c r="H105" s="12"/>
    </row>
    <row r="106" spans="1:8" x14ac:dyDescent="0.25">
      <c r="A106" s="27"/>
      <c r="B106" s="29" t="s">
        <v>13</v>
      </c>
      <c r="C106" s="2"/>
      <c r="D106" s="2"/>
      <c r="E106" s="2"/>
      <c r="F106" s="2"/>
      <c r="G106" s="60"/>
      <c r="H106" s="12"/>
    </row>
    <row r="107" spans="1:8" x14ac:dyDescent="0.25">
      <c r="A107" s="27"/>
      <c r="B107" s="29" t="s">
        <v>14</v>
      </c>
      <c r="C107" s="2"/>
      <c r="D107" s="2"/>
      <c r="E107" s="2"/>
      <c r="F107" s="2"/>
      <c r="G107" s="60"/>
      <c r="H107" s="12"/>
    </row>
    <row r="108" spans="1:8" x14ac:dyDescent="0.25">
      <c r="A108" s="27"/>
      <c r="B108" s="30" t="s">
        <v>27</v>
      </c>
      <c r="C108" s="8">
        <f>SUM(C104:C107)</f>
        <v>1069306.1600000001</v>
      </c>
      <c r="D108" s="8">
        <f>SUM(D104:D107)</f>
        <v>546908.18000000005</v>
      </c>
      <c r="E108" s="8">
        <f>SUM(E104:E107)</f>
        <v>486698.55</v>
      </c>
      <c r="F108" s="8">
        <f>SUM(F104:F107)</f>
        <v>582607.6100000001</v>
      </c>
      <c r="G108" s="61">
        <f>SUM(G104:G107)</f>
        <v>60209.630000000026</v>
      </c>
      <c r="H108" s="12"/>
    </row>
    <row r="109" spans="1:8" x14ac:dyDescent="0.25">
      <c r="A109" s="27"/>
      <c r="B109" s="18"/>
      <c r="C109" s="2"/>
      <c r="D109" s="2"/>
      <c r="E109" s="2"/>
      <c r="F109" s="2"/>
      <c r="G109" s="60"/>
      <c r="H109" s="12"/>
    </row>
    <row r="110" spans="1:8" x14ac:dyDescent="0.25">
      <c r="A110" s="27">
        <v>8811</v>
      </c>
      <c r="B110" s="28" t="s">
        <v>26</v>
      </c>
      <c r="C110" s="2"/>
      <c r="D110" s="2"/>
      <c r="E110" s="2"/>
      <c r="F110" s="2"/>
      <c r="G110" s="60"/>
      <c r="H110" s="12"/>
    </row>
    <row r="111" spans="1:8" x14ac:dyDescent="0.25">
      <c r="A111" s="27"/>
      <c r="B111" s="29" t="s">
        <v>11</v>
      </c>
      <c r="C111" s="2"/>
      <c r="D111" s="2"/>
      <c r="E111" s="2"/>
      <c r="F111" s="2">
        <f>C111-E111</f>
        <v>0</v>
      </c>
      <c r="G111" s="60">
        <f>D111-E111</f>
        <v>0</v>
      </c>
      <c r="H111" s="12"/>
    </row>
    <row r="112" spans="1:8" x14ac:dyDescent="0.25">
      <c r="A112" s="27"/>
      <c r="B112" s="29" t="s">
        <v>12</v>
      </c>
      <c r="C112" s="2">
        <v>66400</v>
      </c>
      <c r="D112" s="2">
        <f>C112*0.7</f>
        <v>46480</v>
      </c>
      <c r="E112" s="11">
        <v>8535</v>
      </c>
      <c r="F112" s="2">
        <f>C112-E112</f>
        <v>57865</v>
      </c>
      <c r="G112" s="60">
        <f>D112-E112</f>
        <v>37945</v>
      </c>
      <c r="H112" s="12"/>
    </row>
    <row r="113" spans="1:8" x14ac:dyDescent="0.25">
      <c r="A113" s="27"/>
      <c r="B113" s="29" t="s">
        <v>13</v>
      </c>
      <c r="C113" s="2"/>
      <c r="D113" s="2"/>
      <c r="E113" s="2"/>
      <c r="F113" s="2"/>
      <c r="G113" s="60"/>
      <c r="H113" s="12"/>
    </row>
    <row r="114" spans="1:8" x14ac:dyDescent="0.25">
      <c r="A114" s="27"/>
      <c r="B114" s="29" t="s">
        <v>14</v>
      </c>
      <c r="C114" s="2"/>
      <c r="D114" s="2"/>
      <c r="E114" s="2"/>
      <c r="F114" s="2"/>
      <c r="G114" s="60"/>
      <c r="H114" s="12"/>
    </row>
    <row r="115" spans="1:8" x14ac:dyDescent="0.25">
      <c r="A115" s="31"/>
      <c r="B115" s="30" t="s">
        <v>27</v>
      </c>
      <c r="C115" s="8">
        <f>SUM(C111:C114)</f>
        <v>66400</v>
      </c>
      <c r="D115" s="8">
        <f>SUM(D111:D114)</f>
        <v>46480</v>
      </c>
      <c r="E115" s="8">
        <f>SUM(E111:E114)</f>
        <v>8535</v>
      </c>
      <c r="F115" s="8">
        <f>SUM(F111:F114)</f>
        <v>57865</v>
      </c>
      <c r="G115" s="61">
        <f>SUM(G111:G114)</f>
        <v>37945</v>
      </c>
      <c r="H115" s="12"/>
    </row>
    <row r="116" spans="1:8" ht="15.75" thickBot="1" x14ac:dyDescent="0.3">
      <c r="A116" s="37"/>
      <c r="B116" s="38"/>
      <c r="C116" s="9"/>
      <c r="D116" s="9"/>
      <c r="E116" s="9"/>
      <c r="F116" s="9"/>
      <c r="G116" s="62"/>
      <c r="H116" s="12"/>
    </row>
    <row r="117" spans="1:8" x14ac:dyDescent="0.25">
      <c r="C117" s="12"/>
      <c r="D117" s="12"/>
      <c r="E117" s="12"/>
      <c r="F117" s="12"/>
      <c r="G117" s="12"/>
      <c r="H117" s="12"/>
    </row>
    <row r="118" spans="1:8" x14ac:dyDescent="0.25">
      <c r="C118" s="12"/>
      <c r="D118" s="12"/>
      <c r="E118" s="12">
        <f>E70+E71+E77+E84+E91+E98+E105</f>
        <v>841185.95</v>
      </c>
      <c r="F118" s="12"/>
      <c r="G118" s="12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A120" s="13" t="s">
        <v>0</v>
      </c>
      <c r="B120" s="36"/>
      <c r="C120" s="10"/>
      <c r="D120" s="10"/>
      <c r="F120" s="10"/>
      <c r="G120" s="10"/>
      <c r="H120" s="12"/>
    </row>
    <row r="121" spans="1:8" x14ac:dyDescent="0.25">
      <c r="A121" s="13" t="s">
        <v>1</v>
      </c>
      <c r="B121" s="36"/>
      <c r="C121" s="10"/>
      <c r="D121" s="10"/>
      <c r="E121" s="10"/>
      <c r="F121" s="10"/>
      <c r="G121" s="10"/>
      <c r="H121" s="12"/>
    </row>
    <row r="122" spans="1:8" x14ac:dyDescent="0.25">
      <c r="A122" s="13" t="s">
        <v>2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24" t="s">
        <v>188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35"/>
      <c r="B124" s="36"/>
      <c r="C124" s="10"/>
      <c r="D124" s="10"/>
      <c r="E124" s="10"/>
      <c r="F124" s="10"/>
      <c r="G124" s="10"/>
      <c r="H124" s="12"/>
    </row>
    <row r="125" spans="1:8" x14ac:dyDescent="0.25">
      <c r="A125" s="91" t="s">
        <v>3</v>
      </c>
      <c r="B125" s="91" t="s">
        <v>4</v>
      </c>
      <c r="C125" s="91" t="s">
        <v>5</v>
      </c>
      <c r="D125" s="88" t="s">
        <v>6</v>
      </c>
      <c r="E125" s="88" t="s">
        <v>7</v>
      </c>
      <c r="F125" s="15" t="s">
        <v>8</v>
      </c>
      <c r="G125" s="15" t="s">
        <v>8</v>
      </c>
      <c r="H125" s="12"/>
    </row>
    <row r="126" spans="1:8" x14ac:dyDescent="0.25">
      <c r="A126" s="92"/>
      <c r="B126" s="92"/>
      <c r="C126" s="92"/>
      <c r="D126" s="89"/>
      <c r="E126" s="89"/>
      <c r="F126" s="16" t="s">
        <v>5</v>
      </c>
      <c r="G126" s="16" t="s">
        <v>6</v>
      </c>
      <c r="H126" s="12"/>
    </row>
    <row r="127" spans="1:8" ht="18.75" x14ac:dyDescent="0.3">
      <c r="A127" s="65"/>
      <c r="B127" s="65"/>
      <c r="C127" s="66"/>
      <c r="D127" s="19"/>
      <c r="E127" s="19"/>
      <c r="F127" s="19"/>
      <c r="G127" s="19"/>
      <c r="H127" s="12"/>
    </row>
    <row r="128" spans="1:8" ht="18.75" x14ac:dyDescent="0.3">
      <c r="A128" s="67" t="s">
        <v>29</v>
      </c>
      <c r="B128" s="67" t="s">
        <v>38</v>
      </c>
      <c r="C128" s="68">
        <v>35000</v>
      </c>
      <c r="D128" s="2">
        <f>C128/2</f>
        <v>17500</v>
      </c>
      <c r="E128" s="2"/>
      <c r="F128" s="2">
        <f t="shared" ref="F128:F156" si="2">C128-E128</f>
        <v>35000</v>
      </c>
      <c r="G128" s="60">
        <f t="shared" ref="G128:G157" si="3">D128-E128</f>
        <v>17500</v>
      </c>
      <c r="H128" s="12"/>
    </row>
    <row r="129" spans="1:10" ht="18.75" x14ac:dyDescent="0.3">
      <c r="A129" s="67"/>
      <c r="B129" s="67" t="s">
        <v>32</v>
      </c>
      <c r="C129" s="68">
        <v>250000</v>
      </c>
      <c r="D129" s="2">
        <f t="shared" ref="D129:D131" si="4">C129/2</f>
        <v>125000</v>
      </c>
      <c r="E129" s="54">
        <v>36854.17</v>
      </c>
      <c r="F129" s="2">
        <f>C129-E129</f>
        <v>213145.83000000002</v>
      </c>
      <c r="G129" s="60"/>
      <c r="H129" s="12"/>
    </row>
    <row r="130" spans="1:10" ht="18.75" x14ac:dyDescent="0.3">
      <c r="A130" s="67"/>
      <c r="B130" s="67" t="s">
        <v>35</v>
      </c>
      <c r="C130" s="68">
        <v>430000</v>
      </c>
      <c r="D130" s="2">
        <f t="shared" si="4"/>
        <v>215000</v>
      </c>
      <c r="E130" s="54">
        <v>389371</v>
      </c>
      <c r="F130" s="2">
        <f t="shared" ref="F130:F133" si="5">C130-E130</f>
        <v>40629</v>
      </c>
      <c r="G130" s="60"/>
      <c r="H130" s="12"/>
    </row>
    <row r="131" spans="1:10" ht="18.75" x14ac:dyDescent="0.3">
      <c r="A131" s="67"/>
      <c r="B131" s="67" t="s">
        <v>96</v>
      </c>
      <c r="C131" s="68">
        <v>200000</v>
      </c>
      <c r="D131" s="2">
        <f t="shared" si="4"/>
        <v>100000</v>
      </c>
      <c r="E131" s="54">
        <v>13304.93</v>
      </c>
      <c r="F131" s="2">
        <f t="shared" si="5"/>
        <v>186695.07</v>
      </c>
      <c r="G131" s="60"/>
      <c r="H131" s="12"/>
    </row>
    <row r="132" spans="1:10" ht="18.75" x14ac:dyDescent="0.3">
      <c r="A132" s="67"/>
      <c r="B132" s="67" t="s">
        <v>100</v>
      </c>
      <c r="C132" s="68">
        <v>300000</v>
      </c>
      <c r="D132" s="2"/>
      <c r="E132" s="2"/>
      <c r="F132" s="2">
        <f t="shared" si="5"/>
        <v>300000</v>
      </c>
      <c r="G132" s="60"/>
      <c r="H132" s="12"/>
    </row>
    <row r="133" spans="1:10" ht="18.75" x14ac:dyDescent="0.3">
      <c r="A133" s="67"/>
      <c r="B133" s="67" t="s">
        <v>181</v>
      </c>
      <c r="C133" s="68">
        <v>180000</v>
      </c>
      <c r="D133" s="2"/>
      <c r="E133" s="2"/>
      <c r="F133" s="2">
        <f t="shared" si="5"/>
        <v>180000</v>
      </c>
      <c r="G133" s="60"/>
      <c r="H133" s="12"/>
    </row>
    <row r="134" spans="1:10" ht="18.75" x14ac:dyDescent="0.3">
      <c r="A134" s="67"/>
      <c r="B134" s="67" t="s">
        <v>31</v>
      </c>
      <c r="C134" s="68"/>
      <c r="D134" s="2"/>
      <c r="E134" s="2"/>
      <c r="F134" s="2"/>
      <c r="G134" s="60"/>
      <c r="H134" s="12"/>
      <c r="I134" s="13">
        <f>230*22</f>
        <v>5060</v>
      </c>
    </row>
    <row r="135" spans="1:10" ht="18.75" x14ac:dyDescent="0.3">
      <c r="A135" s="67"/>
      <c r="B135" s="69" t="s">
        <v>146</v>
      </c>
      <c r="C135" s="68">
        <v>300000</v>
      </c>
      <c r="D135" s="2">
        <v>300000</v>
      </c>
      <c r="E135" s="54">
        <f>251287.5+72900</f>
        <v>324187.5</v>
      </c>
      <c r="F135" s="2">
        <f t="shared" ref="F135:F137" si="6">C135-E135</f>
        <v>-24187.5</v>
      </c>
      <c r="G135" s="60"/>
      <c r="H135" s="12"/>
      <c r="I135" s="13">
        <f>I134*12</f>
        <v>60720</v>
      </c>
    </row>
    <row r="136" spans="1:10" ht="18.75" x14ac:dyDescent="0.3">
      <c r="A136" s="67"/>
      <c r="B136" s="69" t="s">
        <v>147</v>
      </c>
      <c r="C136" s="68">
        <v>400000</v>
      </c>
      <c r="D136" s="2">
        <v>400000</v>
      </c>
      <c r="E136" s="54">
        <v>400000</v>
      </c>
      <c r="F136" s="2">
        <f t="shared" si="6"/>
        <v>0</v>
      </c>
      <c r="G136" s="60"/>
      <c r="H136" s="12"/>
    </row>
    <row r="137" spans="1:10" ht="18.75" x14ac:dyDescent="0.3">
      <c r="A137" s="67"/>
      <c r="B137" s="69" t="s">
        <v>148</v>
      </c>
      <c r="C137" s="68">
        <v>200000</v>
      </c>
      <c r="D137" s="2"/>
      <c r="E137" s="2"/>
      <c r="F137" s="2">
        <f t="shared" si="6"/>
        <v>200000</v>
      </c>
      <c r="G137" s="60"/>
      <c r="H137" s="12"/>
      <c r="I137" s="12">
        <v>32882308.219999999</v>
      </c>
    </row>
    <row r="138" spans="1:10" ht="18.75" x14ac:dyDescent="0.3">
      <c r="A138" s="67"/>
      <c r="B138" s="69" t="s">
        <v>149</v>
      </c>
      <c r="C138" s="68">
        <v>100000</v>
      </c>
      <c r="D138" s="2"/>
      <c r="E138" s="2"/>
      <c r="F138" s="2">
        <f t="shared" si="2"/>
        <v>100000</v>
      </c>
      <c r="G138" s="60">
        <f t="shared" si="3"/>
        <v>0</v>
      </c>
      <c r="H138" s="12"/>
      <c r="I138" s="12">
        <v>17921</v>
      </c>
    </row>
    <row r="139" spans="1:10" ht="18.75" x14ac:dyDescent="0.3">
      <c r="A139" s="67"/>
      <c r="B139" s="67" t="s">
        <v>151</v>
      </c>
      <c r="C139" s="68">
        <v>125000</v>
      </c>
      <c r="D139" s="2"/>
      <c r="E139" s="54">
        <v>8000</v>
      </c>
      <c r="F139" s="2">
        <f t="shared" si="2"/>
        <v>117000</v>
      </c>
      <c r="G139" s="60">
        <f t="shared" si="3"/>
        <v>-8000</v>
      </c>
      <c r="H139" s="12"/>
      <c r="I139" s="13">
        <f>I137/I138</f>
        <v>1834.8478444283242</v>
      </c>
      <c r="J139" s="12"/>
    </row>
    <row r="140" spans="1:10" ht="18.75" x14ac:dyDescent="0.3">
      <c r="A140" s="67"/>
      <c r="B140" s="70" t="s">
        <v>150</v>
      </c>
      <c r="C140" s="68">
        <v>20000</v>
      </c>
      <c r="D140" s="2">
        <v>10000</v>
      </c>
      <c r="E140" s="2"/>
      <c r="F140" s="2">
        <f>C129-E140</f>
        <v>250000</v>
      </c>
      <c r="G140" s="60">
        <f t="shared" si="3"/>
        <v>10000</v>
      </c>
      <c r="H140" s="12"/>
      <c r="I140" s="12">
        <v>22067089.800000001</v>
      </c>
      <c r="J140" s="12">
        <v>857870</v>
      </c>
    </row>
    <row r="141" spans="1:10" ht="18.75" x14ac:dyDescent="0.3">
      <c r="A141" s="67"/>
      <c r="B141" s="67" t="s">
        <v>98</v>
      </c>
      <c r="C141" s="68">
        <v>80000</v>
      </c>
      <c r="D141" s="2">
        <v>40000</v>
      </c>
      <c r="E141" s="54">
        <v>8719</v>
      </c>
      <c r="F141" s="2">
        <f>C141-E141</f>
        <v>71281</v>
      </c>
      <c r="G141" s="60"/>
      <c r="H141" s="12"/>
      <c r="I141" s="13">
        <f>I140/I137</f>
        <v>0.67109308909701604</v>
      </c>
      <c r="J141" s="12"/>
    </row>
    <row r="142" spans="1:10" ht="18.75" x14ac:dyDescent="0.3">
      <c r="A142" s="67"/>
      <c r="B142" s="67" t="s">
        <v>94</v>
      </c>
      <c r="C142" s="68">
        <v>75000</v>
      </c>
      <c r="D142" s="2">
        <f>C142/2</f>
        <v>37500</v>
      </c>
      <c r="E142" s="54">
        <v>2000</v>
      </c>
      <c r="F142" s="2">
        <f t="shared" si="2"/>
        <v>73000</v>
      </c>
      <c r="G142" s="60">
        <f t="shared" si="3"/>
        <v>35500</v>
      </c>
      <c r="H142" s="12"/>
      <c r="J142" s="12"/>
    </row>
    <row r="143" spans="1:10" ht="18.75" x14ac:dyDescent="0.3">
      <c r="A143" s="67"/>
      <c r="B143" s="67" t="s">
        <v>179</v>
      </c>
      <c r="C143" s="68">
        <v>75000</v>
      </c>
      <c r="D143" s="2">
        <f>C143/2</f>
        <v>37500</v>
      </c>
      <c r="E143" s="2"/>
      <c r="F143" s="2">
        <f>C143-E143</f>
        <v>75000</v>
      </c>
      <c r="G143" s="60"/>
      <c r="H143" s="12"/>
      <c r="J143" s="12"/>
    </row>
    <row r="144" spans="1:10" ht="18.75" x14ac:dyDescent="0.3">
      <c r="A144" s="67"/>
      <c r="B144" s="67" t="s">
        <v>110</v>
      </c>
      <c r="C144" s="68">
        <v>1200000</v>
      </c>
      <c r="D144" s="2">
        <f>C144/2</f>
        <v>600000</v>
      </c>
      <c r="E144" s="54">
        <v>1412767.5</v>
      </c>
      <c r="F144" s="2">
        <f t="shared" si="2"/>
        <v>-212767.5</v>
      </c>
      <c r="G144" s="60">
        <f t="shared" si="3"/>
        <v>-812767.5</v>
      </c>
      <c r="H144" s="12"/>
      <c r="J144" s="12"/>
    </row>
    <row r="145" spans="1:10" ht="18.75" x14ac:dyDescent="0.3">
      <c r="A145" s="67"/>
      <c r="B145" s="67" t="s">
        <v>49</v>
      </c>
      <c r="C145" s="68">
        <v>100000</v>
      </c>
      <c r="D145" s="2">
        <v>100000</v>
      </c>
      <c r="E145" s="54">
        <v>100000</v>
      </c>
      <c r="F145" s="2">
        <f t="shared" si="2"/>
        <v>0</v>
      </c>
      <c r="G145" s="60">
        <f t="shared" si="3"/>
        <v>0</v>
      </c>
      <c r="H145" s="12"/>
      <c r="J145" s="12">
        <f>J140*55%</f>
        <v>471828.50000000006</v>
      </c>
    </row>
    <row r="146" spans="1:10" ht="18.75" x14ac:dyDescent="0.3">
      <c r="A146" s="67"/>
      <c r="B146" s="67" t="s">
        <v>33</v>
      </c>
      <c r="C146" s="68">
        <v>150000</v>
      </c>
      <c r="D146" s="2">
        <f t="shared" ref="D146:D153" si="7">C146/2</f>
        <v>75000</v>
      </c>
      <c r="E146" s="54">
        <v>157300</v>
      </c>
      <c r="F146" s="2">
        <f>C146-E146</f>
        <v>-7300</v>
      </c>
      <c r="G146" s="60"/>
      <c r="H146" s="12"/>
      <c r="J146" s="12"/>
    </row>
    <row r="147" spans="1:10" ht="18.75" x14ac:dyDescent="0.3">
      <c r="A147" s="67"/>
      <c r="B147" s="67" t="s">
        <v>152</v>
      </c>
      <c r="C147" s="68">
        <v>70000</v>
      </c>
      <c r="D147" s="2">
        <f t="shared" si="7"/>
        <v>35000</v>
      </c>
      <c r="E147" s="2"/>
      <c r="F147" s="2">
        <f>C147-D147</f>
        <v>35000</v>
      </c>
      <c r="G147" s="60"/>
      <c r="H147" s="12"/>
      <c r="J147" s="12"/>
    </row>
    <row r="148" spans="1:10" ht="18.75" x14ac:dyDescent="0.3">
      <c r="A148" s="67"/>
      <c r="B148" s="67" t="s">
        <v>153</v>
      </c>
      <c r="C148" s="68">
        <v>800000</v>
      </c>
      <c r="D148" s="2">
        <v>300000</v>
      </c>
      <c r="E148" s="54">
        <v>287781.34999999998</v>
      </c>
      <c r="F148" s="2">
        <f t="shared" si="2"/>
        <v>512218.65</v>
      </c>
      <c r="G148" s="60">
        <f t="shared" si="3"/>
        <v>12218.650000000023</v>
      </c>
      <c r="J148" s="12"/>
    </row>
    <row r="149" spans="1:10" ht="18.75" x14ac:dyDescent="0.3">
      <c r="A149" s="67"/>
      <c r="B149" s="67" t="s">
        <v>154</v>
      </c>
      <c r="C149" s="68">
        <v>20000</v>
      </c>
      <c r="D149" s="2">
        <v>5000</v>
      </c>
      <c r="E149" s="2"/>
      <c r="F149" s="2">
        <f t="shared" si="2"/>
        <v>20000</v>
      </c>
      <c r="G149" s="60"/>
      <c r="J149" s="12"/>
    </row>
    <row r="150" spans="1:10" ht="18.75" x14ac:dyDescent="0.3">
      <c r="A150" s="67"/>
      <c r="B150" s="67" t="s">
        <v>102</v>
      </c>
      <c r="C150" s="68">
        <v>15000</v>
      </c>
      <c r="D150" s="2">
        <f t="shared" si="7"/>
        <v>7500</v>
      </c>
      <c r="E150" s="54">
        <v>9233.5</v>
      </c>
      <c r="F150" s="2">
        <f t="shared" si="2"/>
        <v>5766.5</v>
      </c>
      <c r="G150" s="60">
        <f t="shared" si="3"/>
        <v>-1733.5</v>
      </c>
      <c r="J150" s="12"/>
    </row>
    <row r="151" spans="1:10" ht="18.75" x14ac:dyDescent="0.3">
      <c r="A151" s="67"/>
      <c r="B151" s="67" t="s">
        <v>51</v>
      </c>
      <c r="C151" s="68">
        <v>750000</v>
      </c>
      <c r="D151" s="2">
        <v>150000</v>
      </c>
      <c r="E151" s="54">
        <v>79965</v>
      </c>
      <c r="F151" s="2">
        <f t="shared" si="2"/>
        <v>670035</v>
      </c>
      <c r="G151" s="60">
        <f t="shared" si="3"/>
        <v>70035</v>
      </c>
      <c r="J151" s="12"/>
    </row>
    <row r="152" spans="1:10" ht="18.75" x14ac:dyDescent="0.3">
      <c r="A152" s="67"/>
      <c r="B152" s="67" t="s">
        <v>52</v>
      </c>
      <c r="C152" s="68">
        <v>50000</v>
      </c>
      <c r="D152" s="2">
        <f t="shared" si="7"/>
        <v>25000</v>
      </c>
      <c r="E152" s="2"/>
      <c r="F152" s="2">
        <f t="shared" si="2"/>
        <v>50000</v>
      </c>
      <c r="G152" s="60">
        <f t="shared" si="3"/>
        <v>25000</v>
      </c>
    </row>
    <row r="153" spans="1:10" ht="18.75" x14ac:dyDescent="0.3">
      <c r="A153" s="67"/>
      <c r="B153" s="67" t="s">
        <v>184</v>
      </c>
      <c r="C153" s="68">
        <v>200000</v>
      </c>
      <c r="D153" s="2">
        <f t="shared" si="7"/>
        <v>100000</v>
      </c>
      <c r="E153" s="2"/>
      <c r="F153" s="2">
        <f t="shared" si="2"/>
        <v>200000</v>
      </c>
      <c r="G153" s="60">
        <f t="shared" si="3"/>
        <v>100000</v>
      </c>
    </row>
    <row r="154" spans="1:10" ht="18.75" x14ac:dyDescent="0.3">
      <c r="A154" s="67"/>
      <c r="B154" s="67" t="s">
        <v>155</v>
      </c>
      <c r="C154" s="68">
        <v>40247.599999999999</v>
      </c>
      <c r="D154" s="2">
        <v>10000</v>
      </c>
      <c r="E154" s="2"/>
      <c r="F154" s="2">
        <f t="shared" si="2"/>
        <v>40247.599999999999</v>
      </c>
      <c r="G154" s="60">
        <f t="shared" si="3"/>
        <v>10000</v>
      </c>
    </row>
    <row r="155" spans="1:10" ht="18.75" x14ac:dyDescent="0.3">
      <c r="A155" s="67"/>
      <c r="B155" s="67" t="s">
        <v>180</v>
      </c>
      <c r="C155" s="68">
        <v>400000</v>
      </c>
      <c r="D155" s="2"/>
      <c r="E155" s="2"/>
      <c r="F155" s="2">
        <f t="shared" si="2"/>
        <v>400000</v>
      </c>
      <c r="G155" s="60"/>
    </row>
    <row r="156" spans="1:10" ht="18.75" x14ac:dyDescent="0.3">
      <c r="A156" s="67"/>
      <c r="B156" s="67" t="s">
        <v>104</v>
      </c>
      <c r="C156" s="68">
        <v>700000</v>
      </c>
      <c r="D156" s="2">
        <f>C156/2</f>
        <v>350000</v>
      </c>
      <c r="E156" s="54">
        <v>388202</v>
      </c>
      <c r="F156" s="2">
        <f t="shared" si="2"/>
        <v>311798</v>
      </c>
      <c r="G156" s="60">
        <f t="shared" si="3"/>
        <v>-38202</v>
      </c>
    </row>
    <row r="157" spans="1:10" ht="18.75" x14ac:dyDescent="0.3">
      <c r="A157" s="71"/>
      <c r="B157" s="71"/>
      <c r="C157" s="72"/>
      <c r="D157" s="6"/>
      <c r="E157" s="6"/>
      <c r="F157" s="2"/>
      <c r="G157" s="60">
        <f t="shared" si="3"/>
        <v>0</v>
      </c>
    </row>
    <row r="158" spans="1:10" ht="18.75" x14ac:dyDescent="0.3">
      <c r="A158" s="73"/>
      <c r="B158" s="74" t="s">
        <v>27</v>
      </c>
      <c r="C158" s="75">
        <f>SUM(C128:C157)</f>
        <v>7265247.5999999996</v>
      </c>
      <c r="D158" s="8">
        <f>SUM(D128:D157)</f>
        <v>3040000</v>
      </c>
      <c r="E158" s="8">
        <f>SUM(E128:E157)</f>
        <v>3617685.95</v>
      </c>
      <c r="F158" s="8">
        <f>SUM(F128:F157)</f>
        <v>3842561.65</v>
      </c>
      <c r="G158" s="61">
        <f>SUM(G128:G157)</f>
        <v>-580449.35</v>
      </c>
    </row>
    <row r="159" spans="1:10" x14ac:dyDescent="0.25">
      <c r="C159" s="7"/>
    </row>
    <row r="160" spans="1:10" x14ac:dyDescent="0.25">
      <c r="C160" s="14"/>
    </row>
    <row r="161" spans="1:9" x14ac:dyDescent="0.25">
      <c r="C161" s="14"/>
    </row>
    <row r="163" spans="1:9" x14ac:dyDescent="0.25">
      <c r="A163" s="13" t="s">
        <v>0</v>
      </c>
      <c r="B163" s="36"/>
      <c r="C163" s="10"/>
      <c r="D163" s="10"/>
      <c r="E163" s="10"/>
      <c r="F163" s="10"/>
      <c r="G163" s="10"/>
    </row>
    <row r="164" spans="1:9" x14ac:dyDescent="0.25">
      <c r="A164" s="13" t="s">
        <v>1</v>
      </c>
      <c r="B164" s="36"/>
      <c r="C164" s="10"/>
      <c r="D164" s="10"/>
      <c r="E164" s="10"/>
      <c r="F164" s="10"/>
      <c r="G164" s="10"/>
    </row>
    <row r="165" spans="1:9" x14ac:dyDescent="0.25">
      <c r="A165" s="13" t="s">
        <v>2</v>
      </c>
      <c r="B165" s="36"/>
      <c r="C165" s="10"/>
      <c r="D165" s="10"/>
      <c r="E165" s="10"/>
      <c r="F165" s="10"/>
      <c r="G165" s="10"/>
    </row>
    <row r="166" spans="1:9" x14ac:dyDescent="0.25">
      <c r="A166" s="24" t="s">
        <v>188</v>
      </c>
      <c r="B166" s="36"/>
      <c r="C166" s="10"/>
      <c r="D166" s="10"/>
      <c r="E166" s="10"/>
      <c r="F166" s="10"/>
      <c r="G166" s="10"/>
    </row>
    <row r="167" spans="1:9" x14ac:dyDescent="0.25">
      <c r="A167" s="35"/>
      <c r="B167" s="36"/>
      <c r="C167" s="10"/>
      <c r="D167" s="10"/>
      <c r="E167" s="10"/>
      <c r="F167" s="10"/>
      <c r="G167" s="10"/>
    </row>
    <row r="168" spans="1:9" x14ac:dyDescent="0.25">
      <c r="A168" s="88" t="s">
        <v>3</v>
      </c>
      <c r="B168" s="88" t="s">
        <v>4</v>
      </c>
      <c r="C168" s="88" t="s">
        <v>5</v>
      </c>
      <c r="D168" s="88" t="s">
        <v>6</v>
      </c>
      <c r="E168" s="88" t="s">
        <v>7</v>
      </c>
      <c r="F168" s="15" t="s">
        <v>8</v>
      </c>
      <c r="G168" s="15" t="s">
        <v>8</v>
      </c>
    </row>
    <row r="169" spans="1:9" x14ac:dyDescent="0.25">
      <c r="A169" s="89"/>
      <c r="B169" s="89"/>
      <c r="C169" s="89"/>
      <c r="D169" s="89"/>
      <c r="E169" s="89"/>
      <c r="F169" s="16" t="s">
        <v>5</v>
      </c>
      <c r="G169" s="16" t="s">
        <v>6</v>
      </c>
    </row>
    <row r="170" spans="1:9" x14ac:dyDescent="0.25">
      <c r="A170" s="17"/>
      <c r="B170" s="17"/>
      <c r="C170" s="17"/>
      <c r="D170" s="17"/>
      <c r="E170" s="17"/>
      <c r="F170" s="17"/>
      <c r="G170" s="17"/>
    </row>
    <row r="171" spans="1:9" x14ac:dyDescent="0.25">
      <c r="A171" s="18"/>
      <c r="B171" s="28" t="s">
        <v>53</v>
      </c>
      <c r="C171" s="18"/>
      <c r="D171" s="18"/>
      <c r="E171" s="18"/>
      <c r="F171" s="18"/>
      <c r="G171" s="63"/>
    </row>
    <row r="172" spans="1:9" x14ac:dyDescent="0.25">
      <c r="A172" s="18"/>
      <c r="B172" s="29" t="s">
        <v>11</v>
      </c>
      <c r="C172" s="2"/>
      <c r="D172" s="2"/>
      <c r="E172" s="2"/>
      <c r="F172" s="2"/>
      <c r="G172" s="64"/>
    </row>
    <row r="173" spans="1:9" x14ac:dyDescent="0.25">
      <c r="A173" s="18"/>
      <c r="B173" s="4" t="s">
        <v>58</v>
      </c>
      <c r="C173" s="2">
        <v>320000</v>
      </c>
      <c r="D173" s="2">
        <v>320000</v>
      </c>
      <c r="E173" s="54">
        <v>291229.73</v>
      </c>
      <c r="F173" s="2">
        <f t="shared" ref="F173:F187" si="8">C173-E173</f>
        <v>28770.270000000019</v>
      </c>
      <c r="G173" s="2">
        <f t="shared" ref="G173:G187" si="9">D173-E173</f>
        <v>28770.270000000019</v>
      </c>
    </row>
    <row r="174" spans="1:9" x14ac:dyDescent="0.25">
      <c r="A174" s="18"/>
      <c r="B174" s="4" t="s">
        <v>59</v>
      </c>
      <c r="C174" s="2">
        <v>1060000</v>
      </c>
      <c r="D174" s="2">
        <f>C174/2</f>
        <v>530000</v>
      </c>
      <c r="E174" s="54">
        <v>886000</v>
      </c>
      <c r="F174" s="2">
        <f t="shared" si="8"/>
        <v>174000</v>
      </c>
      <c r="G174" s="2">
        <f t="shared" si="9"/>
        <v>-356000</v>
      </c>
      <c r="I174" s="14">
        <f>E174*12</f>
        <v>10632000</v>
      </c>
    </row>
    <row r="175" spans="1:9" x14ac:dyDescent="0.25">
      <c r="A175" s="18"/>
      <c r="B175" s="29" t="s">
        <v>12</v>
      </c>
      <c r="C175" s="2"/>
      <c r="D175" s="2"/>
      <c r="E175" s="2"/>
      <c r="F175" s="2">
        <f t="shared" si="8"/>
        <v>0</v>
      </c>
      <c r="G175" s="2">
        <f t="shared" si="9"/>
        <v>0</v>
      </c>
    </row>
    <row r="176" spans="1:9" x14ac:dyDescent="0.25">
      <c r="A176" s="18"/>
      <c r="B176" s="4" t="s">
        <v>54</v>
      </c>
      <c r="C176" s="2">
        <v>2176195.09</v>
      </c>
      <c r="D176" s="2">
        <v>761294</v>
      </c>
      <c r="E176" s="54">
        <v>661917.99</v>
      </c>
      <c r="F176" s="2">
        <f t="shared" si="8"/>
        <v>1514277.0999999999</v>
      </c>
      <c r="G176" s="2">
        <f t="shared" si="9"/>
        <v>99376.010000000009</v>
      </c>
      <c r="I176" s="14">
        <f>C176/4</f>
        <v>544048.77249999996</v>
      </c>
    </row>
    <row r="177" spans="1:7" x14ac:dyDescent="0.25">
      <c r="A177" s="18"/>
      <c r="B177" s="4" t="s">
        <v>55</v>
      </c>
      <c r="C177" s="2">
        <v>15000</v>
      </c>
      <c r="D177" s="2"/>
      <c r="E177" s="2"/>
      <c r="F177" s="2">
        <f t="shared" si="8"/>
        <v>15000</v>
      </c>
      <c r="G177" s="2">
        <f t="shared" si="9"/>
        <v>0</v>
      </c>
    </row>
    <row r="178" spans="1:7" x14ac:dyDescent="0.25">
      <c r="A178" s="18"/>
      <c r="B178" s="4" t="s">
        <v>56</v>
      </c>
      <c r="C178" s="2">
        <v>20000</v>
      </c>
      <c r="D178" s="2">
        <f t="shared" ref="D178:D183" si="10">C178*0.7</f>
        <v>14000</v>
      </c>
      <c r="E178" s="54">
        <v>5000</v>
      </c>
      <c r="F178" s="2">
        <f t="shared" si="8"/>
        <v>15000</v>
      </c>
      <c r="G178" s="2">
        <f t="shared" si="9"/>
        <v>9000</v>
      </c>
    </row>
    <row r="179" spans="1:7" x14ac:dyDescent="0.25">
      <c r="A179" s="18"/>
      <c r="B179" s="4" t="s">
        <v>175</v>
      </c>
      <c r="C179" s="2">
        <v>2176195.09</v>
      </c>
      <c r="D179" s="2">
        <f t="shared" si="10"/>
        <v>1523336.5629999998</v>
      </c>
      <c r="E179" s="54">
        <v>1010216.38</v>
      </c>
      <c r="F179" s="2">
        <f t="shared" si="8"/>
        <v>1165978.71</v>
      </c>
      <c r="G179" s="2">
        <f t="shared" si="9"/>
        <v>513120.18299999984</v>
      </c>
    </row>
    <row r="180" spans="1:7" x14ac:dyDescent="0.25">
      <c r="A180" s="18"/>
      <c r="B180" s="4" t="s">
        <v>176</v>
      </c>
      <c r="C180" s="2">
        <v>435239.01</v>
      </c>
      <c r="D180" s="2">
        <f t="shared" si="10"/>
        <v>304667.30699999997</v>
      </c>
      <c r="E180" s="54">
        <v>48500</v>
      </c>
      <c r="F180" s="2">
        <f t="shared" si="8"/>
        <v>386739.01</v>
      </c>
      <c r="G180" s="2"/>
    </row>
    <row r="181" spans="1:7" x14ac:dyDescent="0.25">
      <c r="A181" s="18"/>
      <c r="B181" s="58" t="s">
        <v>177</v>
      </c>
      <c r="C181" s="2">
        <v>363262.38</v>
      </c>
      <c r="D181" s="2">
        <f t="shared" si="10"/>
        <v>254283.666</v>
      </c>
      <c r="E181" s="54">
        <v>125634</v>
      </c>
      <c r="F181" s="2">
        <f t="shared" si="8"/>
        <v>237628.38</v>
      </c>
      <c r="G181" s="2">
        <f t="shared" si="9"/>
        <v>128649.666</v>
      </c>
    </row>
    <row r="182" spans="1:7" x14ac:dyDescent="0.25">
      <c r="A182" s="18"/>
      <c r="B182" s="4" t="s">
        <v>178</v>
      </c>
      <c r="C182" s="2">
        <v>100172.48</v>
      </c>
      <c r="D182" s="2">
        <f t="shared" si="10"/>
        <v>70120.73599999999</v>
      </c>
      <c r="E182" s="54">
        <v>67160</v>
      </c>
      <c r="F182" s="2">
        <f t="shared" si="8"/>
        <v>33012.479999999996</v>
      </c>
      <c r="G182" s="2">
        <f t="shared" si="9"/>
        <v>2960.7359999999899</v>
      </c>
    </row>
    <row r="183" spans="1:7" x14ac:dyDescent="0.25">
      <c r="A183" s="18"/>
      <c r="B183" s="4" t="s">
        <v>113</v>
      </c>
      <c r="C183" s="2">
        <v>150000</v>
      </c>
      <c r="D183" s="2">
        <f t="shared" si="10"/>
        <v>105000</v>
      </c>
      <c r="E183" s="54">
        <v>209265</v>
      </c>
      <c r="F183" s="2">
        <f t="shared" si="8"/>
        <v>-59265</v>
      </c>
      <c r="G183" s="2"/>
    </row>
    <row r="184" spans="1:7" x14ac:dyDescent="0.25">
      <c r="A184" s="18"/>
      <c r="B184" s="29" t="s">
        <v>13</v>
      </c>
      <c r="C184" s="2"/>
      <c r="D184" s="2"/>
      <c r="E184" s="2"/>
      <c r="F184" s="2">
        <f t="shared" si="8"/>
        <v>0</v>
      </c>
      <c r="G184" s="2">
        <f t="shared" si="9"/>
        <v>0</v>
      </c>
    </row>
    <row r="185" spans="1:7" x14ac:dyDescent="0.25">
      <c r="A185" s="18"/>
      <c r="B185" s="4" t="s">
        <v>159</v>
      </c>
      <c r="C185" s="2">
        <v>500000</v>
      </c>
      <c r="D185" s="2">
        <f>C185*0.7</f>
        <v>350000</v>
      </c>
      <c r="E185" s="54">
        <v>379714.22</v>
      </c>
      <c r="F185" s="2">
        <f t="shared" si="8"/>
        <v>120285.78000000003</v>
      </c>
      <c r="G185" s="2">
        <f t="shared" si="9"/>
        <v>-29714.219999999972</v>
      </c>
    </row>
    <row r="186" spans="1:7" x14ac:dyDescent="0.25">
      <c r="A186" s="18"/>
      <c r="B186" s="4" t="s">
        <v>62</v>
      </c>
      <c r="C186" s="2"/>
      <c r="D186" s="2"/>
      <c r="E186" s="2"/>
      <c r="F186" s="2">
        <f t="shared" si="8"/>
        <v>0</v>
      </c>
      <c r="G186" s="2">
        <f t="shared" si="9"/>
        <v>0</v>
      </c>
    </row>
    <row r="187" spans="1:7" x14ac:dyDescent="0.25">
      <c r="A187" s="18"/>
      <c r="B187" s="5" t="s">
        <v>63</v>
      </c>
      <c r="C187" s="2">
        <v>1600000</v>
      </c>
      <c r="D187" s="2">
        <f>C187*0.7</f>
        <v>1120000</v>
      </c>
      <c r="E187" s="54">
        <v>1564814.07</v>
      </c>
      <c r="F187" s="2">
        <f t="shared" si="8"/>
        <v>35185.929999999935</v>
      </c>
      <c r="G187" s="2">
        <f t="shared" si="9"/>
        <v>-444814.07000000007</v>
      </c>
    </row>
    <row r="188" spans="1:7" x14ac:dyDescent="0.25">
      <c r="A188" s="18"/>
      <c r="B188" s="4"/>
      <c r="C188" s="2"/>
      <c r="D188" s="2">
        <f>C188</f>
        <v>0</v>
      </c>
      <c r="E188" s="2"/>
      <c r="F188" s="2"/>
      <c r="G188" s="2"/>
    </row>
    <row r="189" spans="1:7" x14ac:dyDescent="0.25">
      <c r="A189" s="18"/>
      <c r="B189" s="41" t="s">
        <v>27</v>
      </c>
      <c r="C189" s="8">
        <f>SUM(C173:C188)</f>
        <v>8916064.0500000007</v>
      </c>
      <c r="D189" s="8">
        <f>SUM(D173:D188)</f>
        <v>5352702.2719999999</v>
      </c>
      <c r="E189" s="8">
        <f>SUM(E173:E188)</f>
        <v>5249451.3900000006</v>
      </c>
      <c r="F189" s="8">
        <f>SUM(F173:F188)</f>
        <v>3666612.6599999992</v>
      </c>
      <c r="G189" s="8">
        <f>SUM(G173:G188)</f>
        <v>-48651.425000000221</v>
      </c>
    </row>
    <row r="190" spans="1:7" ht="15.75" thickBot="1" x14ac:dyDescent="0.3">
      <c r="A190" s="42"/>
      <c r="B190" s="43" t="s">
        <v>64</v>
      </c>
      <c r="C190" s="20">
        <f>C189+C158+C115+C108+C101+C94+C87+C80+C73+C57+C50+C43+C36+C29+C22+C15</f>
        <v>43523901.710000001</v>
      </c>
      <c r="D190" s="20">
        <f>D189+D158+D115+D108+D101+D94+D87+D80+D73+D57+D50+D43+D36+D29+D22+D15</f>
        <v>22941402.153999995</v>
      </c>
      <c r="E190" s="20">
        <f>E189+E158+E115+E108+E101+E94+E87+E80+E73+E57+E50+E43+E36+E29+E22+E15</f>
        <v>20648182.169999998</v>
      </c>
      <c r="F190" s="20">
        <f>F189+F158+F115+F108+F101+F94+F87+F80+F73+F57+F50+F43+F36+F29+F22+F15</f>
        <v>23045719.539999999</v>
      </c>
      <c r="G190" s="20">
        <f>G189+G158+G115+G108+G101+G94+G87+G80+G73+G57+G50+G43+G36+G29+G22+G15</f>
        <v>2138554.2770000007</v>
      </c>
    </row>
    <row r="191" spans="1:7" ht="15.75" thickTop="1" x14ac:dyDescent="0.25">
      <c r="C191" s="12"/>
      <c r="D191" s="12"/>
      <c r="E191" s="12"/>
      <c r="F191" s="12"/>
      <c r="G191" s="12"/>
    </row>
    <row r="192" spans="1:7" x14ac:dyDescent="0.25">
      <c r="B192" s="13" t="s">
        <v>65</v>
      </c>
      <c r="C192" s="12"/>
      <c r="D192" s="12"/>
      <c r="E192" s="12"/>
      <c r="F192" s="12"/>
      <c r="G192" s="12"/>
    </row>
    <row r="193" spans="2:12" x14ac:dyDescent="0.25">
      <c r="C193" s="12"/>
      <c r="D193" s="12">
        <f>D173+D174+D178+D182+D183+D185+D187</f>
        <v>2509120.736</v>
      </c>
      <c r="E193" s="12">
        <f>E173+E174+E178+E182+E183+E185+E187</f>
        <v>3403183.02</v>
      </c>
      <c r="F193" s="12" t="s">
        <v>186</v>
      </c>
      <c r="G193" s="12"/>
    </row>
    <row r="194" spans="2:12" x14ac:dyDescent="0.25">
      <c r="C194" s="12"/>
      <c r="D194" s="12"/>
      <c r="E194" s="12"/>
      <c r="F194" s="12"/>
      <c r="G194" s="12"/>
    </row>
    <row r="195" spans="2:12" x14ac:dyDescent="0.25">
      <c r="B195" s="44" t="s">
        <v>66</v>
      </c>
      <c r="C195" s="12"/>
      <c r="D195" s="12"/>
      <c r="F195" s="12"/>
      <c r="G195" s="12"/>
    </row>
    <row r="196" spans="2:12" x14ac:dyDescent="0.25">
      <c r="B196" s="13" t="s">
        <v>67</v>
      </c>
    </row>
    <row r="200" spans="2:12" x14ac:dyDescent="0.25">
      <c r="C200" s="12"/>
      <c r="D200" s="90" t="s">
        <v>164</v>
      </c>
      <c r="E200" s="90"/>
      <c r="F200" s="12"/>
      <c r="G200" s="12"/>
    </row>
    <row r="201" spans="2:12" x14ac:dyDescent="0.25">
      <c r="C201" s="12"/>
      <c r="D201" s="12" t="s">
        <v>162</v>
      </c>
      <c r="E201" s="12" t="s">
        <v>163</v>
      </c>
      <c r="F201" s="12"/>
      <c r="G201" s="12"/>
      <c r="H201" s="57">
        <v>0.8</v>
      </c>
      <c r="I201" s="12">
        <v>2159415</v>
      </c>
      <c r="L201" s="13">
        <f>20*20</f>
        <v>400</v>
      </c>
    </row>
    <row r="202" spans="2:12" x14ac:dyDescent="0.25">
      <c r="C202" s="12" t="s">
        <v>160</v>
      </c>
      <c r="D202" s="12">
        <f>5518028.2+D46</f>
        <v>6044700.4299999997</v>
      </c>
      <c r="E202" s="12">
        <v>1646631.99</v>
      </c>
      <c r="F202" s="12"/>
      <c r="G202" s="12"/>
      <c r="H202" s="57">
        <v>0.2</v>
      </c>
      <c r="I202" s="12">
        <v>539854</v>
      </c>
      <c r="L202" s="13">
        <f>15*20</f>
        <v>300</v>
      </c>
    </row>
    <row r="203" spans="2:12" x14ac:dyDescent="0.25">
      <c r="C203" s="12" t="s">
        <v>161</v>
      </c>
      <c r="D203" s="12">
        <f>D190-D202</f>
        <v>16896701.723999996</v>
      </c>
      <c r="E203" s="12">
        <v>130701.19</v>
      </c>
      <c r="F203" s="12"/>
      <c r="G203" s="12"/>
      <c r="I203" s="12"/>
    </row>
    <row r="204" spans="2:12" x14ac:dyDescent="0.25">
      <c r="C204" s="56">
        <v>0.2</v>
      </c>
      <c r="D204" s="12"/>
      <c r="E204" s="12">
        <v>133869.85</v>
      </c>
      <c r="F204" s="12"/>
      <c r="G204" s="12"/>
      <c r="I204" s="12"/>
      <c r="L204" s="13">
        <f>SUM(L201:L203)</f>
        <v>700</v>
      </c>
    </row>
    <row r="205" spans="2:12" x14ac:dyDescent="0.25">
      <c r="C205" s="56">
        <v>0.05</v>
      </c>
      <c r="D205" s="12">
        <v>404890.34</v>
      </c>
      <c r="E205" s="12">
        <v>14850</v>
      </c>
      <c r="F205" s="12"/>
      <c r="G205" s="12"/>
      <c r="I205" s="12">
        <f>SUM(I201:I204)</f>
        <v>2699269</v>
      </c>
    </row>
    <row r="206" spans="2:12" x14ac:dyDescent="0.25">
      <c r="C206" s="12" t="s">
        <v>120</v>
      </c>
      <c r="D206" s="12"/>
      <c r="E206" s="12">
        <v>7200</v>
      </c>
      <c r="F206" s="12"/>
      <c r="G206" s="12">
        <f>I205-E190</f>
        <v>-17948913.169999998</v>
      </c>
      <c r="I206" s="12"/>
    </row>
    <row r="207" spans="2:12" x14ac:dyDescent="0.25">
      <c r="C207" s="12"/>
      <c r="D207" s="12"/>
      <c r="E207" s="12"/>
      <c r="F207" s="12"/>
      <c r="G207" s="12"/>
      <c r="I207" s="12"/>
    </row>
    <row r="208" spans="2:12" x14ac:dyDescent="0.25">
      <c r="C208" s="12"/>
      <c r="D208" s="12"/>
      <c r="F208" s="12"/>
      <c r="G208" s="12"/>
      <c r="I208" s="12"/>
    </row>
    <row r="209" spans="3:9" x14ac:dyDescent="0.25">
      <c r="C209" s="12" t="s">
        <v>143</v>
      </c>
      <c r="D209" s="12">
        <f>SUM(D202:D208)</f>
        <v>23346292.493999995</v>
      </c>
      <c r="E209" s="12">
        <f>SUM(E202:E207)</f>
        <v>1933253.03</v>
      </c>
      <c r="F209" s="12"/>
      <c r="G209" s="12"/>
      <c r="I209" s="12"/>
    </row>
    <row r="210" spans="3:9" x14ac:dyDescent="0.25">
      <c r="C210" s="12"/>
      <c r="D210" s="12"/>
      <c r="E210" s="12">
        <f>E190-E209</f>
        <v>18714929.139999997</v>
      </c>
      <c r="F210" s="12"/>
      <c r="G210" s="12"/>
      <c r="I210" s="12"/>
    </row>
    <row r="211" spans="3:9" x14ac:dyDescent="0.25">
      <c r="C211" s="12"/>
      <c r="D211" s="12">
        <f>32391227</f>
        <v>32391227</v>
      </c>
      <c r="E211" s="12">
        <f>E209-E190</f>
        <v>-18714929.139999997</v>
      </c>
      <c r="F211" s="12"/>
      <c r="G211" s="12"/>
      <c r="I211" s="12"/>
    </row>
    <row r="212" spans="3:9" x14ac:dyDescent="0.25">
      <c r="C212" s="12"/>
      <c r="D212" s="12">
        <f>D211*5%</f>
        <v>1619561.35</v>
      </c>
      <c r="E212" s="12"/>
      <c r="F212" s="12"/>
      <c r="G212" s="12"/>
    </row>
    <row r="213" spans="3:9" x14ac:dyDescent="0.25">
      <c r="C213" s="12"/>
      <c r="D213" s="12">
        <f>D212/4</f>
        <v>404890.33750000002</v>
      </c>
      <c r="E213" s="12">
        <f>E173+E174</f>
        <v>1177229.73</v>
      </c>
      <c r="F213" s="12"/>
      <c r="G213" s="12"/>
    </row>
    <row r="214" spans="3:9" x14ac:dyDescent="0.25">
      <c r="C214" s="12"/>
      <c r="D214" s="12"/>
      <c r="E214" s="12"/>
      <c r="F214" s="12"/>
      <c r="G214" s="12"/>
    </row>
    <row r="215" spans="3:9" x14ac:dyDescent="0.25">
      <c r="C215" s="12"/>
      <c r="D215" s="12"/>
      <c r="E215" s="12">
        <f>E202+E203</f>
        <v>1777333.18</v>
      </c>
      <c r="F215" s="12"/>
      <c r="G215" s="12"/>
    </row>
    <row r="216" spans="3:9" x14ac:dyDescent="0.25">
      <c r="C216" s="12"/>
      <c r="D216" s="12"/>
      <c r="E216" s="12"/>
      <c r="F216" s="12"/>
      <c r="G216" s="12"/>
    </row>
    <row r="217" spans="3:9" x14ac:dyDescent="0.25">
      <c r="C217" s="12"/>
      <c r="D217" s="12"/>
      <c r="E217" s="12"/>
      <c r="F217" s="12"/>
      <c r="G217" s="12"/>
    </row>
    <row r="218" spans="3:9" x14ac:dyDescent="0.25">
      <c r="C218" s="12"/>
      <c r="D218" s="12"/>
      <c r="E218" s="12"/>
      <c r="F218" s="12"/>
      <c r="G218" s="12"/>
    </row>
    <row r="219" spans="3:9" x14ac:dyDescent="0.25">
      <c r="C219" s="12"/>
      <c r="D219" s="12"/>
      <c r="E219" s="12"/>
      <c r="F219" s="12"/>
      <c r="G219" s="12"/>
    </row>
    <row r="220" spans="3:9" x14ac:dyDescent="0.25">
      <c r="C220" s="12"/>
      <c r="D220" s="12"/>
      <c r="E220" s="12"/>
      <c r="F220" s="12"/>
      <c r="G220" s="12"/>
    </row>
    <row r="221" spans="3:9" x14ac:dyDescent="0.25">
      <c r="C221" s="12"/>
      <c r="D221" s="12"/>
      <c r="E221" s="12"/>
      <c r="F221" s="12"/>
      <c r="G221" s="12"/>
    </row>
    <row r="222" spans="3:9" x14ac:dyDescent="0.25">
      <c r="C222" s="12"/>
      <c r="D222" s="12"/>
      <c r="E222" s="12"/>
      <c r="F222" s="12"/>
      <c r="G222" s="12"/>
    </row>
    <row r="223" spans="3:9" x14ac:dyDescent="0.25">
      <c r="C223" s="12"/>
      <c r="D223" s="12"/>
      <c r="E223" s="12"/>
      <c r="F223" s="12"/>
      <c r="G223" s="12"/>
    </row>
    <row r="224" spans="3:9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>
        <f>20*25</f>
        <v>500</v>
      </c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</sheetData>
  <mergeCells count="21">
    <mergeCell ref="A65:A66"/>
    <mergeCell ref="B65:B66"/>
    <mergeCell ref="C65:C66"/>
    <mergeCell ref="D65:D66"/>
    <mergeCell ref="E65:E66"/>
    <mergeCell ref="A6:A7"/>
    <mergeCell ref="B6:B7"/>
    <mergeCell ref="C6:C7"/>
    <mergeCell ref="D6:D7"/>
    <mergeCell ref="E6:E7"/>
    <mergeCell ref="A125:A126"/>
    <mergeCell ref="B125:B126"/>
    <mergeCell ref="C125:C126"/>
    <mergeCell ref="D125:D126"/>
    <mergeCell ref="E125:E126"/>
    <mergeCell ref="D200:E200"/>
    <mergeCell ref="A168:A169"/>
    <mergeCell ref="B168:B169"/>
    <mergeCell ref="C168:C169"/>
    <mergeCell ref="D168:D169"/>
    <mergeCell ref="E168:E169"/>
  </mergeCells>
  <pageMargins left="0.14000000000000001" right="0.11" top="0.48" bottom="0.75" header="0.3" footer="0.3"/>
  <pageSetup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"/>
  <sheetViews>
    <sheetView zoomScale="130" zoomScaleNormal="130" workbookViewId="0">
      <selection activeCell="B6" sqref="B6:B7"/>
    </sheetView>
  </sheetViews>
  <sheetFormatPr defaultRowHeight="15" x14ac:dyDescent="0.25"/>
  <cols>
    <col min="1" max="1" width="8.42578125" style="13" customWidth="1"/>
    <col min="2" max="2" width="41.42578125" style="13" customWidth="1"/>
    <col min="3" max="3" width="16.28515625" style="13" customWidth="1"/>
    <col min="4" max="5" width="14.7109375" style="13" customWidth="1"/>
    <col min="6" max="6" width="16.28515625" style="13" customWidth="1"/>
    <col min="7" max="7" width="14.28515625" style="13" customWidth="1"/>
    <col min="8" max="8" width="9.140625" style="13"/>
    <col min="9" max="9" width="13.42578125" style="13" bestFit="1" customWidth="1"/>
    <col min="10" max="10" width="13.28515625" style="13" bestFit="1" customWidth="1"/>
    <col min="11" max="11" width="9.140625" style="13"/>
    <col min="12" max="12" width="11" style="13" bestFit="1" customWidth="1"/>
    <col min="13" max="13" width="15.42578125" style="13" bestFit="1" customWidth="1"/>
    <col min="14" max="14" width="11.7109375" style="13" customWidth="1"/>
    <col min="15" max="15" width="9.85546875" style="13" customWidth="1"/>
    <col min="16" max="17" width="9.140625" style="13"/>
    <col min="18" max="19" width="12" style="13" bestFit="1" customWidth="1"/>
    <col min="20" max="16384" width="9.140625" style="13"/>
  </cols>
  <sheetData>
    <row r="1" spans="1:19" x14ac:dyDescent="0.25">
      <c r="A1" s="13" t="s">
        <v>0</v>
      </c>
    </row>
    <row r="2" spans="1:19" x14ac:dyDescent="0.25">
      <c r="A2" s="13" t="s">
        <v>1</v>
      </c>
      <c r="J2" s="12">
        <v>50000</v>
      </c>
      <c r="K2" s="13" t="s">
        <v>76</v>
      </c>
      <c r="M2" s="12">
        <v>33000</v>
      </c>
      <c r="N2" s="13" t="s">
        <v>81</v>
      </c>
    </row>
    <row r="3" spans="1:19" x14ac:dyDescent="0.25">
      <c r="A3" s="13" t="s">
        <v>2</v>
      </c>
      <c r="J3" s="12">
        <v>24000</v>
      </c>
      <c r="K3" s="13" t="s">
        <v>78</v>
      </c>
      <c r="M3" s="12">
        <v>46000</v>
      </c>
      <c r="N3" s="13" t="s">
        <v>82</v>
      </c>
    </row>
    <row r="4" spans="1:19" x14ac:dyDescent="0.25">
      <c r="A4" s="24" t="s">
        <v>122</v>
      </c>
      <c r="F4" s="24"/>
      <c r="J4" s="12">
        <v>70000</v>
      </c>
      <c r="M4" s="12">
        <v>52000</v>
      </c>
      <c r="N4" s="13" t="s">
        <v>83</v>
      </c>
      <c r="R4" s="12">
        <v>52000</v>
      </c>
      <c r="S4" s="12">
        <v>45000</v>
      </c>
    </row>
    <row r="5" spans="1:19" x14ac:dyDescent="0.25">
      <c r="J5" s="12"/>
      <c r="M5" s="12">
        <v>28000</v>
      </c>
      <c r="N5" s="13" t="s">
        <v>84</v>
      </c>
      <c r="S5" s="12">
        <v>15000</v>
      </c>
    </row>
    <row r="6" spans="1:19" x14ac:dyDescent="0.25">
      <c r="A6" s="88" t="s">
        <v>3</v>
      </c>
      <c r="B6" s="88" t="s">
        <v>4</v>
      </c>
      <c r="C6" s="88" t="s">
        <v>5</v>
      </c>
      <c r="D6" s="88" t="s">
        <v>6</v>
      </c>
      <c r="E6" s="88" t="s">
        <v>7</v>
      </c>
      <c r="F6" s="15" t="s">
        <v>8</v>
      </c>
      <c r="G6" s="15" t="s">
        <v>8</v>
      </c>
      <c r="I6" s="12"/>
      <c r="J6" s="12"/>
      <c r="M6" s="12"/>
      <c r="R6" s="12">
        <v>10000</v>
      </c>
      <c r="S6" s="12">
        <v>40000</v>
      </c>
    </row>
    <row r="7" spans="1:19" ht="15.75" thickBot="1" x14ac:dyDescent="0.3">
      <c r="A7" s="89"/>
      <c r="B7" s="89"/>
      <c r="C7" s="89"/>
      <c r="D7" s="89"/>
      <c r="E7" s="89"/>
      <c r="F7" s="16" t="s">
        <v>5</v>
      </c>
      <c r="G7" s="16" t="s">
        <v>6</v>
      </c>
      <c r="I7" s="12"/>
      <c r="J7" s="12">
        <v>130000</v>
      </c>
      <c r="K7" s="13" t="s">
        <v>77</v>
      </c>
      <c r="M7" s="25">
        <f>SUM(M2:M6)</f>
        <v>159000</v>
      </c>
      <c r="R7" s="12">
        <v>2000</v>
      </c>
      <c r="S7" s="12">
        <v>45000</v>
      </c>
    </row>
    <row r="8" spans="1:19" ht="15.75" thickTop="1" x14ac:dyDescent="0.25">
      <c r="A8" s="26">
        <v>1000</v>
      </c>
      <c r="B8" s="17" t="s">
        <v>9</v>
      </c>
      <c r="C8" s="17"/>
      <c r="D8" s="17"/>
      <c r="E8" s="17"/>
      <c r="F8" s="17"/>
      <c r="G8" s="17"/>
      <c r="I8" s="12"/>
      <c r="J8" s="12">
        <v>54000</v>
      </c>
      <c r="K8" s="13" t="s">
        <v>79</v>
      </c>
      <c r="M8" s="12"/>
      <c r="R8" s="12">
        <v>45000</v>
      </c>
      <c r="S8" s="12">
        <v>40000</v>
      </c>
    </row>
    <row r="9" spans="1:19" x14ac:dyDescent="0.25">
      <c r="A9" s="27"/>
      <c r="B9" s="18"/>
      <c r="C9" s="18"/>
      <c r="D9" s="18"/>
      <c r="E9" s="18"/>
      <c r="F9" s="18"/>
      <c r="G9" s="18"/>
      <c r="I9" s="12"/>
      <c r="J9" s="12"/>
      <c r="K9" s="13" t="s">
        <v>80</v>
      </c>
      <c r="M9" s="12"/>
      <c r="R9" s="12">
        <v>10000</v>
      </c>
      <c r="S9" s="12">
        <v>25000</v>
      </c>
    </row>
    <row r="10" spans="1:19" x14ac:dyDescent="0.25">
      <c r="A10" s="27">
        <v>1011</v>
      </c>
      <c r="B10" s="28" t="s">
        <v>10</v>
      </c>
      <c r="C10" s="18"/>
      <c r="D10" s="2"/>
      <c r="E10" s="2"/>
      <c r="F10" s="2"/>
      <c r="G10" s="2"/>
      <c r="I10" s="12"/>
      <c r="J10" s="12"/>
      <c r="M10" s="12">
        <v>16000</v>
      </c>
      <c r="N10" s="13" t="s">
        <v>85</v>
      </c>
      <c r="S10" s="12">
        <v>14000</v>
      </c>
    </row>
    <row r="11" spans="1:19" x14ac:dyDescent="0.25">
      <c r="A11" s="27"/>
      <c r="B11" s="29" t="s">
        <v>11</v>
      </c>
      <c r="C11" s="2">
        <v>1278616.72</v>
      </c>
      <c r="D11" s="2">
        <f>C11/4*3</f>
        <v>958962.54</v>
      </c>
      <c r="E11" s="11">
        <f>117372.31+97372.31+97372.31+104872.31+144446.38+100372.31+98872.31+98872.31+101871.43</f>
        <v>961423.98</v>
      </c>
      <c r="F11" s="2">
        <f>C11-E11</f>
        <v>317192.74</v>
      </c>
      <c r="G11" s="2">
        <f>D11-E11</f>
        <v>-2461.4399999999441</v>
      </c>
      <c r="I11" s="14"/>
      <c r="J11" s="12">
        <v>2000</v>
      </c>
      <c r="M11" s="12">
        <v>9000</v>
      </c>
      <c r="R11" s="12"/>
      <c r="S11" s="12"/>
    </row>
    <row r="12" spans="1:19" x14ac:dyDescent="0.25">
      <c r="A12" s="27"/>
      <c r="B12" s="29" t="s">
        <v>12</v>
      </c>
      <c r="C12" s="2">
        <v>907422</v>
      </c>
      <c r="D12" s="2">
        <v>907422</v>
      </c>
      <c r="E12" s="2">
        <f>145456.28+53064.89+100644.94+77635.25+173854.03+130085.92+130608.52+158444.41+79302.95</f>
        <v>1049097.1900000002</v>
      </c>
      <c r="F12" s="2">
        <f t="shared" ref="F12:F13" si="0">C12-E12</f>
        <v>-141675.19000000018</v>
      </c>
      <c r="G12" s="2">
        <f t="shared" ref="G12:G13" si="1">D12-E12</f>
        <v>-141675.19000000018</v>
      </c>
      <c r="I12" s="14"/>
      <c r="J12" s="12">
        <v>2000</v>
      </c>
      <c r="L12" s="12"/>
      <c r="M12" s="12">
        <v>10000</v>
      </c>
      <c r="R12" s="12"/>
      <c r="S12" s="12"/>
    </row>
    <row r="13" spans="1:19" x14ac:dyDescent="0.25">
      <c r="A13" s="27"/>
      <c r="B13" s="29" t="s">
        <v>13</v>
      </c>
      <c r="C13" s="2">
        <v>15000</v>
      </c>
      <c r="D13" s="2">
        <f>C13</f>
        <v>15000</v>
      </c>
      <c r="E13" s="2"/>
      <c r="F13" s="2">
        <f t="shared" si="0"/>
        <v>15000</v>
      </c>
      <c r="G13" s="2">
        <f t="shared" si="1"/>
        <v>15000</v>
      </c>
      <c r="I13" s="12"/>
      <c r="J13" s="12">
        <v>500</v>
      </c>
      <c r="L13" s="12"/>
      <c r="M13" s="12"/>
      <c r="R13" s="12"/>
      <c r="S13" s="12"/>
    </row>
    <row r="14" spans="1:19" x14ac:dyDescent="0.25">
      <c r="A14" s="27"/>
      <c r="B14" s="29" t="s">
        <v>14</v>
      </c>
      <c r="C14" s="2"/>
      <c r="D14" s="2"/>
      <c r="E14" s="2"/>
      <c r="F14" s="2"/>
      <c r="G14" s="2"/>
      <c r="I14" s="12"/>
      <c r="J14" s="12">
        <v>25000</v>
      </c>
      <c r="L14" s="12">
        <v>15</v>
      </c>
      <c r="R14" s="12"/>
      <c r="S14" s="12"/>
    </row>
    <row r="15" spans="1:19" x14ac:dyDescent="0.25">
      <c r="A15" s="27"/>
      <c r="B15" s="30" t="s">
        <v>27</v>
      </c>
      <c r="C15" s="8">
        <f>SUM(C11:C14)</f>
        <v>2201038.7199999997</v>
      </c>
      <c r="D15" s="8">
        <f>SUM(D11:D14)</f>
        <v>1881384.54</v>
      </c>
      <c r="E15" s="8">
        <f>SUM(E11:E14)</f>
        <v>2010521.1700000002</v>
      </c>
      <c r="F15" s="8">
        <f>SUM(F11:F14)</f>
        <v>190517.54999999981</v>
      </c>
      <c r="G15" s="8">
        <f>SUM(G11:G14)</f>
        <v>-129136.63000000012</v>
      </c>
      <c r="I15" s="12"/>
      <c r="J15" s="12">
        <v>1500</v>
      </c>
      <c r="L15" s="12">
        <v>49</v>
      </c>
      <c r="M15" s="14">
        <f>SUM(M10:M14)</f>
        <v>35000</v>
      </c>
      <c r="R15" s="12">
        <f>SUM(R4:R14)</f>
        <v>119000</v>
      </c>
      <c r="S15" s="12">
        <f>SUM(S4:S14)</f>
        <v>224000</v>
      </c>
    </row>
    <row r="16" spans="1:19" x14ac:dyDescent="0.25">
      <c r="A16" s="27"/>
      <c r="B16" s="18"/>
      <c r="C16" s="2"/>
      <c r="D16" s="2"/>
      <c r="E16" s="2"/>
      <c r="F16" s="2"/>
      <c r="G16" s="2"/>
      <c r="I16" s="12"/>
      <c r="J16" s="12">
        <v>500</v>
      </c>
      <c r="L16" s="12">
        <v>27</v>
      </c>
      <c r="R16" s="12">
        <f>R15-54000</f>
        <v>65000</v>
      </c>
      <c r="S16" s="14">
        <f>S15-130000</f>
        <v>94000</v>
      </c>
    </row>
    <row r="17" spans="1:19" x14ac:dyDescent="0.25">
      <c r="A17" s="27">
        <v>1021</v>
      </c>
      <c r="B17" s="28" t="s">
        <v>28</v>
      </c>
      <c r="C17" s="2"/>
      <c r="D17" s="2"/>
      <c r="E17" s="2"/>
      <c r="F17" s="2"/>
      <c r="G17" s="2"/>
      <c r="I17" s="12"/>
      <c r="J17" s="12">
        <v>10000</v>
      </c>
      <c r="L17" s="12"/>
      <c r="M17" s="14">
        <v>2000</v>
      </c>
      <c r="N17" s="13" t="s">
        <v>92</v>
      </c>
      <c r="R17" s="12"/>
      <c r="S17" s="14">
        <f>R16+S16</f>
        <v>159000</v>
      </c>
    </row>
    <row r="18" spans="1:19" x14ac:dyDescent="0.25">
      <c r="A18" s="27"/>
      <c r="B18" s="29" t="s">
        <v>11</v>
      </c>
      <c r="C18" s="2">
        <v>5826344.4400000004</v>
      </c>
      <c r="D18" s="2">
        <f>C18/4*3</f>
        <v>4369758.33</v>
      </c>
      <c r="E18" s="11">
        <f>507164.54+447164.54+447164.54+455164.54+627512.04+447164.54+447164.54+447164.54+447164.54</f>
        <v>4272828.3600000003</v>
      </c>
      <c r="F18" s="2">
        <f>C18-E18</f>
        <v>1553516.08</v>
      </c>
      <c r="G18" s="2">
        <f>D18-E18</f>
        <v>96929.969999999739</v>
      </c>
      <c r="I18" s="12"/>
      <c r="J18" s="12">
        <v>5000</v>
      </c>
      <c r="L18" s="12">
        <f>SUM(L14:L17)</f>
        <v>91</v>
      </c>
      <c r="M18" s="12">
        <v>8000</v>
      </c>
      <c r="R18" s="12"/>
    </row>
    <row r="19" spans="1:19" x14ac:dyDescent="0.25">
      <c r="A19" s="27"/>
      <c r="B19" s="29" t="s">
        <v>12</v>
      </c>
      <c r="C19" s="2">
        <v>889203.6</v>
      </c>
      <c r="D19" s="2">
        <v>600000</v>
      </c>
      <c r="E19" s="2">
        <f>100251.6+122496.17+65391.24+37491+56702.16+67137.08+82547+100995+47295</f>
        <v>680306.25</v>
      </c>
      <c r="F19" s="2">
        <f>C19-E19</f>
        <v>208897.34999999998</v>
      </c>
      <c r="G19" s="2">
        <f>D19-E19</f>
        <v>-80306.25</v>
      </c>
      <c r="I19" s="12"/>
      <c r="J19" s="12">
        <v>3000</v>
      </c>
      <c r="L19" s="14">
        <f>L18-58</f>
        <v>33</v>
      </c>
      <c r="M19" s="12">
        <v>40000</v>
      </c>
      <c r="N19" s="13" t="s">
        <v>90</v>
      </c>
      <c r="R19" s="12"/>
    </row>
    <row r="20" spans="1:19" x14ac:dyDescent="0.25">
      <c r="A20" s="27"/>
      <c r="B20" s="29" t="s">
        <v>13</v>
      </c>
      <c r="C20" s="2"/>
      <c r="D20" s="2"/>
      <c r="E20" s="2"/>
      <c r="F20" s="2">
        <f>C20-E20</f>
        <v>0</v>
      </c>
      <c r="G20" s="2">
        <f>D20-E20</f>
        <v>0</v>
      </c>
      <c r="I20" s="12"/>
      <c r="J20" s="12">
        <v>3000</v>
      </c>
      <c r="M20" s="12">
        <v>45000</v>
      </c>
      <c r="N20" s="13" t="s">
        <v>87</v>
      </c>
      <c r="R20" s="12"/>
    </row>
    <row r="21" spans="1:19" x14ac:dyDescent="0.25">
      <c r="A21" s="27"/>
      <c r="B21" s="29" t="s">
        <v>14</v>
      </c>
      <c r="C21" s="2"/>
      <c r="D21" s="2"/>
      <c r="E21" s="2"/>
      <c r="F21" s="2"/>
      <c r="G21" s="2"/>
      <c r="J21" s="12">
        <f>7*1500</f>
        <v>10500</v>
      </c>
      <c r="M21" s="12">
        <v>14000</v>
      </c>
      <c r="N21" s="13" t="s">
        <v>86</v>
      </c>
      <c r="R21" s="12"/>
    </row>
    <row r="22" spans="1:19" x14ac:dyDescent="0.25">
      <c r="A22" s="27"/>
      <c r="B22" s="30" t="s">
        <v>27</v>
      </c>
      <c r="C22" s="8">
        <f>SUM(C18:C21)</f>
        <v>6715548.04</v>
      </c>
      <c r="D22" s="8">
        <f>SUM(D18:D21)</f>
        <v>4969758.33</v>
      </c>
      <c r="E22" s="8">
        <f>SUM(E18:E21)</f>
        <v>4953134.6100000003</v>
      </c>
      <c r="F22" s="8">
        <f>SUM(F18:F21)</f>
        <v>1762413.4300000002</v>
      </c>
      <c r="G22" s="8">
        <f>SUM(G18:G21)</f>
        <v>16623.719999999739</v>
      </c>
      <c r="J22" s="12">
        <f>SUM(J11:J21)</f>
        <v>63000</v>
      </c>
      <c r="M22" s="14">
        <v>15000</v>
      </c>
      <c r="N22" s="13" t="s">
        <v>91</v>
      </c>
      <c r="R22" s="12"/>
    </row>
    <row r="23" spans="1:19" x14ac:dyDescent="0.25">
      <c r="A23" s="27"/>
      <c r="B23" s="18"/>
      <c r="C23" s="2"/>
      <c r="D23" s="2"/>
      <c r="E23" s="2"/>
      <c r="F23" s="2"/>
      <c r="G23" s="2"/>
      <c r="J23" s="12">
        <f>J22-12500</f>
        <v>50500</v>
      </c>
      <c r="M23" s="14">
        <v>25000</v>
      </c>
      <c r="N23" s="13" t="s">
        <v>88</v>
      </c>
      <c r="R23" s="12"/>
    </row>
    <row r="24" spans="1:19" x14ac:dyDescent="0.25">
      <c r="A24" s="27">
        <v>1041</v>
      </c>
      <c r="B24" s="28" t="s">
        <v>15</v>
      </c>
      <c r="C24" s="2"/>
      <c r="D24" s="2"/>
      <c r="E24" s="2"/>
      <c r="F24" s="2"/>
      <c r="G24" s="2"/>
      <c r="J24" s="12">
        <v>34000</v>
      </c>
      <c r="M24" s="14">
        <v>10000</v>
      </c>
      <c r="N24" s="13" t="s">
        <v>89</v>
      </c>
      <c r="R24" s="12"/>
    </row>
    <row r="25" spans="1:19" ht="15.75" thickBot="1" x14ac:dyDescent="0.3">
      <c r="A25" s="27"/>
      <c r="B25" s="29" t="s">
        <v>11</v>
      </c>
      <c r="C25" s="2">
        <v>795756.96</v>
      </c>
      <c r="D25" s="2">
        <f>C25/4*3</f>
        <v>596817.72</v>
      </c>
      <c r="E25" s="11">
        <f>71477.5+60182.83+59477.5+65477.5+82259+60183.13+60183.13+60183.13+60182.83</f>
        <v>579606.55000000005</v>
      </c>
      <c r="F25" s="2">
        <f>C25-E25</f>
        <v>216150.40999999992</v>
      </c>
      <c r="G25" s="2">
        <f>D25-E25</f>
        <v>17211.169999999925</v>
      </c>
      <c r="J25" s="25">
        <f>J23-J24</f>
        <v>16500</v>
      </c>
      <c r="M25" s="14">
        <f>SUM(M17:M24)</f>
        <v>159000</v>
      </c>
      <c r="R25" s="12"/>
    </row>
    <row r="26" spans="1:19" ht="15.75" thickTop="1" x14ac:dyDescent="0.25">
      <c r="A26" s="27"/>
      <c r="B26" s="29" t="s">
        <v>12</v>
      </c>
      <c r="C26" s="2">
        <v>113663</v>
      </c>
      <c r="D26" s="2">
        <v>75000</v>
      </c>
      <c r="E26" s="2">
        <f>7179.03+11958+13454.3+1906.56+926.39+1845.07+13538.83+2407.56+10098.2</f>
        <v>63313.94</v>
      </c>
      <c r="F26" s="2">
        <f>C26-E26</f>
        <v>50349.06</v>
      </c>
      <c r="G26" s="2">
        <f>D26-E26</f>
        <v>11686.059999999998</v>
      </c>
      <c r="J26" s="12"/>
      <c r="L26" s="12">
        <v>300</v>
      </c>
      <c r="M26" s="12">
        <v>5000</v>
      </c>
      <c r="R26" s="12"/>
    </row>
    <row r="27" spans="1:19" x14ac:dyDescent="0.25">
      <c r="A27" s="18"/>
      <c r="B27" s="29" t="s">
        <v>13</v>
      </c>
      <c r="C27" s="2"/>
      <c r="D27" s="2"/>
      <c r="E27" s="2"/>
      <c r="F27" s="2">
        <f>C27-E27</f>
        <v>0</v>
      </c>
      <c r="G27" s="2">
        <f>D27-E27</f>
        <v>0</v>
      </c>
      <c r="J27" s="12"/>
      <c r="L27" s="12">
        <v>1000</v>
      </c>
      <c r="M27" s="12">
        <v>2958</v>
      </c>
      <c r="R27" s="12"/>
    </row>
    <row r="28" spans="1:19" x14ac:dyDescent="0.25">
      <c r="A28" s="18"/>
      <c r="B28" s="29" t="s">
        <v>14</v>
      </c>
      <c r="C28" s="2"/>
      <c r="D28" s="2"/>
      <c r="E28" s="2"/>
      <c r="F28" s="2"/>
      <c r="G28" s="2"/>
      <c r="J28" s="12"/>
      <c r="L28" s="12">
        <v>500</v>
      </c>
      <c r="M28" s="12">
        <v>3650.5</v>
      </c>
      <c r="R28" s="12"/>
    </row>
    <row r="29" spans="1:19" x14ac:dyDescent="0.25">
      <c r="A29" s="18"/>
      <c r="B29" s="30" t="s">
        <v>27</v>
      </c>
      <c r="C29" s="8">
        <f>SUM(C25:C28)</f>
        <v>909419.96</v>
      </c>
      <c r="D29" s="8">
        <f>SUM(D25:D28)</f>
        <v>671817.72</v>
      </c>
      <c r="E29" s="8">
        <f>SUM(E25:E28)</f>
        <v>642920.49</v>
      </c>
      <c r="F29" s="8">
        <f>SUM(F25:F28)</f>
        <v>266499.46999999991</v>
      </c>
      <c r="G29" s="8">
        <f>SUM(G25:G28)</f>
        <v>28897.229999999923</v>
      </c>
      <c r="L29" s="12">
        <v>100</v>
      </c>
      <c r="M29" s="12">
        <v>5302.5</v>
      </c>
    </row>
    <row r="30" spans="1:19" x14ac:dyDescent="0.25">
      <c r="A30" s="18"/>
      <c r="B30" s="18"/>
      <c r="C30" s="2"/>
      <c r="D30" s="2"/>
      <c r="E30" s="2"/>
      <c r="F30" s="2"/>
      <c r="G30" s="2"/>
      <c r="L30" s="12"/>
      <c r="M30" s="12">
        <v>3350</v>
      </c>
    </row>
    <row r="31" spans="1:19" x14ac:dyDescent="0.25">
      <c r="A31" s="27">
        <v>1051</v>
      </c>
      <c r="B31" s="28" t="s">
        <v>16</v>
      </c>
      <c r="C31" s="2"/>
      <c r="D31" s="2"/>
      <c r="E31" s="2"/>
      <c r="F31" s="2"/>
      <c r="G31" s="2"/>
      <c r="L31" s="12"/>
      <c r="M31" s="12">
        <v>2000</v>
      </c>
    </row>
    <row r="32" spans="1:19" x14ac:dyDescent="0.25">
      <c r="A32" s="27"/>
      <c r="B32" s="29" t="s">
        <v>11</v>
      </c>
      <c r="C32" s="2">
        <v>586932.16</v>
      </c>
      <c r="D32" s="2">
        <f>C32/4*3</f>
        <v>440199.12</v>
      </c>
      <c r="E32" s="11">
        <f>49893.98+41893.98+44677.18+44677.18+68080.18+44677.18+44677.18+44677.18+44677.18</f>
        <v>427931.22</v>
      </c>
      <c r="F32" s="2">
        <f>C32-E32</f>
        <v>159000.94000000006</v>
      </c>
      <c r="G32" s="2">
        <f>D32-E32</f>
        <v>12267.900000000023</v>
      </c>
      <c r="L32" s="12"/>
      <c r="M32" s="12">
        <v>1248.75</v>
      </c>
    </row>
    <row r="33" spans="1:13" x14ac:dyDescent="0.25">
      <c r="A33" s="27"/>
      <c r="B33" s="29" t="s">
        <v>12</v>
      </c>
      <c r="C33" s="2">
        <v>48659.8</v>
      </c>
      <c r="D33" s="2">
        <v>36500</v>
      </c>
      <c r="E33" s="2">
        <f>2080+922+810+1410+3060+18369+2004+10160</f>
        <v>38815</v>
      </c>
      <c r="F33" s="2">
        <f>C33-E33</f>
        <v>9844.8000000000029</v>
      </c>
      <c r="G33" s="2">
        <f>D33-E33</f>
        <v>-2315</v>
      </c>
      <c r="L33" s="12"/>
      <c r="M33" s="12">
        <v>15000</v>
      </c>
    </row>
    <row r="34" spans="1:13" x14ac:dyDescent="0.25">
      <c r="A34" s="27"/>
      <c r="B34" s="29" t="s">
        <v>13</v>
      </c>
      <c r="C34" s="2"/>
      <c r="D34" s="2"/>
      <c r="E34" s="2"/>
      <c r="F34" s="2"/>
      <c r="G34" s="2"/>
      <c r="L34" s="12"/>
      <c r="M34" s="12">
        <v>14000</v>
      </c>
    </row>
    <row r="35" spans="1:13" x14ac:dyDescent="0.25">
      <c r="A35" s="27"/>
      <c r="B35" s="29" t="s">
        <v>14</v>
      </c>
      <c r="C35" s="2"/>
      <c r="D35" s="2"/>
      <c r="E35" s="2"/>
      <c r="F35" s="2"/>
      <c r="G35" s="2"/>
      <c r="L35" s="12"/>
    </row>
    <row r="36" spans="1:13" x14ac:dyDescent="0.25">
      <c r="A36" s="27"/>
      <c r="B36" s="30" t="s">
        <v>27</v>
      </c>
      <c r="C36" s="8">
        <f>SUM(C32:C35)</f>
        <v>635591.96000000008</v>
      </c>
      <c r="D36" s="8">
        <f>SUM(D32:D35)</f>
        <v>476699.12</v>
      </c>
      <c r="E36" s="8">
        <f>SUM(E32:E35)</f>
        <v>466746.22</v>
      </c>
      <c r="F36" s="8">
        <f>SUM(F32:F35)</f>
        <v>168845.74000000005</v>
      </c>
      <c r="G36" s="8">
        <f>SUM(G32:G35)</f>
        <v>9952.9000000000233</v>
      </c>
      <c r="L36" s="12"/>
    </row>
    <row r="37" spans="1:13" x14ac:dyDescent="0.25">
      <c r="A37" s="27"/>
      <c r="B37" s="18"/>
      <c r="C37" s="2"/>
      <c r="D37" s="2"/>
      <c r="E37" s="2"/>
      <c r="F37" s="2"/>
      <c r="G37" s="2"/>
      <c r="L37" s="12"/>
    </row>
    <row r="38" spans="1:13" x14ac:dyDescent="0.25">
      <c r="A38" s="27">
        <v>1071</v>
      </c>
      <c r="B38" s="28" t="s">
        <v>17</v>
      </c>
      <c r="C38" s="2"/>
      <c r="D38" s="2"/>
      <c r="E38" s="2"/>
      <c r="F38" s="2"/>
      <c r="G38" s="2"/>
      <c r="I38" s="13">
        <f>170*18</f>
        <v>3060</v>
      </c>
      <c r="L38" s="12"/>
    </row>
    <row r="39" spans="1:13" x14ac:dyDescent="0.25">
      <c r="A39" s="27"/>
      <c r="B39" s="29" t="s">
        <v>11</v>
      </c>
      <c r="C39" s="2">
        <v>455978.4</v>
      </c>
      <c r="D39" s="2">
        <f>C39/4*3</f>
        <v>341983.80000000005</v>
      </c>
      <c r="E39" s="11">
        <f>39218.2+35218.2+35218.2+37218.2+48898.2+35218.2+35218.2+35218.2+35218.2</f>
        <v>336643.80000000005</v>
      </c>
      <c r="F39" s="2">
        <f>C39-E39</f>
        <v>119334.59999999998</v>
      </c>
      <c r="G39" s="2">
        <f>D39-E39</f>
        <v>5340</v>
      </c>
      <c r="I39" s="13">
        <f>18*130</f>
        <v>2340</v>
      </c>
      <c r="L39" s="12">
        <f>SUM(L26:L38)</f>
        <v>1900</v>
      </c>
    </row>
    <row r="40" spans="1:13" x14ac:dyDescent="0.25">
      <c r="A40" s="27"/>
      <c r="B40" s="29" t="s">
        <v>12</v>
      </c>
      <c r="C40" s="2">
        <v>72185</v>
      </c>
      <c r="D40" s="2">
        <v>50000</v>
      </c>
      <c r="E40" s="2">
        <f>5186.5+300+9964+2200+3244+2200</f>
        <v>23094.5</v>
      </c>
      <c r="F40" s="2">
        <f>C40-E40</f>
        <v>49090.5</v>
      </c>
      <c r="G40" s="2">
        <f>D40-E40</f>
        <v>26905.5</v>
      </c>
      <c r="I40" s="13">
        <f>SUM(I38:I39)</f>
        <v>5400</v>
      </c>
    </row>
    <row r="41" spans="1:13" x14ac:dyDescent="0.25">
      <c r="A41" s="27"/>
      <c r="B41" s="29" t="s">
        <v>13</v>
      </c>
      <c r="C41" s="2"/>
      <c r="D41" s="2"/>
      <c r="E41" s="2"/>
      <c r="F41" s="2"/>
      <c r="G41" s="2"/>
      <c r="I41" s="13">
        <f>350*18</f>
        <v>6300</v>
      </c>
      <c r="M41" s="14">
        <f>SUM(M26:M40)</f>
        <v>52509.75</v>
      </c>
    </row>
    <row r="42" spans="1:13" x14ac:dyDescent="0.25">
      <c r="A42" s="27"/>
      <c r="B42" s="29" t="s">
        <v>14</v>
      </c>
      <c r="C42" s="2"/>
      <c r="D42" s="2"/>
      <c r="E42" s="2"/>
      <c r="F42" s="2"/>
      <c r="G42" s="2"/>
      <c r="I42" s="13">
        <f>SUM(I40:I41)</f>
        <v>11700</v>
      </c>
    </row>
    <row r="43" spans="1:13" x14ac:dyDescent="0.25">
      <c r="A43" s="27"/>
      <c r="B43" s="30" t="s">
        <v>27</v>
      </c>
      <c r="C43" s="8">
        <f>SUM(C39:C42)</f>
        <v>528163.4</v>
      </c>
      <c r="D43" s="8">
        <f>SUM(D39:D42)</f>
        <v>391983.80000000005</v>
      </c>
      <c r="E43" s="8">
        <f>SUM(E39:E42)</f>
        <v>359738.30000000005</v>
      </c>
      <c r="F43" s="8">
        <f>SUM(F39:F42)</f>
        <v>168425.09999999998</v>
      </c>
      <c r="G43" s="8">
        <f>SUM(G39:G42)</f>
        <v>32245.5</v>
      </c>
      <c r="I43" s="23">
        <f>15000-I42</f>
        <v>3300</v>
      </c>
    </row>
    <row r="44" spans="1:13" x14ac:dyDescent="0.25">
      <c r="A44" s="27"/>
      <c r="B44" s="18"/>
      <c r="C44" s="2"/>
      <c r="D44" s="2"/>
      <c r="E44" s="2"/>
      <c r="F44" s="2"/>
      <c r="G44" s="2"/>
    </row>
    <row r="45" spans="1:13" x14ac:dyDescent="0.25">
      <c r="A45" s="27">
        <v>1081</v>
      </c>
      <c r="B45" s="28" t="s">
        <v>18</v>
      </c>
      <c r="C45" s="2"/>
      <c r="D45" s="2"/>
      <c r="E45" s="2"/>
      <c r="F45" s="2"/>
      <c r="G45" s="2"/>
      <c r="I45" s="13">
        <v>6000</v>
      </c>
      <c r="M45" s="12">
        <v>34163973.780000001</v>
      </c>
    </row>
    <row r="46" spans="1:13" x14ac:dyDescent="0.25">
      <c r="A46" s="27"/>
      <c r="B46" s="29" t="s">
        <v>11</v>
      </c>
      <c r="C46" s="2">
        <v>883152.6</v>
      </c>
      <c r="D46" s="2">
        <f>C46/4*3</f>
        <v>662364.44999999995</v>
      </c>
      <c r="E46" s="11">
        <f>43686.72+39386.72+39386.72+39386.72+64004.22+39386.72+39386.72+39386.72+39386.72</f>
        <v>383397.98</v>
      </c>
      <c r="F46" s="2">
        <f>C46-E46</f>
        <v>499754.62</v>
      </c>
      <c r="G46" s="2">
        <f>D46-E46</f>
        <v>278966.46999999997</v>
      </c>
      <c r="I46" s="13">
        <v>9352</v>
      </c>
      <c r="M46" s="14">
        <f>M45*55%</f>
        <v>18790185.579000004</v>
      </c>
    </row>
    <row r="47" spans="1:13" x14ac:dyDescent="0.25">
      <c r="A47" s="27"/>
      <c r="B47" s="29" t="s">
        <v>12</v>
      </c>
      <c r="C47" s="2">
        <v>169427.5</v>
      </c>
      <c r="D47" s="2">
        <v>130000</v>
      </c>
      <c r="E47" s="2">
        <f>7668+3742+41926.8+1198+500+10390+5388+49924+27363</f>
        <v>148099.79999999999</v>
      </c>
      <c r="F47" s="2">
        <f>C47-E47</f>
        <v>21327.700000000012</v>
      </c>
      <c r="G47" s="2">
        <f>D47-E47</f>
        <v>-18099.799999999988</v>
      </c>
    </row>
    <row r="48" spans="1:13" x14ac:dyDescent="0.25">
      <c r="A48" s="27"/>
      <c r="B48" s="29" t="s">
        <v>13</v>
      </c>
      <c r="C48" s="2"/>
      <c r="D48" s="2"/>
      <c r="E48" s="2"/>
      <c r="F48" s="2">
        <f>C48-E48</f>
        <v>0</v>
      </c>
      <c r="G48" s="2">
        <f>D48-E48</f>
        <v>0</v>
      </c>
      <c r="H48" s="12"/>
      <c r="I48" s="45">
        <v>2000</v>
      </c>
    </row>
    <row r="49" spans="1:9" x14ac:dyDescent="0.25">
      <c r="A49" s="27"/>
      <c r="B49" s="29" t="s">
        <v>14</v>
      </c>
      <c r="C49" s="2"/>
      <c r="D49" s="2"/>
      <c r="E49" s="2"/>
      <c r="F49" s="2"/>
      <c r="G49" s="2"/>
      <c r="H49" s="12"/>
      <c r="I49" s="13">
        <v>5000</v>
      </c>
    </row>
    <row r="50" spans="1:9" x14ac:dyDescent="0.25">
      <c r="A50" s="27"/>
      <c r="B50" s="30" t="s">
        <v>27</v>
      </c>
      <c r="C50" s="8">
        <f>SUM(C46:C49)</f>
        <v>1052580.1000000001</v>
      </c>
      <c r="D50" s="8"/>
      <c r="E50" s="8">
        <f>SUM(E46:E49)</f>
        <v>531497.78</v>
      </c>
      <c r="F50" s="8">
        <f>SUM(F46:F49)</f>
        <v>521082.32</v>
      </c>
      <c r="G50" s="8">
        <f>SUM(G46:G49)</f>
        <v>260866.66999999998</v>
      </c>
      <c r="H50" s="12"/>
    </row>
    <row r="51" spans="1:9" x14ac:dyDescent="0.25">
      <c r="A51" s="27"/>
      <c r="B51" s="18"/>
      <c r="C51" s="2"/>
      <c r="D51" s="2"/>
      <c r="E51" s="2"/>
      <c r="F51" s="2"/>
      <c r="G51" s="2"/>
      <c r="H51" s="12"/>
      <c r="I51" s="13">
        <f>SUM(I45:I50)</f>
        <v>22352</v>
      </c>
    </row>
    <row r="52" spans="1:9" x14ac:dyDescent="0.25">
      <c r="A52" s="27">
        <v>1091</v>
      </c>
      <c r="B52" s="28" t="s">
        <v>19</v>
      </c>
      <c r="C52" s="2"/>
      <c r="D52" s="2"/>
      <c r="E52" s="2"/>
      <c r="F52" s="2"/>
      <c r="G52" s="2"/>
      <c r="H52" s="12"/>
      <c r="I52" s="13">
        <v>22352</v>
      </c>
    </row>
    <row r="53" spans="1:9" x14ac:dyDescent="0.25">
      <c r="A53" s="27"/>
      <c r="B53" s="29" t="s">
        <v>11</v>
      </c>
      <c r="C53" s="2">
        <v>1381633.04</v>
      </c>
      <c r="D53" s="2">
        <f>C53/4*3</f>
        <v>1036224.78</v>
      </c>
      <c r="E53" s="11">
        <f>130839.92+102839.92+102839.92+102839.92+147916.92+102841.92+102839.92+102839.92+102839.92</f>
        <v>998638.28000000014</v>
      </c>
      <c r="F53" s="2">
        <f>C53-E53</f>
        <v>382994.75999999989</v>
      </c>
      <c r="G53" s="2">
        <f>D53-E53</f>
        <v>37586.499999999884</v>
      </c>
      <c r="H53" s="12"/>
      <c r="I53" s="13">
        <f>I52-I51</f>
        <v>0</v>
      </c>
    </row>
    <row r="54" spans="1:9" x14ac:dyDescent="0.25">
      <c r="A54" s="27"/>
      <c r="B54" s="29" t="s">
        <v>12</v>
      </c>
      <c r="C54" s="2">
        <v>251782.6</v>
      </c>
      <c r="D54" s="2">
        <v>180000</v>
      </c>
      <c r="E54" s="2">
        <f>24187+22532+17190.5+17729.95+2933.75+2246+3790+18026.75+13097</f>
        <v>121732.95</v>
      </c>
      <c r="F54" s="2">
        <f>C54-E54</f>
        <v>130049.65000000001</v>
      </c>
      <c r="G54" s="2">
        <f>D54-E54</f>
        <v>58267.05</v>
      </c>
      <c r="H54" s="12"/>
    </row>
    <row r="55" spans="1:9" x14ac:dyDescent="0.25">
      <c r="A55" s="27"/>
      <c r="B55" s="29" t="s">
        <v>13</v>
      </c>
      <c r="C55" s="2"/>
      <c r="D55" s="2"/>
      <c r="E55" s="2"/>
      <c r="F55" s="2">
        <f>C55-E55</f>
        <v>0</v>
      </c>
      <c r="G55" s="2">
        <f>D55-E55</f>
        <v>0</v>
      </c>
      <c r="H55" s="12"/>
    </row>
    <row r="56" spans="1:9" x14ac:dyDescent="0.25">
      <c r="A56" s="27"/>
      <c r="B56" s="29" t="s">
        <v>14</v>
      </c>
      <c r="C56" s="2"/>
      <c r="D56" s="2"/>
      <c r="E56" s="2"/>
      <c r="F56" s="2"/>
      <c r="G56" s="2"/>
      <c r="H56" s="12"/>
    </row>
    <row r="57" spans="1:9" x14ac:dyDescent="0.25">
      <c r="A57" s="31"/>
      <c r="B57" s="30" t="s">
        <v>27</v>
      </c>
      <c r="C57" s="8">
        <f>SUM(C53:C56)</f>
        <v>1633415.6400000001</v>
      </c>
      <c r="D57" s="8">
        <f>SUM(D53:D56)</f>
        <v>1216224.78</v>
      </c>
      <c r="E57" s="8">
        <f>SUM(E53:E56)</f>
        <v>1120371.2300000002</v>
      </c>
      <c r="F57" s="8">
        <f>SUM(F53:F56)</f>
        <v>513044.40999999992</v>
      </c>
      <c r="G57" s="8">
        <f>SUM(G53:G56)</f>
        <v>95853.549999999886</v>
      </c>
      <c r="H57" s="12"/>
    </row>
    <row r="58" spans="1:9" ht="15.75" thickBot="1" x14ac:dyDescent="0.3">
      <c r="A58" s="32"/>
      <c r="B58" s="33"/>
      <c r="C58" s="9"/>
      <c r="D58" s="9"/>
      <c r="E58" s="9"/>
      <c r="F58" s="9"/>
      <c r="G58" s="34"/>
      <c r="H58" s="12"/>
    </row>
    <row r="59" spans="1:9" x14ac:dyDescent="0.25">
      <c r="A59" s="35"/>
      <c r="B59" s="36"/>
      <c r="C59" s="10"/>
      <c r="D59" s="10"/>
      <c r="E59" s="10"/>
      <c r="F59" s="10"/>
      <c r="G59" s="10"/>
      <c r="H59" s="12"/>
    </row>
    <row r="61" spans="1:9" x14ac:dyDescent="0.25">
      <c r="A61" s="35"/>
      <c r="B61" s="36"/>
      <c r="C61" s="10"/>
      <c r="D61" s="10"/>
      <c r="E61" s="10"/>
      <c r="F61" s="10"/>
      <c r="G61" s="10"/>
      <c r="H61" s="12"/>
    </row>
    <row r="62" spans="1:9" x14ac:dyDescent="0.25">
      <c r="A62" s="13" t="s">
        <v>0</v>
      </c>
      <c r="B62" s="36"/>
      <c r="C62" s="10"/>
      <c r="D62" s="10"/>
      <c r="E62" s="10"/>
      <c r="F62" s="10"/>
      <c r="G62" s="10"/>
      <c r="H62" s="12"/>
    </row>
    <row r="63" spans="1:9" x14ac:dyDescent="0.25">
      <c r="A63" s="13" t="s">
        <v>1</v>
      </c>
      <c r="B63" s="36"/>
      <c r="C63" s="10"/>
      <c r="D63" s="10"/>
      <c r="E63" s="10"/>
      <c r="F63" s="10"/>
      <c r="G63" s="10"/>
      <c r="H63" s="12"/>
    </row>
    <row r="64" spans="1:9" x14ac:dyDescent="0.25">
      <c r="A64" s="13" t="s">
        <v>2</v>
      </c>
      <c r="B64" s="36"/>
      <c r="C64" s="10"/>
      <c r="D64" s="10"/>
      <c r="E64" s="10"/>
      <c r="F64" s="10"/>
      <c r="G64" s="10"/>
      <c r="H64" s="12"/>
    </row>
    <row r="65" spans="1:15" x14ac:dyDescent="0.25">
      <c r="A65" s="24" t="s">
        <v>122</v>
      </c>
      <c r="B65" s="36"/>
      <c r="C65" s="10"/>
      <c r="D65" s="10"/>
      <c r="E65" s="10"/>
      <c r="F65" s="10"/>
      <c r="G65" s="10"/>
      <c r="H65" s="12"/>
    </row>
    <row r="66" spans="1:15" x14ac:dyDescent="0.25">
      <c r="A66" s="35"/>
      <c r="B66" s="36"/>
      <c r="C66" s="10"/>
      <c r="D66" s="10"/>
      <c r="E66" s="10"/>
      <c r="F66" s="10"/>
      <c r="G66" s="10"/>
      <c r="H66" s="12"/>
    </row>
    <row r="67" spans="1:15" x14ac:dyDescent="0.25">
      <c r="A67" s="88" t="s">
        <v>3</v>
      </c>
      <c r="B67" s="88" t="s">
        <v>4</v>
      </c>
      <c r="C67" s="88" t="s">
        <v>5</v>
      </c>
      <c r="D67" s="88" t="s">
        <v>6</v>
      </c>
      <c r="E67" s="88" t="s">
        <v>7</v>
      </c>
      <c r="F67" s="15" t="s">
        <v>8</v>
      </c>
      <c r="G67" s="15" t="s">
        <v>8</v>
      </c>
      <c r="H67" s="12"/>
    </row>
    <row r="68" spans="1:15" x14ac:dyDescent="0.25">
      <c r="A68" s="89"/>
      <c r="B68" s="89"/>
      <c r="C68" s="89"/>
      <c r="D68" s="89"/>
      <c r="E68" s="89"/>
      <c r="F68" s="16" t="s">
        <v>5</v>
      </c>
      <c r="G68" s="16" t="s">
        <v>6</v>
      </c>
      <c r="H68" s="12"/>
    </row>
    <row r="69" spans="1:15" x14ac:dyDescent="0.25">
      <c r="A69" s="26"/>
      <c r="B69" s="17"/>
      <c r="C69" s="19"/>
      <c r="D69" s="19"/>
      <c r="E69" s="19"/>
      <c r="F69" s="19"/>
      <c r="G69" s="19"/>
      <c r="H69" s="12"/>
    </row>
    <row r="70" spans="1:15" x14ac:dyDescent="0.25">
      <c r="A70" s="27">
        <v>1101</v>
      </c>
      <c r="B70" s="28" t="s">
        <v>20</v>
      </c>
      <c r="C70" s="2"/>
      <c r="D70" s="2"/>
      <c r="E70" s="2"/>
      <c r="F70" s="2"/>
      <c r="G70" s="2"/>
      <c r="H70" s="12"/>
      <c r="J70" s="12">
        <v>5000</v>
      </c>
      <c r="L70" s="12">
        <v>5000</v>
      </c>
      <c r="M70" s="12">
        <v>5000</v>
      </c>
      <c r="N70" s="12">
        <v>5000</v>
      </c>
    </row>
    <row r="71" spans="1:15" x14ac:dyDescent="0.25">
      <c r="A71" s="27"/>
      <c r="B71" s="29" t="s">
        <v>11</v>
      </c>
      <c r="C71" s="2">
        <v>623143.92000000004</v>
      </c>
      <c r="D71" s="2">
        <f>C71/4*2</f>
        <v>311571.96000000002</v>
      </c>
      <c r="E71" s="11">
        <f>55487.16+47487.16+47487.16+51487.16+68136.16+49487.16+49487.16+49487.16+49487.16</f>
        <v>468033.44000000018</v>
      </c>
      <c r="F71" s="2">
        <f>C71-E71</f>
        <v>155110.47999999986</v>
      </c>
      <c r="G71" s="2">
        <f>D71-E71</f>
        <v>-156461.48000000016</v>
      </c>
      <c r="H71" s="12"/>
      <c r="J71" s="12">
        <v>1228.6500000000001</v>
      </c>
      <c r="L71" s="12">
        <v>3650.5</v>
      </c>
      <c r="M71" s="12">
        <v>3350</v>
      </c>
      <c r="N71" s="12">
        <v>5302.5</v>
      </c>
    </row>
    <row r="72" spans="1:15" x14ac:dyDescent="0.25">
      <c r="A72" s="27"/>
      <c r="B72" s="29" t="s">
        <v>12</v>
      </c>
      <c r="C72" s="2">
        <v>92737</v>
      </c>
      <c r="D72" s="2">
        <v>90000</v>
      </c>
      <c r="E72" s="2">
        <f>20000+3700+23860.2+1680+5054+4290+1130+13530+7284.56</f>
        <v>80528.759999999995</v>
      </c>
      <c r="F72" s="2">
        <f>C72-E72</f>
        <v>12208.240000000005</v>
      </c>
      <c r="G72" s="2">
        <f>D72-E72</f>
        <v>9471.2400000000052</v>
      </c>
      <c r="H72" s="12"/>
      <c r="J72" s="12"/>
      <c r="L72" s="12">
        <v>3350</v>
      </c>
      <c r="M72" s="12">
        <v>630</v>
      </c>
      <c r="N72" s="12">
        <v>3350</v>
      </c>
    </row>
    <row r="73" spans="1:15" x14ac:dyDescent="0.25">
      <c r="A73" s="27"/>
      <c r="B73" s="29" t="s">
        <v>13</v>
      </c>
      <c r="C73" s="2"/>
      <c r="D73" s="2"/>
      <c r="E73" s="2"/>
      <c r="F73" s="2">
        <f>C73-E73</f>
        <v>0</v>
      </c>
      <c r="G73" s="2">
        <f>D73-E73</f>
        <v>0</v>
      </c>
      <c r="H73" s="12"/>
      <c r="J73" s="12">
        <v>5302.5</v>
      </c>
      <c r="L73" s="12">
        <v>1228.6500000000001</v>
      </c>
      <c r="M73" s="12">
        <v>5302</v>
      </c>
      <c r="N73" s="12">
        <v>2000</v>
      </c>
      <c r="O73" s="12">
        <v>446</v>
      </c>
    </row>
    <row r="74" spans="1:15" x14ac:dyDescent="0.25">
      <c r="A74" s="27"/>
      <c r="B74" s="29" t="s">
        <v>14</v>
      </c>
      <c r="C74" s="2"/>
      <c r="D74" s="2"/>
      <c r="E74" s="2"/>
      <c r="F74" s="2"/>
      <c r="G74" s="2"/>
      <c r="H74" s="12"/>
      <c r="J74" s="12">
        <v>3650.5</v>
      </c>
      <c r="L74" s="12">
        <v>2958</v>
      </c>
      <c r="M74" s="12"/>
      <c r="N74" s="12"/>
      <c r="O74" s="12">
        <v>150</v>
      </c>
    </row>
    <row r="75" spans="1:15" x14ac:dyDescent="0.25">
      <c r="A75" s="18"/>
      <c r="B75" s="30" t="s">
        <v>27</v>
      </c>
      <c r="C75" s="8">
        <f>SUM(C71:C74)</f>
        <v>715880.92</v>
      </c>
      <c r="D75" s="8">
        <f>SUM(D71:D74)</f>
        <v>401571.96</v>
      </c>
      <c r="E75" s="8">
        <f>SUM(E71:E74)</f>
        <v>548562.20000000019</v>
      </c>
      <c r="F75" s="8">
        <f>SUM(F71:F74)</f>
        <v>167318.71999999986</v>
      </c>
      <c r="G75" s="8">
        <f>SUM(G71:G74)</f>
        <v>-146990.24000000017</v>
      </c>
      <c r="H75" s="12"/>
      <c r="J75" s="12">
        <v>630</v>
      </c>
      <c r="L75" s="12"/>
      <c r="M75" s="12"/>
      <c r="N75" s="12">
        <v>630</v>
      </c>
      <c r="O75" s="13">
        <v>797</v>
      </c>
    </row>
    <row r="76" spans="1:15" x14ac:dyDescent="0.25">
      <c r="A76" s="27"/>
      <c r="B76" s="18"/>
      <c r="C76" s="2"/>
      <c r="D76" s="2"/>
      <c r="E76" s="2"/>
      <c r="F76" s="2"/>
      <c r="G76" s="2"/>
      <c r="H76" s="12"/>
      <c r="J76" s="12">
        <v>630</v>
      </c>
      <c r="L76" s="12"/>
      <c r="M76" s="12">
        <f>SUM(M70:M75)</f>
        <v>14282</v>
      </c>
      <c r="N76" s="12">
        <v>446</v>
      </c>
    </row>
    <row r="77" spans="1:15" x14ac:dyDescent="0.25">
      <c r="A77" s="27">
        <v>6544</v>
      </c>
      <c r="B77" s="28" t="s">
        <v>21</v>
      </c>
      <c r="C77" s="18"/>
      <c r="D77" s="2"/>
      <c r="E77" s="2"/>
      <c r="F77" s="2"/>
      <c r="G77" s="2"/>
      <c r="H77" s="12"/>
      <c r="L77" s="12"/>
      <c r="O77" s="14">
        <f>SUM(O73:O76)</f>
        <v>1393</v>
      </c>
    </row>
    <row r="78" spans="1:15" x14ac:dyDescent="0.25">
      <c r="A78" s="27"/>
      <c r="B78" s="29" t="s">
        <v>11</v>
      </c>
      <c r="C78" s="2">
        <v>1019403.44</v>
      </c>
      <c r="D78" s="2">
        <f>C78/4*2</f>
        <v>509701.72</v>
      </c>
      <c r="E78" s="11">
        <f>106961.1+69302.1+74787.12+75123.55+118187.55+62900.11+71059.43+71006.24+72666.29</f>
        <v>721993.49</v>
      </c>
      <c r="F78" s="2">
        <f>C78-E78</f>
        <v>297409.94999999995</v>
      </c>
      <c r="G78" s="2">
        <f>D78-E78</f>
        <v>-212291.77000000002</v>
      </c>
      <c r="H78" s="12"/>
      <c r="L78" s="12"/>
    </row>
    <row r="79" spans="1:15" x14ac:dyDescent="0.25">
      <c r="A79" s="27"/>
      <c r="B79" s="29" t="s">
        <v>12</v>
      </c>
      <c r="C79" s="2">
        <v>619090</v>
      </c>
      <c r="D79" s="2">
        <v>500000</v>
      </c>
      <c r="E79" s="2">
        <f>91475.1+58152.12+51285.28+110382.15+3589.41+157709.23+156898.36+68220.61+15466.49</f>
        <v>713178.75</v>
      </c>
      <c r="F79" s="2">
        <f>C79-E79</f>
        <v>-94088.75</v>
      </c>
      <c r="G79" s="2">
        <f>D79-E79</f>
        <v>-213178.75</v>
      </c>
      <c r="H79" s="12"/>
      <c r="L79" s="12"/>
    </row>
    <row r="80" spans="1:15" x14ac:dyDescent="0.25">
      <c r="A80" s="27"/>
      <c r="B80" s="29" t="s">
        <v>13</v>
      </c>
      <c r="C80" s="2"/>
      <c r="D80" s="2"/>
      <c r="E80" s="2"/>
      <c r="F80" s="2"/>
      <c r="G80" s="2"/>
      <c r="H80" s="12"/>
      <c r="L80" s="12"/>
    </row>
    <row r="81" spans="1:14" x14ac:dyDescent="0.25">
      <c r="A81" s="27"/>
      <c r="B81" s="29" t="s">
        <v>14</v>
      </c>
      <c r="C81" s="2"/>
      <c r="D81" s="2"/>
      <c r="E81" s="2"/>
      <c r="F81" s="2"/>
      <c r="G81" s="2"/>
      <c r="H81" s="12"/>
      <c r="J81" s="12">
        <f>SUM(J70:J76)</f>
        <v>16441.650000000001</v>
      </c>
      <c r="L81" s="12">
        <f>SUM(L70:L80)</f>
        <v>16187.15</v>
      </c>
      <c r="M81" s="14">
        <f>M76-16500</f>
        <v>-2218</v>
      </c>
      <c r="N81" s="14">
        <f>SUM(N70:N80)</f>
        <v>16728.5</v>
      </c>
    </row>
    <row r="82" spans="1:14" x14ac:dyDescent="0.25">
      <c r="A82" s="27"/>
      <c r="B82" s="30" t="s">
        <v>27</v>
      </c>
      <c r="C82" s="8">
        <f>SUM(C78:C81)</f>
        <v>1638493.44</v>
      </c>
      <c r="D82" s="8">
        <f>SUM(D78:D81)</f>
        <v>1009701.72</v>
      </c>
      <c r="E82" s="8">
        <f>SUM(E78:E81)</f>
        <v>1435172.24</v>
      </c>
      <c r="F82" s="8">
        <f>SUM(F78:F81)</f>
        <v>203321.19999999995</v>
      </c>
      <c r="G82" s="8">
        <f>SUM(G78:G81)</f>
        <v>-425470.52</v>
      </c>
      <c r="H82" s="12"/>
      <c r="J82" s="13">
        <f>16500</f>
        <v>16500</v>
      </c>
      <c r="L82" s="13">
        <v>16500</v>
      </c>
      <c r="N82" s="13">
        <v>16500</v>
      </c>
    </row>
    <row r="83" spans="1:14" x14ac:dyDescent="0.25">
      <c r="A83" s="27"/>
      <c r="B83" s="18"/>
      <c r="C83" s="2"/>
      <c r="D83" s="2"/>
      <c r="E83" s="2"/>
      <c r="F83" s="2"/>
      <c r="G83" s="2"/>
      <c r="H83" s="12"/>
      <c r="J83" s="14">
        <f>J82-J81</f>
        <v>58.349999999998545</v>
      </c>
      <c r="L83" s="14">
        <f>L82-L81</f>
        <v>312.85000000000036</v>
      </c>
      <c r="N83" s="14">
        <f>N82-N81</f>
        <v>-228.5</v>
      </c>
    </row>
    <row r="84" spans="1:14" x14ac:dyDescent="0.25">
      <c r="A84" s="27">
        <v>4411</v>
      </c>
      <c r="B84" s="28" t="s">
        <v>22</v>
      </c>
      <c r="C84" s="18"/>
      <c r="D84" s="2"/>
      <c r="E84" s="2"/>
      <c r="F84" s="2"/>
      <c r="G84" s="2"/>
      <c r="H84" s="12"/>
    </row>
    <row r="85" spans="1:14" x14ac:dyDescent="0.25">
      <c r="A85" s="27"/>
      <c r="B85" s="29" t="s">
        <v>11</v>
      </c>
      <c r="C85" s="2">
        <v>2196512.08</v>
      </c>
      <c r="D85" s="2">
        <f>C85/4*2</f>
        <v>1098256.04</v>
      </c>
      <c r="E85" s="11">
        <f>213957.92+167107.92+167107.92+181107.92+243912.92+167107.92+167107.92+167107.92+167107.92</f>
        <v>1641626.2799999998</v>
      </c>
      <c r="F85" s="2">
        <f>C85-E85</f>
        <v>554885.80000000028</v>
      </c>
      <c r="G85" s="2">
        <f>D85-E85</f>
        <v>-543370.23999999976</v>
      </c>
      <c r="H85" s="12"/>
    </row>
    <row r="86" spans="1:14" x14ac:dyDescent="0.25">
      <c r="A86" s="27"/>
      <c r="B86" s="29" t="s">
        <v>12</v>
      </c>
      <c r="C86" s="2">
        <v>144544.5</v>
      </c>
      <c r="D86" s="2">
        <v>50000</v>
      </c>
      <c r="E86" s="2">
        <f>710.17+17928.29+6893.74+4570+13976.97+710+7002+36124</f>
        <v>87915.17</v>
      </c>
      <c r="F86" s="2">
        <f>C86-E86</f>
        <v>56629.33</v>
      </c>
      <c r="G86" s="2">
        <f>D86-E86</f>
        <v>-37915.17</v>
      </c>
      <c r="H86" s="12"/>
    </row>
    <row r="87" spans="1:14" x14ac:dyDescent="0.25">
      <c r="A87" s="27"/>
      <c r="B87" s="29" t="s">
        <v>13</v>
      </c>
      <c r="C87" s="2"/>
      <c r="D87" s="2"/>
      <c r="E87" s="2"/>
      <c r="F87" s="2"/>
      <c r="G87" s="2"/>
      <c r="H87" s="12"/>
    </row>
    <row r="88" spans="1:14" x14ac:dyDescent="0.25">
      <c r="A88" s="27"/>
      <c r="B88" s="29" t="s">
        <v>14</v>
      </c>
      <c r="C88" s="2"/>
      <c r="D88" s="2"/>
      <c r="E88" s="2"/>
      <c r="F88" s="2"/>
      <c r="G88" s="2"/>
      <c r="H88" s="12"/>
    </row>
    <row r="89" spans="1:14" x14ac:dyDescent="0.25">
      <c r="A89" s="27"/>
      <c r="B89" s="30" t="s">
        <v>27</v>
      </c>
      <c r="C89" s="8">
        <f>SUM(C85:C88)</f>
        <v>2341056.58</v>
      </c>
      <c r="D89" s="8">
        <f>SUM(D85:D88)</f>
        <v>1148256.04</v>
      </c>
      <c r="E89" s="8">
        <f>SUM(E85:E88)</f>
        <v>1729541.4499999997</v>
      </c>
      <c r="F89" s="8">
        <f>SUM(F85:F88)</f>
        <v>611515.13000000024</v>
      </c>
      <c r="G89" s="8">
        <f>SUM(G85:G88)</f>
        <v>-581285.4099999998</v>
      </c>
      <c r="H89" s="12"/>
    </row>
    <row r="90" spans="1:14" x14ac:dyDescent="0.25">
      <c r="A90" s="27"/>
      <c r="B90" s="18"/>
      <c r="C90" s="2"/>
      <c r="D90" s="2"/>
      <c r="E90" s="2"/>
      <c r="F90" s="2"/>
      <c r="G90" s="2"/>
      <c r="H90" s="12"/>
    </row>
    <row r="91" spans="1:14" x14ac:dyDescent="0.25">
      <c r="A91" s="27">
        <v>7611</v>
      </c>
      <c r="B91" s="28" t="s">
        <v>23</v>
      </c>
      <c r="C91" s="2"/>
      <c r="D91" s="2"/>
      <c r="E91" s="2"/>
      <c r="F91" s="2"/>
      <c r="G91" s="2"/>
      <c r="H91" s="12"/>
    </row>
    <row r="92" spans="1:14" x14ac:dyDescent="0.25">
      <c r="A92" s="27"/>
      <c r="B92" s="29" t="s">
        <v>11</v>
      </c>
      <c r="C92" s="2">
        <v>992283.32</v>
      </c>
      <c r="D92" s="2">
        <f>C92/4*2</f>
        <v>496141.66</v>
      </c>
      <c r="E92" s="11">
        <f>84286.36+68536.36+68486.36+75036.36+104009.86+68536.36+68286.36+68536.36+68536.36</f>
        <v>674250.74</v>
      </c>
      <c r="F92" s="2">
        <f>C92-E92</f>
        <v>318032.57999999996</v>
      </c>
      <c r="G92" s="2">
        <f>D92-E92</f>
        <v>-178109.08000000002</v>
      </c>
      <c r="H92" s="12"/>
    </row>
    <row r="93" spans="1:14" x14ac:dyDescent="0.25">
      <c r="A93" s="27"/>
      <c r="B93" s="29" t="s">
        <v>12</v>
      </c>
      <c r="C93" s="2">
        <v>157000.95000000001</v>
      </c>
      <c r="D93" s="2">
        <v>100000</v>
      </c>
      <c r="E93" s="2">
        <f>26300+5800+15920.75+9030+23743+13272+2540+14973+5300</f>
        <v>116878.75</v>
      </c>
      <c r="F93" s="2">
        <f>C93-E93</f>
        <v>40122.200000000012</v>
      </c>
      <c r="G93" s="2">
        <f>D93-E93</f>
        <v>-16878.75</v>
      </c>
      <c r="H93" s="12"/>
    </row>
    <row r="94" spans="1:14" x14ac:dyDescent="0.25">
      <c r="A94" s="27"/>
      <c r="B94" s="29" t="s">
        <v>13</v>
      </c>
      <c r="C94" s="2">
        <v>20000</v>
      </c>
      <c r="D94" s="2"/>
      <c r="E94" s="2"/>
      <c r="F94" s="2"/>
      <c r="G94" s="2"/>
      <c r="H94" s="12"/>
    </row>
    <row r="95" spans="1:14" x14ac:dyDescent="0.25">
      <c r="A95" s="27"/>
      <c r="B95" s="29" t="s">
        <v>14</v>
      </c>
      <c r="C95" s="2"/>
      <c r="D95" s="2"/>
      <c r="E95" s="2"/>
      <c r="F95" s="2"/>
      <c r="G95" s="2"/>
      <c r="H95" s="12"/>
    </row>
    <row r="96" spans="1:14" x14ac:dyDescent="0.25">
      <c r="A96" s="27"/>
      <c r="B96" s="30" t="s">
        <v>27</v>
      </c>
      <c r="C96" s="8">
        <f>SUM(C92:C95)</f>
        <v>1169284.27</v>
      </c>
      <c r="D96" s="8">
        <f>SUM(D92:D95)</f>
        <v>596141.65999999992</v>
      </c>
      <c r="E96" s="8">
        <f>SUM(E92:E95)</f>
        <v>791129.49</v>
      </c>
      <c r="F96" s="8">
        <f>SUM(F92:F95)</f>
        <v>358154.77999999997</v>
      </c>
      <c r="G96" s="8">
        <f>SUM(G92:G95)</f>
        <v>-194987.83000000002</v>
      </c>
      <c r="H96" s="12"/>
    </row>
    <row r="97" spans="1:8" x14ac:dyDescent="0.25">
      <c r="A97" s="27"/>
      <c r="B97" s="18"/>
      <c r="C97" s="2"/>
      <c r="D97" s="2"/>
      <c r="E97" s="2"/>
      <c r="F97" s="2"/>
      <c r="G97" s="2"/>
      <c r="H97" s="12"/>
    </row>
    <row r="98" spans="1:8" x14ac:dyDescent="0.25">
      <c r="A98" s="27">
        <v>8711</v>
      </c>
      <c r="B98" s="28" t="s">
        <v>24</v>
      </c>
      <c r="C98" s="2"/>
      <c r="D98" s="2"/>
      <c r="E98" s="2"/>
      <c r="F98" s="2"/>
      <c r="G98" s="2"/>
      <c r="H98" s="12"/>
    </row>
    <row r="99" spans="1:8" x14ac:dyDescent="0.25">
      <c r="A99" s="27"/>
      <c r="B99" s="29" t="s">
        <v>11</v>
      </c>
      <c r="C99" s="2">
        <v>752074.44</v>
      </c>
      <c r="D99" s="2">
        <f>C99/4*2</f>
        <v>376037.22</v>
      </c>
      <c r="E99" s="11">
        <f>68568.62+56568.62+56568.62+62568.62+84194.12+56568.62+56568.62+56568.62+56568.62</f>
        <v>554743.07999999996</v>
      </c>
      <c r="F99" s="2">
        <f>C99-E99</f>
        <v>197331.36</v>
      </c>
      <c r="G99" s="2">
        <f>D99-E99</f>
        <v>-178705.86</v>
      </c>
      <c r="H99" s="12"/>
    </row>
    <row r="100" spans="1:8" x14ac:dyDescent="0.25">
      <c r="A100" s="27"/>
      <c r="B100" s="29" t="s">
        <v>12</v>
      </c>
      <c r="C100" s="2">
        <v>72539.5</v>
      </c>
      <c r="D100" s="2">
        <v>25000</v>
      </c>
      <c r="E100" s="2">
        <f>6720.03+214+1104.34+3376.27+9654+923.33+2185.75+9132.7</f>
        <v>33310.42</v>
      </c>
      <c r="F100" s="2">
        <f>C100-E100</f>
        <v>39229.08</v>
      </c>
      <c r="G100" s="2">
        <f>D100-E100</f>
        <v>-8310.4199999999983</v>
      </c>
      <c r="H100" s="12"/>
    </row>
    <row r="101" spans="1:8" x14ac:dyDescent="0.25">
      <c r="A101" s="27"/>
      <c r="B101" s="29" t="s">
        <v>13</v>
      </c>
      <c r="C101" s="2"/>
      <c r="D101" s="2"/>
      <c r="E101" s="2"/>
      <c r="F101" s="2"/>
      <c r="G101" s="2"/>
      <c r="H101" s="12"/>
    </row>
    <row r="102" spans="1:8" x14ac:dyDescent="0.25">
      <c r="A102" s="27"/>
      <c r="B102" s="29" t="s">
        <v>14</v>
      </c>
      <c r="C102" s="2"/>
      <c r="D102" s="2"/>
      <c r="E102" s="2"/>
      <c r="F102" s="2"/>
      <c r="G102" s="2"/>
      <c r="H102" s="12"/>
    </row>
    <row r="103" spans="1:8" x14ac:dyDescent="0.25">
      <c r="A103" s="27"/>
      <c r="B103" s="30" t="s">
        <v>27</v>
      </c>
      <c r="C103" s="8">
        <f>SUM(C99:C102)</f>
        <v>824613.94</v>
      </c>
      <c r="D103" s="8">
        <f>SUM(D99:D102)</f>
        <v>401037.22</v>
      </c>
      <c r="E103" s="8">
        <f>SUM(E99:E102)</f>
        <v>588053.5</v>
      </c>
      <c r="F103" s="8">
        <f>SUM(F99:F102)</f>
        <v>236560.44</v>
      </c>
      <c r="G103" s="8">
        <f>SUM(G99:G102)</f>
        <v>-187016.27999999997</v>
      </c>
      <c r="H103" s="12"/>
    </row>
    <row r="104" spans="1:8" x14ac:dyDescent="0.25">
      <c r="A104" s="27"/>
      <c r="B104" s="18"/>
      <c r="C104" s="2"/>
      <c r="D104" s="2"/>
      <c r="E104" s="2"/>
      <c r="F104" s="2"/>
      <c r="G104" s="2"/>
      <c r="H104" s="12"/>
    </row>
    <row r="105" spans="1:8" x14ac:dyDescent="0.25">
      <c r="A105" s="27">
        <v>8751</v>
      </c>
      <c r="B105" s="28" t="s">
        <v>25</v>
      </c>
      <c r="C105" s="2"/>
      <c r="D105" s="2"/>
      <c r="E105" s="2"/>
      <c r="F105" s="2"/>
      <c r="G105" s="2"/>
      <c r="H105" s="12"/>
    </row>
    <row r="106" spans="1:8" x14ac:dyDescent="0.25">
      <c r="A106" s="27"/>
      <c r="B106" s="29" t="s">
        <v>11</v>
      </c>
      <c r="C106" s="2">
        <v>834996</v>
      </c>
      <c r="D106" s="2">
        <f>C106/4*2</f>
        <v>417498</v>
      </c>
      <c r="E106" s="11">
        <f>74640.31+62740.31+62640.31+68640.31+92196.81+63129.75+63129.75+63229.75+63229.75</f>
        <v>613577.05000000005</v>
      </c>
      <c r="F106" s="2">
        <f>C106-E106</f>
        <v>221418.94999999995</v>
      </c>
      <c r="G106" s="2">
        <f>D106-E106</f>
        <v>-196079.05000000005</v>
      </c>
      <c r="H106" s="12"/>
    </row>
    <row r="107" spans="1:8" x14ac:dyDescent="0.25">
      <c r="A107" s="27"/>
      <c r="B107" s="29" t="s">
        <v>12</v>
      </c>
      <c r="C107" s="2">
        <v>45705</v>
      </c>
      <c r="D107" s="2">
        <v>5000</v>
      </c>
      <c r="E107" s="2">
        <f>300+390+755+7545+2000+4900</f>
        <v>15890</v>
      </c>
      <c r="F107" s="2">
        <f>C107-E107</f>
        <v>29815</v>
      </c>
      <c r="G107" s="2">
        <f>D107-E107</f>
        <v>-10890</v>
      </c>
      <c r="H107" s="12"/>
    </row>
    <row r="108" spans="1:8" x14ac:dyDescent="0.25">
      <c r="A108" s="27"/>
      <c r="B108" s="29" t="s">
        <v>13</v>
      </c>
      <c r="C108" s="2">
        <v>20000</v>
      </c>
      <c r="D108" s="2"/>
      <c r="E108" s="2"/>
      <c r="F108" s="2"/>
      <c r="G108" s="2"/>
      <c r="H108" s="12"/>
    </row>
    <row r="109" spans="1:8" x14ac:dyDescent="0.25">
      <c r="A109" s="27"/>
      <c r="B109" s="29" t="s">
        <v>14</v>
      </c>
      <c r="C109" s="2"/>
      <c r="D109" s="2"/>
      <c r="E109" s="2"/>
      <c r="F109" s="2"/>
      <c r="G109" s="2"/>
      <c r="H109" s="12"/>
    </row>
    <row r="110" spans="1:8" x14ac:dyDescent="0.25">
      <c r="A110" s="27"/>
      <c r="B110" s="30" t="s">
        <v>27</v>
      </c>
      <c r="C110" s="8">
        <f>SUM(C106:C109)</f>
        <v>900701</v>
      </c>
      <c r="D110" s="8">
        <f>SUM(D106:D109)</f>
        <v>422498</v>
      </c>
      <c r="E110" s="8">
        <f>SUM(E106:E109)</f>
        <v>629467.05000000005</v>
      </c>
      <c r="F110" s="8">
        <f>SUM(F106:F109)</f>
        <v>251233.94999999995</v>
      </c>
      <c r="G110" s="8">
        <f>SUM(G106:G109)</f>
        <v>-206969.05000000005</v>
      </c>
      <c r="H110" s="12"/>
    </row>
    <row r="111" spans="1:8" x14ac:dyDescent="0.25">
      <c r="A111" s="27"/>
      <c r="B111" s="18"/>
      <c r="C111" s="2"/>
      <c r="D111" s="2"/>
      <c r="E111" s="2"/>
      <c r="F111" s="2"/>
      <c r="G111" s="2"/>
      <c r="H111" s="12"/>
    </row>
    <row r="112" spans="1:8" x14ac:dyDescent="0.25">
      <c r="A112" s="27">
        <v>8811</v>
      </c>
      <c r="B112" s="28" t="s">
        <v>26</v>
      </c>
      <c r="C112" s="2"/>
      <c r="D112" s="2"/>
      <c r="E112" s="2"/>
      <c r="F112" s="2"/>
      <c r="G112" s="2"/>
      <c r="H112" s="12"/>
    </row>
    <row r="113" spans="1:8" x14ac:dyDescent="0.25">
      <c r="A113" s="27"/>
      <c r="B113" s="29" t="s">
        <v>11</v>
      </c>
      <c r="C113" s="2"/>
      <c r="D113" s="2"/>
      <c r="E113" s="2"/>
      <c r="F113" s="2">
        <f>C113-E113</f>
        <v>0</v>
      </c>
      <c r="G113" s="2">
        <f>D113-E113</f>
        <v>0</v>
      </c>
      <c r="H113" s="12"/>
    </row>
    <row r="114" spans="1:8" x14ac:dyDescent="0.25">
      <c r="A114" s="27"/>
      <c r="B114" s="29" t="s">
        <v>12</v>
      </c>
      <c r="C114" s="2">
        <v>42119</v>
      </c>
      <c r="D114" s="2">
        <v>10000</v>
      </c>
      <c r="E114" s="2">
        <f>7267+12690</f>
        <v>19957</v>
      </c>
      <c r="F114" s="2">
        <f>C114-E114</f>
        <v>22162</v>
      </c>
      <c r="G114" s="2">
        <f>D114-E114</f>
        <v>-9957</v>
      </c>
      <c r="H114" s="12"/>
    </row>
    <row r="115" spans="1:8" x14ac:dyDescent="0.25">
      <c r="A115" s="27"/>
      <c r="B115" s="29" t="s">
        <v>13</v>
      </c>
      <c r="C115" s="2"/>
      <c r="D115" s="2"/>
      <c r="E115" s="2"/>
      <c r="F115" s="2"/>
      <c r="G115" s="2"/>
      <c r="H115" s="12"/>
    </row>
    <row r="116" spans="1:8" x14ac:dyDescent="0.25">
      <c r="A116" s="27"/>
      <c r="B116" s="29" t="s">
        <v>14</v>
      </c>
      <c r="C116" s="2"/>
      <c r="D116" s="2"/>
      <c r="E116" s="2"/>
      <c r="F116" s="2"/>
      <c r="G116" s="2"/>
      <c r="H116" s="12"/>
    </row>
    <row r="117" spans="1:8" x14ac:dyDescent="0.25">
      <c r="A117" s="31"/>
      <c r="B117" s="30" t="s">
        <v>27</v>
      </c>
      <c r="C117" s="8">
        <f>SUM(C113:C116)</f>
        <v>42119</v>
      </c>
      <c r="D117" s="8">
        <f>SUM(D113:D116)</f>
        <v>10000</v>
      </c>
      <c r="E117" s="8">
        <f>SUM(E113:E116)</f>
        <v>19957</v>
      </c>
      <c r="F117" s="8">
        <f>SUM(F113:F116)</f>
        <v>22162</v>
      </c>
      <c r="G117" s="8">
        <f>SUM(G113:G116)</f>
        <v>-9957</v>
      </c>
      <c r="H117" s="12"/>
    </row>
    <row r="118" spans="1:8" ht="15.75" thickBot="1" x14ac:dyDescent="0.3">
      <c r="A118" s="37"/>
      <c r="B118" s="38"/>
      <c r="C118" s="9"/>
      <c r="D118" s="9"/>
      <c r="E118" s="9"/>
      <c r="F118" s="9"/>
      <c r="G118" s="34"/>
      <c r="H118" s="12"/>
    </row>
    <row r="119" spans="1:8" x14ac:dyDescent="0.25">
      <c r="C119" s="12"/>
      <c r="D119" s="12"/>
      <c r="E119" s="12"/>
      <c r="F119" s="12"/>
      <c r="G119" s="12"/>
      <c r="H119" s="12"/>
    </row>
    <row r="120" spans="1:8" x14ac:dyDescent="0.25">
      <c r="C120" s="12"/>
      <c r="D120" s="12"/>
      <c r="E120" s="12"/>
      <c r="F120" s="12"/>
      <c r="G120" s="12"/>
      <c r="H120" s="12"/>
    </row>
    <row r="121" spans="1:8" x14ac:dyDescent="0.25">
      <c r="C121" s="12"/>
      <c r="D121" s="12"/>
      <c r="E121" s="12"/>
      <c r="F121" s="12"/>
      <c r="G121" s="12"/>
      <c r="H121" s="12"/>
    </row>
    <row r="122" spans="1:8" x14ac:dyDescent="0.25">
      <c r="A122" s="13" t="s">
        <v>0</v>
      </c>
      <c r="B122" s="36"/>
      <c r="C122" s="10"/>
      <c r="D122" s="10"/>
      <c r="E122" s="10"/>
      <c r="F122" s="10"/>
      <c r="G122" s="10"/>
      <c r="H122" s="12"/>
    </row>
    <row r="123" spans="1:8" x14ac:dyDescent="0.25">
      <c r="A123" s="13" t="s">
        <v>1</v>
      </c>
      <c r="B123" s="36"/>
      <c r="C123" s="10"/>
      <c r="D123" s="10"/>
      <c r="E123" s="10"/>
      <c r="F123" s="10"/>
      <c r="G123" s="10"/>
      <c r="H123" s="12"/>
    </row>
    <row r="124" spans="1:8" x14ac:dyDescent="0.25">
      <c r="A124" s="13" t="s">
        <v>2</v>
      </c>
      <c r="B124" s="36"/>
      <c r="C124" s="10"/>
      <c r="D124" s="10"/>
      <c r="E124" s="10"/>
      <c r="F124" s="10"/>
      <c r="G124" s="10"/>
      <c r="H124" s="12"/>
    </row>
    <row r="125" spans="1:8" x14ac:dyDescent="0.25">
      <c r="A125" s="24" t="s">
        <v>122</v>
      </c>
      <c r="B125" s="36"/>
      <c r="C125" s="10"/>
      <c r="D125" s="10"/>
      <c r="E125" s="10"/>
      <c r="F125" s="10"/>
      <c r="G125" s="10"/>
      <c r="H125" s="12"/>
    </row>
    <row r="126" spans="1:8" x14ac:dyDescent="0.25">
      <c r="A126" s="35"/>
      <c r="B126" s="36"/>
      <c r="C126" s="10"/>
      <c r="D126" s="10"/>
      <c r="E126" s="10"/>
      <c r="F126" s="10"/>
      <c r="G126" s="10"/>
      <c r="H126" s="12"/>
    </row>
    <row r="127" spans="1:8" x14ac:dyDescent="0.25">
      <c r="A127" s="88" t="s">
        <v>3</v>
      </c>
      <c r="B127" s="88" t="s">
        <v>4</v>
      </c>
      <c r="C127" s="88" t="s">
        <v>5</v>
      </c>
      <c r="D127" s="88" t="s">
        <v>6</v>
      </c>
      <c r="E127" s="88" t="s">
        <v>7</v>
      </c>
      <c r="F127" s="15" t="s">
        <v>8</v>
      </c>
      <c r="G127" s="15" t="s">
        <v>8</v>
      </c>
      <c r="H127" s="12"/>
    </row>
    <row r="128" spans="1:8" x14ac:dyDescent="0.25">
      <c r="A128" s="89"/>
      <c r="B128" s="89"/>
      <c r="C128" s="89"/>
      <c r="D128" s="89"/>
      <c r="E128" s="89"/>
      <c r="F128" s="16" t="s">
        <v>5</v>
      </c>
      <c r="G128" s="16" t="s">
        <v>6</v>
      </c>
      <c r="H128" s="12"/>
    </row>
    <row r="129" spans="1:12" x14ac:dyDescent="0.25">
      <c r="A129" s="17"/>
      <c r="B129" s="17"/>
      <c r="C129" s="19"/>
      <c r="D129" s="19"/>
      <c r="E129" s="19"/>
      <c r="F129" s="19"/>
      <c r="G129" s="19"/>
      <c r="H129" s="12"/>
    </row>
    <row r="130" spans="1:12" x14ac:dyDescent="0.25">
      <c r="A130" s="18" t="s">
        <v>29</v>
      </c>
      <c r="B130" s="18" t="s">
        <v>38</v>
      </c>
      <c r="C130" s="2">
        <v>33446.199999999997</v>
      </c>
      <c r="D130" s="2"/>
      <c r="E130" s="2"/>
      <c r="F130" s="2">
        <f t="shared" ref="F130:F169" si="2">C130-E130</f>
        <v>33446.199999999997</v>
      </c>
      <c r="G130" s="2">
        <f t="shared" ref="G130:G171" si="3">D130-E130</f>
        <v>0</v>
      </c>
      <c r="H130" s="12"/>
    </row>
    <row r="131" spans="1:12" x14ac:dyDescent="0.25">
      <c r="A131" s="18"/>
      <c r="B131" s="18" t="s">
        <v>31</v>
      </c>
      <c r="C131" s="2">
        <v>300000</v>
      </c>
      <c r="D131" s="2">
        <v>300000</v>
      </c>
      <c r="E131" s="2">
        <f>24296.11+600+50000+304000</f>
        <v>378896.11</v>
      </c>
      <c r="F131" s="2">
        <f t="shared" si="2"/>
        <v>-78896.109999999986</v>
      </c>
      <c r="G131" s="2">
        <f t="shared" si="3"/>
        <v>-78896.109999999986</v>
      </c>
      <c r="H131" s="12"/>
    </row>
    <row r="132" spans="1:12" x14ac:dyDescent="0.25">
      <c r="A132" s="18"/>
      <c r="B132" s="18" t="s">
        <v>93</v>
      </c>
      <c r="C132" s="2">
        <v>60000</v>
      </c>
      <c r="D132" s="2">
        <v>60000</v>
      </c>
      <c r="E132" s="2">
        <f>1375+11078+25420+3220+4475+49484+7124</f>
        <v>102176</v>
      </c>
      <c r="F132" s="2">
        <f t="shared" si="2"/>
        <v>-42176</v>
      </c>
      <c r="G132" s="2">
        <f t="shared" si="3"/>
        <v>-42176</v>
      </c>
      <c r="H132" s="12"/>
      <c r="J132" s="12"/>
    </row>
    <row r="133" spans="1:12" x14ac:dyDescent="0.25">
      <c r="A133" s="18"/>
      <c r="B133" s="18" t="s">
        <v>32</v>
      </c>
      <c r="C133" s="2">
        <v>30000</v>
      </c>
      <c r="D133" s="2">
        <v>10000</v>
      </c>
      <c r="E133" s="2">
        <f>7600+70</f>
        <v>7670</v>
      </c>
      <c r="F133" s="2">
        <f t="shared" si="2"/>
        <v>22330</v>
      </c>
      <c r="G133" s="2">
        <f t="shared" si="3"/>
        <v>2330</v>
      </c>
      <c r="H133" s="12"/>
      <c r="J133" s="12">
        <v>857870</v>
      </c>
    </row>
    <row r="134" spans="1:12" x14ac:dyDescent="0.25">
      <c r="A134" s="18"/>
      <c r="B134" s="18" t="s">
        <v>94</v>
      </c>
      <c r="C134" s="2">
        <v>50000</v>
      </c>
      <c r="D134" s="2">
        <v>20000</v>
      </c>
      <c r="E134" s="2">
        <f>6693+7030.5+3000</f>
        <v>16723.5</v>
      </c>
      <c r="F134" s="2">
        <f t="shared" si="2"/>
        <v>33276.5</v>
      </c>
      <c r="G134" s="2">
        <f t="shared" si="3"/>
        <v>3276.5</v>
      </c>
      <c r="H134" s="12"/>
      <c r="J134" s="12"/>
    </row>
    <row r="135" spans="1:12" x14ac:dyDescent="0.25">
      <c r="A135" s="18"/>
      <c r="B135" s="18" t="s">
        <v>95</v>
      </c>
      <c r="C135" s="2">
        <v>650000</v>
      </c>
      <c r="D135" s="2"/>
      <c r="E135" s="2"/>
      <c r="F135" s="2">
        <f t="shared" si="2"/>
        <v>650000</v>
      </c>
      <c r="G135" s="2">
        <f t="shared" si="3"/>
        <v>0</v>
      </c>
      <c r="H135" s="12"/>
      <c r="J135" s="12"/>
      <c r="L135" s="13">
        <f>30*6</f>
        <v>180</v>
      </c>
    </row>
    <row r="136" spans="1:12" x14ac:dyDescent="0.25">
      <c r="A136" s="18"/>
      <c r="B136" s="18" t="s">
        <v>35</v>
      </c>
      <c r="C136" s="2">
        <v>170000</v>
      </c>
      <c r="D136" s="2">
        <v>170000</v>
      </c>
      <c r="E136" s="2">
        <f>16850+62900+56050+25800</f>
        <v>161600</v>
      </c>
      <c r="F136" s="2">
        <f t="shared" si="2"/>
        <v>8400</v>
      </c>
      <c r="G136" s="2">
        <f t="shared" si="3"/>
        <v>8400</v>
      </c>
      <c r="H136" s="12" t="s">
        <v>120</v>
      </c>
      <c r="J136" s="12">
        <f>J133*55%</f>
        <v>471828.50000000006</v>
      </c>
      <c r="L136" s="13">
        <f>L135*12</f>
        <v>2160</v>
      </c>
    </row>
    <row r="137" spans="1:12" x14ac:dyDescent="0.25">
      <c r="A137" s="18"/>
      <c r="B137" s="18" t="s">
        <v>96</v>
      </c>
      <c r="C137" s="2">
        <v>20000</v>
      </c>
      <c r="D137" s="2"/>
      <c r="E137" s="2"/>
      <c r="F137" s="2">
        <f t="shared" si="2"/>
        <v>20000</v>
      </c>
      <c r="G137" s="2">
        <f t="shared" si="3"/>
        <v>0</v>
      </c>
      <c r="J137" s="12"/>
    </row>
    <row r="138" spans="1:12" x14ac:dyDescent="0.25">
      <c r="A138" s="18"/>
      <c r="B138" s="18" t="s">
        <v>100</v>
      </c>
      <c r="C138" s="2">
        <v>300000</v>
      </c>
      <c r="D138" s="2">
        <v>40000</v>
      </c>
      <c r="E138" s="2">
        <f>15000+20000</f>
        <v>35000</v>
      </c>
      <c r="F138" s="2">
        <f t="shared" si="2"/>
        <v>265000</v>
      </c>
      <c r="G138" s="2">
        <f t="shared" si="3"/>
        <v>5000</v>
      </c>
      <c r="J138" s="12"/>
    </row>
    <row r="139" spans="1:12" x14ac:dyDescent="0.25">
      <c r="A139" s="18"/>
      <c r="B139" s="18" t="s">
        <v>33</v>
      </c>
      <c r="C139" s="2">
        <v>50000</v>
      </c>
      <c r="D139" s="2">
        <v>50000</v>
      </c>
      <c r="E139" s="2">
        <f>3300+5920+36300+33700+33800</f>
        <v>113020</v>
      </c>
      <c r="F139" s="2">
        <f t="shared" si="2"/>
        <v>-63020</v>
      </c>
      <c r="G139" s="2">
        <f t="shared" si="3"/>
        <v>-63020</v>
      </c>
      <c r="J139" s="12">
        <f>150*3000</f>
        <v>450000</v>
      </c>
      <c r="L139" s="13">
        <f>300*150</f>
        <v>45000</v>
      </c>
    </row>
    <row r="140" spans="1:12" x14ac:dyDescent="0.25">
      <c r="A140" s="18"/>
      <c r="B140" s="18" t="s">
        <v>97</v>
      </c>
      <c r="C140" s="2">
        <v>25000</v>
      </c>
      <c r="D140" s="2">
        <v>25000</v>
      </c>
      <c r="E140" s="2">
        <v>20499</v>
      </c>
      <c r="F140" s="2">
        <f t="shared" si="2"/>
        <v>4501</v>
      </c>
      <c r="G140" s="2">
        <f t="shared" si="3"/>
        <v>4501</v>
      </c>
      <c r="J140" s="12"/>
    </row>
    <row r="141" spans="1:12" x14ac:dyDescent="0.25">
      <c r="A141" s="18"/>
      <c r="B141" s="18" t="s">
        <v>39</v>
      </c>
      <c r="C141" s="2">
        <v>50000</v>
      </c>
      <c r="D141" s="2">
        <v>20000</v>
      </c>
      <c r="E141" s="2">
        <f>10299+455+7894+5640</f>
        <v>24288</v>
      </c>
      <c r="F141" s="2">
        <f t="shared" si="2"/>
        <v>25712</v>
      </c>
      <c r="G141" s="2">
        <f t="shared" si="3"/>
        <v>-4288</v>
      </c>
      <c r="J141" s="13">
        <f>35*3</f>
        <v>105</v>
      </c>
    </row>
    <row r="142" spans="1:12" x14ac:dyDescent="0.25">
      <c r="A142" s="18"/>
      <c r="B142" s="18" t="s">
        <v>40</v>
      </c>
      <c r="C142" s="2">
        <v>50000</v>
      </c>
      <c r="D142" s="2">
        <v>15000</v>
      </c>
      <c r="E142" s="2">
        <f>1671+5835.33+2493.5+1000</f>
        <v>10999.83</v>
      </c>
      <c r="F142" s="2">
        <f t="shared" si="2"/>
        <v>39000.17</v>
      </c>
      <c r="G142" s="2">
        <f t="shared" si="3"/>
        <v>4000.17</v>
      </c>
      <c r="J142" s="13">
        <f>J141*6</f>
        <v>630</v>
      </c>
    </row>
    <row r="143" spans="1:12" x14ac:dyDescent="0.25">
      <c r="A143" s="18"/>
      <c r="B143" s="18" t="s">
        <v>36</v>
      </c>
      <c r="C143" s="2">
        <v>20000</v>
      </c>
      <c r="D143" s="2">
        <v>5000</v>
      </c>
      <c r="E143" s="2">
        <f>1588.5+1077+1500+579</f>
        <v>4744.5</v>
      </c>
      <c r="F143" s="2">
        <f t="shared" si="2"/>
        <v>15255.5</v>
      </c>
      <c r="G143" s="2">
        <f t="shared" si="3"/>
        <v>255.5</v>
      </c>
    </row>
    <row r="144" spans="1:12" x14ac:dyDescent="0.25">
      <c r="A144" s="18"/>
      <c r="B144" s="18" t="s">
        <v>98</v>
      </c>
      <c r="C144" s="2">
        <v>80000</v>
      </c>
      <c r="D144" s="2">
        <v>50000</v>
      </c>
      <c r="E144" s="2">
        <f>20896.8+5100+3900+325+10330</f>
        <v>40551.800000000003</v>
      </c>
      <c r="F144" s="2">
        <f t="shared" si="2"/>
        <v>39448.199999999997</v>
      </c>
      <c r="G144" s="2">
        <f t="shared" si="3"/>
        <v>9448.1999999999971</v>
      </c>
    </row>
    <row r="145" spans="1:10" x14ac:dyDescent="0.25">
      <c r="A145" s="18"/>
      <c r="B145" s="18" t="s">
        <v>30</v>
      </c>
      <c r="C145" s="2">
        <v>55000</v>
      </c>
      <c r="D145" s="2">
        <v>55000</v>
      </c>
      <c r="E145" s="2">
        <f>4000+28303+23270</f>
        <v>55573</v>
      </c>
      <c r="F145" s="2">
        <f t="shared" si="2"/>
        <v>-573</v>
      </c>
      <c r="G145" s="2">
        <f t="shared" si="3"/>
        <v>-573</v>
      </c>
    </row>
    <row r="146" spans="1:10" x14ac:dyDescent="0.25">
      <c r="A146" s="18"/>
      <c r="B146" s="18" t="s">
        <v>99</v>
      </c>
      <c r="C146" s="2">
        <v>700000</v>
      </c>
      <c r="D146" s="2"/>
      <c r="E146" s="2"/>
      <c r="F146" s="2">
        <f t="shared" si="2"/>
        <v>700000</v>
      </c>
      <c r="G146" s="2">
        <f t="shared" si="3"/>
        <v>0</v>
      </c>
      <c r="H146" s="13" t="s">
        <v>121</v>
      </c>
    </row>
    <row r="147" spans="1:10" x14ac:dyDescent="0.25">
      <c r="A147" s="18"/>
      <c r="B147" s="18" t="s">
        <v>109</v>
      </c>
      <c r="C147" s="2">
        <v>180000</v>
      </c>
      <c r="D147" s="2">
        <v>180000</v>
      </c>
      <c r="E147" s="2">
        <f>9081+55572.5+32601.6+40902.2+53656.75+8150+17470</f>
        <v>217434.05</v>
      </c>
      <c r="F147" s="2">
        <f t="shared" si="2"/>
        <v>-37434.049999999988</v>
      </c>
      <c r="G147" s="2">
        <f t="shared" si="3"/>
        <v>-37434.049999999988</v>
      </c>
    </row>
    <row r="148" spans="1:10" x14ac:dyDescent="0.25">
      <c r="A148" s="18"/>
      <c r="B148" s="18" t="s">
        <v>110</v>
      </c>
      <c r="C148" s="2">
        <v>700000</v>
      </c>
      <c r="D148" s="2">
        <v>700000</v>
      </c>
      <c r="E148" s="2">
        <f>55900+131950+113200+126800+81100+53550+126500</f>
        <v>689000</v>
      </c>
      <c r="F148" s="2">
        <f t="shared" si="2"/>
        <v>11000</v>
      </c>
      <c r="G148" s="2">
        <f t="shared" si="3"/>
        <v>11000</v>
      </c>
    </row>
    <row r="149" spans="1:10" x14ac:dyDescent="0.25">
      <c r="A149" s="18"/>
      <c r="B149" s="18" t="s">
        <v>49</v>
      </c>
      <c r="C149" s="2">
        <v>30000</v>
      </c>
      <c r="D149" s="2">
        <v>30000</v>
      </c>
      <c r="E149" s="2">
        <f>5000+18000</f>
        <v>23000</v>
      </c>
      <c r="F149" s="2">
        <f t="shared" si="2"/>
        <v>7000</v>
      </c>
      <c r="G149" s="2">
        <f t="shared" si="3"/>
        <v>7000</v>
      </c>
    </row>
    <row r="150" spans="1:10" x14ac:dyDescent="0.25">
      <c r="A150" s="18"/>
      <c r="B150" s="18" t="s">
        <v>101</v>
      </c>
      <c r="C150" s="2">
        <v>20000</v>
      </c>
      <c r="D150" s="2"/>
      <c r="E150" s="2"/>
      <c r="F150" s="2">
        <f t="shared" si="2"/>
        <v>20000</v>
      </c>
      <c r="G150" s="2">
        <f t="shared" si="3"/>
        <v>0</v>
      </c>
    </row>
    <row r="151" spans="1:10" x14ac:dyDescent="0.25">
      <c r="A151" s="18"/>
      <c r="B151" s="18" t="s">
        <v>50</v>
      </c>
      <c r="C151" s="2">
        <v>20000</v>
      </c>
      <c r="D151" s="2">
        <v>10000</v>
      </c>
      <c r="E151" s="2">
        <f>1206+4260+300+3552</f>
        <v>9318</v>
      </c>
      <c r="F151" s="2">
        <f t="shared" si="2"/>
        <v>10682</v>
      </c>
      <c r="G151" s="2">
        <f t="shared" si="3"/>
        <v>682</v>
      </c>
    </row>
    <row r="152" spans="1:10" x14ac:dyDescent="0.25">
      <c r="A152" s="18"/>
      <c r="B152" s="18" t="s">
        <v>102</v>
      </c>
      <c r="C152" s="2">
        <v>10000</v>
      </c>
      <c r="D152" s="2">
        <v>10000</v>
      </c>
      <c r="E152" s="2">
        <v>10000</v>
      </c>
      <c r="F152" s="2">
        <f t="shared" si="2"/>
        <v>0</v>
      </c>
      <c r="G152" s="2">
        <f t="shared" si="3"/>
        <v>0</v>
      </c>
    </row>
    <row r="153" spans="1:10" x14ac:dyDescent="0.25">
      <c r="A153" s="18"/>
      <c r="B153" s="18" t="s">
        <v>51</v>
      </c>
      <c r="C153" s="2">
        <v>200000</v>
      </c>
      <c r="D153" s="2">
        <v>200000</v>
      </c>
      <c r="E153" s="2">
        <f>25671+9061+37101+72210.5+33516+20434.6+30020</f>
        <v>228014.1</v>
      </c>
      <c r="F153" s="2">
        <f t="shared" si="2"/>
        <v>-28014.100000000006</v>
      </c>
      <c r="G153" s="2">
        <f t="shared" si="3"/>
        <v>-28014.100000000006</v>
      </c>
    </row>
    <row r="154" spans="1:10" x14ac:dyDescent="0.25">
      <c r="A154" s="18"/>
      <c r="B154" s="18" t="s">
        <v>103</v>
      </c>
      <c r="C154" s="2">
        <v>500000</v>
      </c>
      <c r="D154" s="2"/>
      <c r="E154" s="2"/>
      <c r="F154" s="2">
        <f t="shared" si="2"/>
        <v>500000</v>
      </c>
      <c r="G154" s="2">
        <f t="shared" si="3"/>
        <v>0</v>
      </c>
      <c r="J154" s="14"/>
    </row>
    <row r="155" spans="1:10" x14ac:dyDescent="0.25">
      <c r="A155" s="18"/>
      <c r="B155" s="18" t="s">
        <v>52</v>
      </c>
      <c r="C155" s="2">
        <v>50000</v>
      </c>
      <c r="D155" s="2"/>
      <c r="E155" s="2">
        <v>32271.5</v>
      </c>
      <c r="F155" s="2">
        <f t="shared" si="2"/>
        <v>17728.5</v>
      </c>
      <c r="G155" s="2">
        <f t="shared" si="3"/>
        <v>-32271.5</v>
      </c>
    </row>
    <row r="156" spans="1:10" x14ac:dyDescent="0.25">
      <c r="A156" s="18"/>
      <c r="B156" s="18" t="s">
        <v>104</v>
      </c>
      <c r="C156" s="2">
        <v>700000</v>
      </c>
      <c r="D156" s="2">
        <v>200000</v>
      </c>
      <c r="E156" s="2">
        <v>194101</v>
      </c>
      <c r="F156" s="2">
        <f t="shared" si="2"/>
        <v>505899</v>
      </c>
      <c r="G156" s="2">
        <f t="shared" si="3"/>
        <v>5899</v>
      </c>
    </row>
    <row r="157" spans="1:10" x14ac:dyDescent="0.25">
      <c r="A157" s="18"/>
      <c r="B157" s="18" t="s">
        <v>34</v>
      </c>
      <c r="C157" s="2">
        <v>40000</v>
      </c>
      <c r="D157" s="2">
        <v>10000</v>
      </c>
      <c r="E157" s="2">
        <f>3100+1905+1800+2300+300</f>
        <v>9405</v>
      </c>
      <c r="F157" s="2">
        <f t="shared" si="2"/>
        <v>30595</v>
      </c>
      <c r="G157" s="2">
        <f t="shared" si="3"/>
        <v>595</v>
      </c>
    </row>
    <row r="158" spans="1:10" x14ac:dyDescent="0.25">
      <c r="A158" s="18"/>
      <c r="B158" s="18" t="s">
        <v>48</v>
      </c>
      <c r="C158" s="2">
        <v>35000</v>
      </c>
      <c r="D158" s="2"/>
      <c r="E158" s="2"/>
      <c r="F158" s="2">
        <f t="shared" si="2"/>
        <v>35000</v>
      </c>
      <c r="G158" s="2">
        <f t="shared" si="3"/>
        <v>0</v>
      </c>
      <c r="I158" s="13">
        <f>150*455</f>
        <v>68250</v>
      </c>
    </row>
    <row r="159" spans="1:10" x14ac:dyDescent="0.25">
      <c r="A159" s="18"/>
      <c r="B159" s="18" t="s">
        <v>37</v>
      </c>
      <c r="C159" s="2">
        <v>30000</v>
      </c>
      <c r="D159" s="2"/>
      <c r="E159" s="2"/>
      <c r="F159" s="2">
        <f t="shared" si="2"/>
        <v>30000</v>
      </c>
      <c r="G159" s="2">
        <f t="shared" si="3"/>
        <v>0</v>
      </c>
    </row>
    <row r="160" spans="1:10" x14ac:dyDescent="0.25">
      <c r="A160" s="18"/>
      <c r="B160" s="18" t="s">
        <v>105</v>
      </c>
      <c r="C160" s="2">
        <v>550000</v>
      </c>
      <c r="D160" s="2">
        <v>350000</v>
      </c>
      <c r="E160" s="2">
        <f>2990+320448+8782.5+3260</f>
        <v>335480.5</v>
      </c>
      <c r="F160" s="2">
        <f t="shared" si="2"/>
        <v>214519.5</v>
      </c>
      <c r="G160" s="2">
        <f t="shared" si="3"/>
        <v>14519.5</v>
      </c>
    </row>
    <row r="161" spans="1:7" x14ac:dyDescent="0.25">
      <c r="A161" s="18"/>
      <c r="B161" s="18" t="s">
        <v>41</v>
      </c>
      <c r="C161" s="2">
        <v>57600</v>
      </c>
      <c r="D161" s="2"/>
      <c r="E161" s="2"/>
      <c r="F161" s="2">
        <f t="shared" si="2"/>
        <v>57600</v>
      </c>
      <c r="G161" s="2"/>
    </row>
    <row r="162" spans="1:7" x14ac:dyDescent="0.25">
      <c r="A162" s="18"/>
      <c r="B162" s="18" t="s">
        <v>106</v>
      </c>
      <c r="C162" s="2">
        <v>10000</v>
      </c>
      <c r="D162" s="2">
        <v>5000</v>
      </c>
      <c r="E162" s="2">
        <v>5000</v>
      </c>
      <c r="F162" s="2">
        <f t="shared" si="2"/>
        <v>5000</v>
      </c>
      <c r="G162" s="2">
        <f t="shared" si="3"/>
        <v>0</v>
      </c>
    </row>
    <row r="163" spans="1:7" x14ac:dyDescent="0.25">
      <c r="A163" s="18"/>
      <c r="B163" s="18" t="s">
        <v>107</v>
      </c>
      <c r="C163" s="2">
        <v>24842.400000000001</v>
      </c>
      <c r="D163" s="2"/>
      <c r="E163" s="2"/>
      <c r="F163" s="2">
        <f t="shared" si="2"/>
        <v>24842.400000000001</v>
      </c>
      <c r="G163" s="2">
        <f t="shared" si="3"/>
        <v>0</v>
      </c>
    </row>
    <row r="164" spans="1:7" x14ac:dyDescent="0.25">
      <c r="A164" s="18"/>
      <c r="B164" s="18" t="s">
        <v>42</v>
      </c>
      <c r="C164" s="2">
        <v>15000</v>
      </c>
      <c r="D164" s="2"/>
      <c r="E164" s="2">
        <v>3450</v>
      </c>
      <c r="F164" s="2">
        <f t="shared" si="2"/>
        <v>11550</v>
      </c>
      <c r="G164" s="2">
        <f t="shared" si="3"/>
        <v>-3450</v>
      </c>
    </row>
    <row r="165" spans="1:7" x14ac:dyDescent="0.25">
      <c r="A165" s="18"/>
      <c r="B165" s="18" t="s">
        <v>43</v>
      </c>
      <c r="C165" s="2">
        <v>10000</v>
      </c>
      <c r="D165" s="2">
        <v>5000</v>
      </c>
      <c r="E165" s="2">
        <v>3490</v>
      </c>
      <c r="F165" s="2">
        <f t="shared" si="2"/>
        <v>6510</v>
      </c>
      <c r="G165" s="2">
        <f t="shared" si="3"/>
        <v>1510</v>
      </c>
    </row>
    <row r="166" spans="1:7" x14ac:dyDescent="0.25">
      <c r="A166" s="18"/>
      <c r="B166" s="18" t="s">
        <v>44</v>
      </c>
      <c r="C166" s="2">
        <v>15000</v>
      </c>
      <c r="D166" s="2"/>
      <c r="E166" s="2"/>
      <c r="F166" s="2">
        <f t="shared" si="2"/>
        <v>15000</v>
      </c>
      <c r="G166" s="2">
        <f t="shared" si="3"/>
        <v>0</v>
      </c>
    </row>
    <row r="167" spans="1:7" x14ac:dyDescent="0.25">
      <c r="A167" s="18"/>
      <c r="B167" s="18" t="s">
        <v>45</v>
      </c>
      <c r="C167" s="2">
        <v>86400</v>
      </c>
      <c r="D167" s="2">
        <v>60000</v>
      </c>
      <c r="E167" s="2">
        <f>7200+7200+14400+7200+7200+7200+7200</f>
        <v>57600</v>
      </c>
      <c r="F167" s="2">
        <f t="shared" si="2"/>
        <v>28800</v>
      </c>
      <c r="G167" s="2">
        <f t="shared" si="3"/>
        <v>2400</v>
      </c>
    </row>
    <row r="168" spans="1:7" x14ac:dyDescent="0.25">
      <c r="A168" s="18"/>
      <c r="B168" s="18" t="s">
        <v>46</v>
      </c>
      <c r="C168" s="2">
        <v>12000</v>
      </c>
      <c r="D168" s="2"/>
      <c r="E168" s="2"/>
      <c r="F168" s="2">
        <f t="shared" si="2"/>
        <v>12000</v>
      </c>
      <c r="G168" s="2">
        <f t="shared" si="3"/>
        <v>0</v>
      </c>
    </row>
    <row r="169" spans="1:7" x14ac:dyDescent="0.25">
      <c r="A169" s="18"/>
      <c r="B169" s="18" t="s">
        <v>47</v>
      </c>
      <c r="C169" s="2">
        <v>200000</v>
      </c>
      <c r="D169" s="2">
        <v>130000</v>
      </c>
      <c r="E169" s="2">
        <f>4500+21030+31328+39000+27080+6350+34000</f>
        <v>163288</v>
      </c>
      <c r="F169" s="2">
        <f t="shared" si="2"/>
        <v>36712</v>
      </c>
      <c r="G169" s="2">
        <f t="shared" si="3"/>
        <v>-33288</v>
      </c>
    </row>
    <row r="170" spans="1:7" x14ac:dyDescent="0.25">
      <c r="A170" s="18"/>
      <c r="B170" s="18" t="s">
        <v>108</v>
      </c>
      <c r="C170" s="2">
        <v>50000</v>
      </c>
      <c r="D170" s="2"/>
      <c r="E170" s="2"/>
      <c r="F170" s="2"/>
      <c r="G170" s="2"/>
    </row>
    <row r="171" spans="1:7" x14ac:dyDescent="0.25">
      <c r="A171" s="39"/>
      <c r="B171" s="39"/>
      <c r="C171" s="6"/>
      <c r="D171" s="6"/>
      <c r="E171" s="6"/>
      <c r="F171" s="2"/>
      <c r="G171" s="2">
        <f t="shared" si="3"/>
        <v>0</v>
      </c>
    </row>
    <row r="172" spans="1:7" x14ac:dyDescent="0.25">
      <c r="A172" s="40"/>
      <c r="B172" s="30" t="s">
        <v>27</v>
      </c>
      <c r="C172" s="8">
        <f>SUM(C130:C171)</f>
        <v>6189288.6000000006</v>
      </c>
      <c r="D172" s="8">
        <f>SUM(D130:D171)</f>
        <v>2710000</v>
      </c>
      <c r="E172" s="8">
        <f>SUM(E130:E171)</f>
        <v>2952593.89</v>
      </c>
      <c r="F172" s="8">
        <f>SUM(F130:F171)</f>
        <v>3186694.7099999995</v>
      </c>
      <c r="G172" s="8">
        <f>SUM(G130:G171)</f>
        <v>-242593.88999999998</v>
      </c>
    </row>
    <row r="173" spans="1:7" x14ac:dyDescent="0.25">
      <c r="C173" s="7"/>
    </row>
    <row r="174" spans="1:7" x14ac:dyDescent="0.25">
      <c r="C174" s="14"/>
      <c r="E174" s="14">
        <v>800000</v>
      </c>
      <c r="F174" s="13">
        <f>170*45</f>
        <v>7650</v>
      </c>
    </row>
    <row r="175" spans="1:7" x14ac:dyDescent="0.25">
      <c r="C175" s="14"/>
      <c r="E175" s="12">
        <f>170000+700000</f>
        <v>870000</v>
      </c>
    </row>
    <row r="177" spans="1:11" x14ac:dyDescent="0.25">
      <c r="A177" s="13" t="s">
        <v>0</v>
      </c>
      <c r="B177" s="36"/>
      <c r="C177" s="10"/>
      <c r="D177" s="10"/>
      <c r="E177" s="10"/>
      <c r="F177" s="10"/>
      <c r="G177" s="10"/>
    </row>
    <row r="178" spans="1:11" x14ac:dyDescent="0.25">
      <c r="A178" s="13" t="s">
        <v>1</v>
      </c>
      <c r="B178" s="36"/>
      <c r="C178" s="10"/>
      <c r="D178" s="10"/>
      <c r="E178" s="10"/>
      <c r="F178" s="10"/>
      <c r="G178" s="10"/>
    </row>
    <row r="179" spans="1:11" x14ac:dyDescent="0.25">
      <c r="A179" s="13" t="s">
        <v>2</v>
      </c>
      <c r="B179" s="36"/>
      <c r="C179" s="10"/>
      <c r="D179" s="10"/>
      <c r="E179" s="10"/>
      <c r="F179" s="10"/>
      <c r="G179" s="10"/>
    </row>
    <row r="180" spans="1:11" x14ac:dyDescent="0.25">
      <c r="A180" s="24" t="s">
        <v>122</v>
      </c>
      <c r="B180" s="36"/>
      <c r="C180" s="10"/>
      <c r="D180" s="10"/>
      <c r="E180" s="10"/>
      <c r="F180" s="10"/>
      <c r="G180" s="10"/>
    </row>
    <row r="181" spans="1:11" x14ac:dyDescent="0.25">
      <c r="A181" s="35"/>
      <c r="B181" s="36"/>
      <c r="C181" s="10"/>
      <c r="D181" s="10"/>
      <c r="E181" s="10"/>
      <c r="F181" s="10"/>
      <c r="G181" s="10"/>
    </row>
    <row r="182" spans="1:11" x14ac:dyDescent="0.25">
      <c r="A182" s="88" t="s">
        <v>3</v>
      </c>
      <c r="B182" s="88" t="s">
        <v>4</v>
      </c>
      <c r="C182" s="88" t="s">
        <v>5</v>
      </c>
      <c r="D182" s="88" t="s">
        <v>6</v>
      </c>
      <c r="E182" s="88" t="s">
        <v>7</v>
      </c>
      <c r="F182" s="15" t="s">
        <v>8</v>
      </c>
      <c r="G182" s="15" t="s">
        <v>8</v>
      </c>
    </row>
    <row r="183" spans="1:11" x14ac:dyDescent="0.25">
      <c r="A183" s="89"/>
      <c r="B183" s="89"/>
      <c r="C183" s="89"/>
      <c r="D183" s="89"/>
      <c r="E183" s="89"/>
      <c r="F183" s="16" t="s">
        <v>5</v>
      </c>
      <c r="G183" s="16" t="s">
        <v>6</v>
      </c>
    </row>
    <row r="184" spans="1:11" x14ac:dyDescent="0.25">
      <c r="A184" s="17"/>
      <c r="B184" s="17"/>
      <c r="C184" s="17"/>
      <c r="D184" s="17"/>
      <c r="E184" s="17"/>
      <c r="F184" s="17"/>
      <c r="G184" s="17"/>
    </row>
    <row r="185" spans="1:11" x14ac:dyDescent="0.25">
      <c r="A185" s="18"/>
      <c r="B185" s="28" t="s">
        <v>53</v>
      </c>
      <c r="C185" s="18"/>
      <c r="D185" s="18"/>
      <c r="E185" s="18"/>
      <c r="F185" s="18"/>
      <c r="G185" s="18"/>
    </row>
    <row r="186" spans="1:11" x14ac:dyDescent="0.25">
      <c r="A186" s="18"/>
      <c r="B186" s="29" t="s">
        <v>11</v>
      </c>
      <c r="C186" s="2"/>
      <c r="D186" s="2"/>
      <c r="E186" s="2"/>
      <c r="F186" s="2"/>
      <c r="G186" s="2"/>
    </row>
    <row r="187" spans="1:11" x14ac:dyDescent="0.25">
      <c r="A187" s="18"/>
      <c r="B187" s="4" t="s">
        <v>58</v>
      </c>
      <c r="C187" s="2">
        <v>151694.65</v>
      </c>
      <c r="D187" s="2">
        <f>C187</f>
        <v>151694.65</v>
      </c>
      <c r="E187" s="2">
        <f>64561.87+99928.23+58781.73+85100.13+4982.14+9990.2</f>
        <v>323344.30000000005</v>
      </c>
      <c r="F187" s="2">
        <f t="shared" ref="F187:F205" si="4">C187-E187</f>
        <v>-171649.65000000005</v>
      </c>
      <c r="G187" s="2">
        <f t="shared" ref="G187:G202" si="5">D187-E187</f>
        <v>-171649.65000000005</v>
      </c>
    </row>
    <row r="188" spans="1:11" x14ac:dyDescent="0.25">
      <c r="A188" s="18"/>
      <c r="B188" s="4" t="s">
        <v>59</v>
      </c>
      <c r="C188" s="2">
        <v>500000</v>
      </c>
      <c r="D188" s="2">
        <v>500000</v>
      </c>
      <c r="E188" s="2">
        <f>97500+97500+97500+97500+96000+99000</f>
        <v>585000</v>
      </c>
      <c r="F188" s="2">
        <f t="shared" si="4"/>
        <v>-85000</v>
      </c>
      <c r="G188" s="2">
        <f t="shared" si="5"/>
        <v>-85000</v>
      </c>
      <c r="I188" s="14">
        <f>E188*12</f>
        <v>7020000</v>
      </c>
    </row>
    <row r="189" spans="1:11" x14ac:dyDescent="0.25">
      <c r="A189" s="18"/>
      <c r="B189" s="29" t="s">
        <v>12</v>
      </c>
      <c r="C189" s="2"/>
      <c r="D189" s="2"/>
      <c r="E189" s="2"/>
      <c r="F189" s="2">
        <f t="shared" si="4"/>
        <v>0</v>
      </c>
      <c r="G189" s="2">
        <f t="shared" si="5"/>
        <v>0</v>
      </c>
      <c r="K189" s="13">
        <v>1000</v>
      </c>
    </row>
    <row r="190" spans="1:11" x14ac:dyDescent="0.25">
      <c r="A190" s="18"/>
      <c r="B190" s="4" t="s">
        <v>54</v>
      </c>
      <c r="C190" s="2">
        <v>1672836.33</v>
      </c>
      <c r="D190" s="2">
        <v>300000</v>
      </c>
      <c r="E190" s="2">
        <v>20000</v>
      </c>
      <c r="F190" s="2">
        <f t="shared" si="4"/>
        <v>1652836.33</v>
      </c>
      <c r="G190" s="2">
        <f t="shared" si="5"/>
        <v>280000</v>
      </c>
      <c r="I190" s="14">
        <f>C190/4</f>
        <v>418209.08250000002</v>
      </c>
      <c r="K190" s="13">
        <v>50000</v>
      </c>
    </row>
    <row r="191" spans="1:11" x14ac:dyDescent="0.25">
      <c r="A191" s="18"/>
      <c r="B191" s="4" t="s">
        <v>55</v>
      </c>
      <c r="C191" s="2">
        <v>15000</v>
      </c>
      <c r="D191" s="2"/>
      <c r="E191" s="2"/>
      <c r="F191" s="2">
        <f t="shared" si="4"/>
        <v>15000</v>
      </c>
      <c r="G191" s="2">
        <f t="shared" si="5"/>
        <v>0</v>
      </c>
      <c r="K191" s="13">
        <f>K189/K190</f>
        <v>0.02</v>
      </c>
    </row>
    <row r="192" spans="1:11" x14ac:dyDescent="0.25">
      <c r="A192" s="18"/>
      <c r="B192" s="4" t="s">
        <v>56</v>
      </c>
      <c r="C192" s="2">
        <v>20000</v>
      </c>
      <c r="D192" s="2"/>
      <c r="E192" s="2"/>
      <c r="F192" s="2">
        <f t="shared" si="4"/>
        <v>20000</v>
      </c>
      <c r="G192" s="2">
        <f t="shared" si="5"/>
        <v>0</v>
      </c>
      <c r="I192" s="13">
        <v>1500</v>
      </c>
    </row>
    <row r="193" spans="1:9" x14ac:dyDescent="0.25">
      <c r="A193" s="18"/>
      <c r="B193" s="4" t="s">
        <v>57</v>
      </c>
      <c r="C193" s="2">
        <v>50000</v>
      </c>
      <c r="D193" s="2">
        <v>30000</v>
      </c>
      <c r="E193" s="2">
        <v>23300</v>
      </c>
      <c r="F193" s="2">
        <f t="shared" si="4"/>
        <v>26700</v>
      </c>
      <c r="G193" s="2">
        <f t="shared" si="5"/>
        <v>6700</v>
      </c>
      <c r="I193" s="13">
        <v>10800</v>
      </c>
    </row>
    <row r="194" spans="1:9" x14ac:dyDescent="0.25">
      <c r="A194" s="18"/>
      <c r="B194" s="4" t="s">
        <v>60</v>
      </c>
      <c r="C194" s="2">
        <v>400000</v>
      </c>
      <c r="D194" s="2">
        <f>C194</f>
        <v>400000</v>
      </c>
      <c r="E194" s="2">
        <f>300000+450000</f>
        <v>750000</v>
      </c>
      <c r="F194" s="2">
        <f t="shared" si="4"/>
        <v>-350000</v>
      </c>
      <c r="G194" s="2">
        <f t="shared" si="5"/>
        <v>-350000</v>
      </c>
      <c r="I194" s="13">
        <v>7200</v>
      </c>
    </row>
    <row r="195" spans="1:9" x14ac:dyDescent="0.25">
      <c r="A195" s="18"/>
      <c r="B195" s="4" t="s">
        <v>111</v>
      </c>
      <c r="C195" s="2">
        <v>20000</v>
      </c>
      <c r="D195" s="2">
        <f>C195</f>
        <v>20000</v>
      </c>
      <c r="E195" s="2">
        <v>18061</v>
      </c>
      <c r="F195" s="2">
        <f t="shared" si="4"/>
        <v>1939</v>
      </c>
      <c r="G195" s="2">
        <f t="shared" si="5"/>
        <v>1939</v>
      </c>
      <c r="I195" s="13">
        <f>SUM(I192:I194)</f>
        <v>19500</v>
      </c>
    </row>
    <row r="196" spans="1:9" x14ac:dyDescent="0.25">
      <c r="A196" s="18"/>
      <c r="B196" s="4" t="s">
        <v>61</v>
      </c>
      <c r="C196" s="2">
        <v>300000</v>
      </c>
      <c r="D196" s="2">
        <v>300000</v>
      </c>
      <c r="E196" s="2">
        <f>72597.82+64200+55700</f>
        <v>192497.82</v>
      </c>
      <c r="F196" s="2">
        <f t="shared" si="4"/>
        <v>107502.18</v>
      </c>
      <c r="G196" s="2">
        <f t="shared" si="5"/>
        <v>107502.18</v>
      </c>
    </row>
    <row r="197" spans="1:9" x14ac:dyDescent="0.25">
      <c r="A197" s="18"/>
      <c r="B197" s="4" t="s">
        <v>112</v>
      </c>
      <c r="C197" s="2">
        <v>500000</v>
      </c>
      <c r="D197" s="2">
        <v>100000</v>
      </c>
      <c r="E197" s="2">
        <v>4150</v>
      </c>
      <c r="F197" s="2">
        <f t="shared" si="4"/>
        <v>495850</v>
      </c>
      <c r="G197" s="2">
        <f t="shared" si="5"/>
        <v>95850</v>
      </c>
    </row>
    <row r="198" spans="1:9" x14ac:dyDescent="0.25">
      <c r="A198" s="18"/>
      <c r="B198" s="4" t="s">
        <v>113</v>
      </c>
      <c r="C198" s="2">
        <v>50000</v>
      </c>
      <c r="D198" s="2">
        <v>50000</v>
      </c>
      <c r="E198" s="2">
        <v>47007</v>
      </c>
      <c r="F198" s="2">
        <f t="shared" si="4"/>
        <v>2993</v>
      </c>
      <c r="G198" s="2">
        <f t="shared" si="5"/>
        <v>2993</v>
      </c>
    </row>
    <row r="199" spans="1:9" x14ac:dyDescent="0.25">
      <c r="A199" s="18"/>
      <c r="B199" s="29" t="s">
        <v>13</v>
      </c>
      <c r="C199" s="2"/>
      <c r="D199" s="2"/>
      <c r="E199" s="2"/>
      <c r="F199" s="2">
        <f t="shared" si="4"/>
        <v>0</v>
      </c>
      <c r="G199" s="2">
        <f t="shared" si="5"/>
        <v>0</v>
      </c>
    </row>
    <row r="200" spans="1:9" x14ac:dyDescent="0.25">
      <c r="A200" s="18"/>
      <c r="B200" s="4" t="s">
        <v>114</v>
      </c>
      <c r="C200" s="2">
        <v>500000</v>
      </c>
      <c r="D200" s="2">
        <f>C200</f>
        <v>500000</v>
      </c>
      <c r="E200" s="2">
        <f>33000+371788.5</f>
        <v>404788.5</v>
      </c>
      <c r="F200" s="2">
        <f t="shared" si="4"/>
        <v>95211.5</v>
      </c>
      <c r="G200" s="2">
        <f t="shared" si="5"/>
        <v>95211.5</v>
      </c>
    </row>
    <row r="201" spans="1:9" x14ac:dyDescent="0.25">
      <c r="A201" s="18"/>
      <c r="B201" s="4" t="s">
        <v>62</v>
      </c>
      <c r="C201" s="2"/>
      <c r="D201" s="2"/>
      <c r="E201" s="2"/>
      <c r="F201" s="2">
        <f t="shared" si="4"/>
        <v>0</v>
      </c>
      <c r="G201" s="2">
        <f t="shared" si="5"/>
        <v>0</v>
      </c>
    </row>
    <row r="202" spans="1:9" x14ac:dyDescent="0.25">
      <c r="A202" s="18"/>
      <c r="B202" s="5" t="s">
        <v>63</v>
      </c>
      <c r="C202" s="2">
        <v>1500000</v>
      </c>
      <c r="D202" s="2"/>
      <c r="E202" s="2"/>
      <c r="F202" s="2">
        <f t="shared" si="4"/>
        <v>1500000</v>
      </c>
      <c r="G202" s="2">
        <f t="shared" si="5"/>
        <v>0</v>
      </c>
    </row>
    <row r="203" spans="1:9" x14ac:dyDescent="0.25">
      <c r="A203" s="18"/>
      <c r="B203" s="4" t="s">
        <v>115</v>
      </c>
      <c r="C203" s="2">
        <v>50000</v>
      </c>
      <c r="D203" s="2"/>
      <c r="E203" s="2"/>
      <c r="F203" s="2">
        <f t="shared" si="4"/>
        <v>50000</v>
      </c>
      <c r="G203" s="2"/>
    </row>
    <row r="204" spans="1:9" x14ac:dyDescent="0.25">
      <c r="A204" s="18"/>
      <c r="B204" s="4" t="s">
        <v>116</v>
      </c>
      <c r="C204" s="2">
        <v>80000</v>
      </c>
      <c r="D204" s="2"/>
      <c r="E204" s="2"/>
      <c r="F204" s="2">
        <f t="shared" si="4"/>
        <v>80000</v>
      </c>
      <c r="G204" s="2"/>
    </row>
    <row r="205" spans="1:9" x14ac:dyDescent="0.25">
      <c r="A205" s="18"/>
      <c r="B205" s="4" t="s">
        <v>117</v>
      </c>
      <c r="C205" s="2">
        <v>150000</v>
      </c>
      <c r="D205" s="2"/>
      <c r="E205" s="2">
        <v>144800</v>
      </c>
      <c r="F205" s="2">
        <f t="shared" si="4"/>
        <v>5200</v>
      </c>
      <c r="G205" s="2"/>
    </row>
    <row r="206" spans="1:9" x14ac:dyDescent="0.25">
      <c r="A206" s="18"/>
      <c r="B206" s="4"/>
      <c r="C206" s="2"/>
      <c r="D206" s="2"/>
      <c r="E206" s="2"/>
      <c r="F206" s="2"/>
      <c r="G206" s="2"/>
    </row>
    <row r="207" spans="1:9" x14ac:dyDescent="0.25">
      <c r="A207" s="18"/>
      <c r="B207" s="41" t="s">
        <v>27</v>
      </c>
      <c r="C207" s="8">
        <f>SUM(C187:C206)</f>
        <v>5959530.9800000004</v>
      </c>
      <c r="D207" s="8">
        <f>SUM(D187:D206)</f>
        <v>2351694.65</v>
      </c>
      <c r="E207" s="8">
        <f>SUM(E187:E206)</f>
        <v>2512948.62</v>
      </c>
      <c r="F207" s="8">
        <f>SUM(F187:F206)</f>
        <v>3446582.36</v>
      </c>
      <c r="G207" s="8">
        <f>SUM(G187:G206)</f>
        <v>-16453.97000000003</v>
      </c>
    </row>
    <row r="208" spans="1:9" ht="15.75" thickBot="1" x14ac:dyDescent="0.3">
      <c r="A208" s="42"/>
      <c r="B208" s="43" t="s">
        <v>64</v>
      </c>
      <c r="C208" s="20">
        <f>C207+C172+C117+C110+C103+C96+C89+C82+C75+C57+C50+C43+C36+C29+C22+C15</f>
        <v>33456726.550000004</v>
      </c>
      <c r="D208" s="20">
        <f>D207+D172+D117+D110+D103+D96+D89+D82+D75+D57+D50+D43+D36+D29+D22+D15</f>
        <v>18658769.539999999</v>
      </c>
      <c r="E208" s="20">
        <f>E207+E172+E117+E110+E103+E96+E89+E82+E75+E57+E50+E43+E36+E29+E22+E15</f>
        <v>21292355.240000006</v>
      </c>
      <c r="F208" s="20">
        <f>F207+F172+F117+F110+F103+F96+F89+F82+F75+F57+F50+F43+F36+F29+F22+F15</f>
        <v>12074371.310000002</v>
      </c>
      <c r="G208" s="20">
        <f>G207+G172+G117+G110+G103+G96+G89+G82+G75+G57+G50+G43+G36+G29+G22+G15</f>
        <v>-1696421.2500000007</v>
      </c>
    </row>
    <row r="209" spans="2:7" ht="15.75" thickTop="1" x14ac:dyDescent="0.25">
      <c r="C209" s="12"/>
      <c r="D209" s="12"/>
      <c r="E209" s="12"/>
      <c r="F209" s="12"/>
      <c r="G209" s="12"/>
    </row>
    <row r="210" spans="2:7" x14ac:dyDescent="0.25">
      <c r="B210" s="13" t="s">
        <v>65</v>
      </c>
      <c r="C210" s="12"/>
      <c r="D210" s="12"/>
      <c r="E210" s="12"/>
      <c r="F210" s="12"/>
      <c r="G210" s="12"/>
    </row>
    <row r="211" spans="2:7" x14ac:dyDescent="0.25">
      <c r="C211" s="12"/>
      <c r="D211" s="12"/>
      <c r="E211" s="12"/>
      <c r="F211" s="12"/>
      <c r="G211" s="12"/>
    </row>
    <row r="212" spans="2:7" x14ac:dyDescent="0.25">
      <c r="C212" s="12"/>
      <c r="D212" s="12"/>
      <c r="E212" s="12"/>
      <c r="F212" s="12"/>
      <c r="G212" s="12"/>
    </row>
    <row r="213" spans="2:7" x14ac:dyDescent="0.25">
      <c r="B213" s="44" t="s">
        <v>66</v>
      </c>
      <c r="C213" s="12"/>
      <c r="D213" s="12"/>
      <c r="E213" s="12"/>
      <c r="F213" s="12"/>
      <c r="G213" s="12"/>
    </row>
    <row r="214" spans="2:7" x14ac:dyDescent="0.25">
      <c r="B214" s="13" t="s">
        <v>67</v>
      </c>
      <c r="C214" s="12"/>
      <c r="D214" s="12"/>
      <c r="E214" s="12"/>
      <c r="F214" s="12"/>
      <c r="G214" s="12"/>
    </row>
    <row r="215" spans="2:7" x14ac:dyDescent="0.25">
      <c r="C215" s="12"/>
      <c r="D215" s="12"/>
      <c r="E215" s="12"/>
      <c r="F215" s="12"/>
      <c r="G215" s="12"/>
    </row>
    <row r="216" spans="2:7" x14ac:dyDescent="0.25">
      <c r="C216" s="12"/>
      <c r="D216" s="12"/>
      <c r="E216" s="12">
        <v>225800</v>
      </c>
      <c r="F216" s="12"/>
      <c r="G216" s="12"/>
    </row>
    <row r="217" spans="2:7" x14ac:dyDescent="0.25">
      <c r="C217" s="12"/>
      <c r="D217" s="12"/>
      <c r="E217" s="12">
        <v>72597.820000000007</v>
      </c>
      <c r="F217" s="12"/>
      <c r="G217" s="12"/>
    </row>
    <row r="218" spans="2:7" x14ac:dyDescent="0.25">
      <c r="C218" s="12"/>
      <c r="D218" s="12"/>
      <c r="E218" s="12">
        <f>SUM(E216:E217)</f>
        <v>298397.82</v>
      </c>
      <c r="F218" s="12" t="s">
        <v>118</v>
      </c>
      <c r="G218" s="12"/>
    </row>
    <row r="219" spans="2:7" x14ac:dyDescent="0.25">
      <c r="C219" s="12"/>
      <c r="D219" s="12"/>
      <c r="E219" s="12"/>
      <c r="F219" s="12">
        <f>6000+11939.5+11450</f>
        <v>29389.5</v>
      </c>
      <c r="G219" s="12"/>
    </row>
    <row r="220" spans="2:7" x14ac:dyDescent="0.25">
      <c r="C220" s="12"/>
      <c r="D220" s="12"/>
      <c r="E220" s="12">
        <f>E196+E136</f>
        <v>354097.82</v>
      </c>
      <c r="F220" s="12"/>
      <c r="G220" s="12"/>
    </row>
    <row r="221" spans="2:7" x14ac:dyDescent="0.25">
      <c r="C221" s="12"/>
      <c r="D221" s="12"/>
      <c r="E221" s="12">
        <v>25800</v>
      </c>
      <c r="F221" s="12"/>
      <c r="G221" s="12"/>
    </row>
    <row r="222" spans="2:7" x14ac:dyDescent="0.25">
      <c r="C222" s="12"/>
      <c r="D222" s="12"/>
      <c r="E222" s="12">
        <f>SUM(E220:E221)</f>
        <v>379897.82</v>
      </c>
      <c r="F222" s="12" t="s">
        <v>119</v>
      </c>
      <c r="G222" s="12"/>
    </row>
    <row r="223" spans="2:7" x14ac:dyDescent="0.25">
      <c r="C223" s="12"/>
      <c r="D223" s="12"/>
      <c r="E223" s="12">
        <f>E218-E222</f>
        <v>-81500</v>
      </c>
      <c r="F223" s="12">
        <f>4675+7118</f>
        <v>11793</v>
      </c>
      <c r="G223" s="12"/>
    </row>
    <row r="224" spans="2:7" x14ac:dyDescent="0.25">
      <c r="C224" s="12"/>
      <c r="D224" s="12"/>
      <c r="E224" s="12"/>
      <c r="F224" s="12"/>
      <c r="G224" s="12"/>
    </row>
    <row r="225" spans="3:7" x14ac:dyDescent="0.25">
      <c r="C225" s="12"/>
      <c r="D225" s="12"/>
      <c r="E225" s="12"/>
      <c r="F225" s="12"/>
      <c r="G225" s="12"/>
    </row>
    <row r="226" spans="3:7" x14ac:dyDescent="0.25">
      <c r="C226" s="12"/>
      <c r="D226" s="12"/>
      <c r="E226" s="12"/>
      <c r="F226" s="12"/>
      <c r="G226" s="12"/>
    </row>
    <row r="227" spans="3:7" x14ac:dyDescent="0.25">
      <c r="C227" s="12"/>
      <c r="D227" s="12"/>
      <c r="E227" s="12"/>
      <c r="F227" s="12"/>
      <c r="G227" s="12"/>
    </row>
    <row r="228" spans="3:7" x14ac:dyDescent="0.25">
      <c r="C228" s="12"/>
      <c r="D228" s="12"/>
      <c r="E228" s="12"/>
      <c r="F228" s="12"/>
      <c r="G228" s="12"/>
    </row>
    <row r="229" spans="3:7" x14ac:dyDescent="0.25">
      <c r="C229" s="12"/>
      <c r="D229" s="12"/>
      <c r="E229" s="12"/>
      <c r="F229" s="12"/>
      <c r="G229" s="12"/>
    </row>
    <row r="230" spans="3:7" x14ac:dyDescent="0.25">
      <c r="C230" s="12"/>
      <c r="D230" s="12"/>
      <c r="E230" s="12"/>
      <c r="F230" s="12"/>
      <c r="G230" s="12"/>
    </row>
    <row r="231" spans="3:7" x14ac:dyDescent="0.25">
      <c r="C231" s="12"/>
      <c r="D231" s="12"/>
      <c r="E231" s="12"/>
      <c r="F231" s="12"/>
      <c r="G231" s="12"/>
    </row>
    <row r="232" spans="3:7" x14ac:dyDescent="0.25">
      <c r="C232" s="12"/>
      <c r="D232" s="12"/>
      <c r="E232" s="12"/>
      <c r="F232" s="12"/>
      <c r="G232" s="12"/>
    </row>
    <row r="233" spans="3:7" x14ac:dyDescent="0.25">
      <c r="C233" s="12"/>
      <c r="D233" s="12"/>
      <c r="E233" s="12"/>
      <c r="F233" s="12"/>
      <c r="G233" s="12"/>
    </row>
    <row r="234" spans="3:7" x14ac:dyDescent="0.25">
      <c r="C234" s="12"/>
      <c r="D234" s="12"/>
      <c r="E234" s="12"/>
      <c r="F234" s="12"/>
      <c r="G234" s="12"/>
    </row>
    <row r="235" spans="3:7" x14ac:dyDescent="0.25">
      <c r="C235" s="12"/>
      <c r="D235" s="12"/>
      <c r="E235" s="12"/>
      <c r="F235" s="12"/>
      <c r="G235" s="12"/>
    </row>
    <row r="236" spans="3:7" x14ac:dyDescent="0.25">
      <c r="C236" s="12"/>
      <c r="D236" s="12"/>
      <c r="E236" s="12"/>
      <c r="F236" s="12"/>
      <c r="G236" s="12"/>
    </row>
    <row r="237" spans="3:7" x14ac:dyDescent="0.25">
      <c r="C237" s="12"/>
      <c r="D237" s="12"/>
      <c r="E237" s="12"/>
      <c r="F237" s="12"/>
      <c r="G237" s="12"/>
    </row>
    <row r="238" spans="3:7" x14ac:dyDescent="0.25">
      <c r="C238" s="12"/>
      <c r="D238" s="12"/>
      <c r="E238" s="12"/>
      <c r="F238" s="12"/>
      <c r="G238" s="12"/>
    </row>
    <row r="239" spans="3:7" x14ac:dyDescent="0.25">
      <c r="C239" s="12"/>
      <c r="D239" s="12"/>
      <c r="E239" s="12"/>
      <c r="F239" s="12"/>
      <c r="G239" s="12"/>
    </row>
    <row r="240" spans="3:7" x14ac:dyDescent="0.25">
      <c r="C240" s="12"/>
      <c r="D240" s="12"/>
      <c r="E240" s="12"/>
      <c r="F240" s="12"/>
      <c r="G240" s="12"/>
    </row>
    <row r="241" spans="3:7" x14ac:dyDescent="0.25">
      <c r="C241" s="12"/>
      <c r="D241" s="12"/>
      <c r="E241" s="12"/>
      <c r="F241" s="12"/>
      <c r="G241" s="12"/>
    </row>
    <row r="242" spans="3:7" x14ac:dyDescent="0.25">
      <c r="C242" s="12"/>
      <c r="D242" s="12"/>
      <c r="E242" s="12"/>
      <c r="F242" s="12"/>
      <c r="G242" s="12"/>
    </row>
    <row r="243" spans="3:7" x14ac:dyDescent="0.25">
      <c r="C243" s="12"/>
      <c r="D243" s="12"/>
      <c r="E243" s="12"/>
      <c r="F243" s="12"/>
      <c r="G243" s="12"/>
    </row>
    <row r="244" spans="3:7" x14ac:dyDescent="0.25">
      <c r="C244" s="12"/>
      <c r="D244" s="12"/>
      <c r="E244" s="12"/>
      <c r="F244" s="12"/>
      <c r="G244" s="12"/>
    </row>
    <row r="245" spans="3:7" x14ac:dyDescent="0.25">
      <c r="C245" s="12"/>
      <c r="D245" s="12"/>
      <c r="E245" s="12"/>
      <c r="F245" s="12"/>
      <c r="G245" s="12"/>
    </row>
    <row r="246" spans="3:7" x14ac:dyDescent="0.25">
      <c r="C246" s="12"/>
      <c r="D246" s="12"/>
      <c r="E246" s="12"/>
      <c r="F246" s="12"/>
      <c r="G246" s="12"/>
    </row>
    <row r="247" spans="3:7" x14ac:dyDescent="0.25">
      <c r="C247" s="12"/>
      <c r="D247" s="12"/>
      <c r="E247" s="12"/>
      <c r="F247" s="12"/>
      <c r="G247" s="12"/>
    </row>
    <row r="248" spans="3:7" x14ac:dyDescent="0.25">
      <c r="C248" s="12"/>
      <c r="D248" s="12"/>
      <c r="E248" s="12"/>
      <c r="F248" s="12"/>
      <c r="G248" s="12"/>
    </row>
    <row r="249" spans="3:7" x14ac:dyDescent="0.25">
      <c r="C249" s="12"/>
      <c r="D249" s="12"/>
      <c r="E249" s="12"/>
      <c r="F249" s="12"/>
      <c r="G249" s="12"/>
    </row>
    <row r="250" spans="3:7" x14ac:dyDescent="0.25">
      <c r="C250" s="12"/>
      <c r="D250" s="12"/>
      <c r="E250" s="12"/>
      <c r="F250" s="12"/>
      <c r="G250" s="12"/>
    </row>
    <row r="251" spans="3:7" x14ac:dyDescent="0.25">
      <c r="C251" s="12"/>
      <c r="D251" s="12"/>
      <c r="E251" s="12"/>
      <c r="F251" s="12"/>
      <c r="G251" s="12"/>
    </row>
    <row r="252" spans="3:7" x14ac:dyDescent="0.25">
      <c r="C252" s="12"/>
      <c r="D252" s="12"/>
      <c r="E252" s="12"/>
      <c r="F252" s="12"/>
      <c r="G252" s="12"/>
    </row>
    <row r="253" spans="3:7" x14ac:dyDescent="0.25">
      <c r="C253" s="12"/>
      <c r="D253" s="12"/>
      <c r="E253" s="12"/>
      <c r="F253" s="12"/>
      <c r="G253" s="12"/>
    </row>
    <row r="254" spans="3:7" x14ac:dyDescent="0.25">
      <c r="C254" s="12"/>
      <c r="D254" s="12"/>
      <c r="E254" s="12"/>
      <c r="F254" s="12"/>
      <c r="G254" s="12"/>
    </row>
    <row r="255" spans="3:7" x14ac:dyDescent="0.25">
      <c r="C255" s="12"/>
      <c r="D255" s="12"/>
      <c r="E255" s="12"/>
      <c r="F255" s="12"/>
      <c r="G255" s="12"/>
    </row>
    <row r="256" spans="3:7" x14ac:dyDescent="0.25">
      <c r="C256" s="12"/>
      <c r="D256" s="12"/>
      <c r="E256" s="12"/>
      <c r="F256" s="12"/>
      <c r="G256" s="12"/>
    </row>
    <row r="257" spans="3:7" x14ac:dyDescent="0.25">
      <c r="C257" s="12"/>
      <c r="D257" s="12"/>
      <c r="E257" s="12"/>
      <c r="F257" s="12"/>
      <c r="G257" s="12"/>
    </row>
    <row r="258" spans="3:7" x14ac:dyDescent="0.25">
      <c r="C258" s="12"/>
      <c r="D258" s="12"/>
      <c r="E258" s="12"/>
      <c r="F258" s="12"/>
      <c r="G258" s="12"/>
    </row>
    <row r="259" spans="3:7" x14ac:dyDescent="0.25">
      <c r="C259" s="12"/>
      <c r="D259" s="12"/>
      <c r="E259" s="12"/>
      <c r="F259" s="12"/>
      <c r="G259" s="12"/>
    </row>
    <row r="260" spans="3:7" x14ac:dyDescent="0.25">
      <c r="C260" s="12"/>
      <c r="D260" s="12"/>
      <c r="E260" s="12"/>
      <c r="F260" s="12"/>
      <c r="G260" s="12"/>
    </row>
    <row r="261" spans="3:7" x14ac:dyDescent="0.25">
      <c r="C261" s="12"/>
      <c r="D261" s="12"/>
      <c r="E261" s="12"/>
      <c r="F261" s="12"/>
      <c r="G261" s="12"/>
    </row>
    <row r="262" spans="3:7" x14ac:dyDescent="0.25">
      <c r="C262" s="12"/>
      <c r="D262" s="12"/>
      <c r="E262" s="12"/>
      <c r="F262" s="12"/>
      <c r="G262" s="12"/>
    </row>
    <row r="263" spans="3:7" x14ac:dyDescent="0.25">
      <c r="C263" s="12"/>
      <c r="D263" s="12"/>
      <c r="E263" s="12"/>
      <c r="F263" s="12"/>
      <c r="G263" s="12"/>
    </row>
    <row r="264" spans="3:7" x14ac:dyDescent="0.25">
      <c r="C264" s="12"/>
      <c r="D264" s="12"/>
      <c r="E264" s="12"/>
      <c r="F264" s="12"/>
      <c r="G264" s="12"/>
    </row>
    <row r="265" spans="3:7" x14ac:dyDescent="0.25">
      <c r="C265" s="12"/>
      <c r="D265" s="12"/>
      <c r="E265" s="12"/>
      <c r="F265" s="12"/>
      <c r="G265" s="12"/>
    </row>
    <row r="266" spans="3:7" x14ac:dyDescent="0.25">
      <c r="C266" s="12"/>
      <c r="D266" s="12"/>
      <c r="E266" s="12"/>
      <c r="F266" s="12"/>
      <c r="G266" s="12"/>
    </row>
    <row r="267" spans="3:7" x14ac:dyDescent="0.25">
      <c r="C267" s="12"/>
      <c r="D267" s="12"/>
      <c r="E267" s="12"/>
      <c r="F267" s="12"/>
      <c r="G267" s="12"/>
    </row>
    <row r="268" spans="3:7" x14ac:dyDescent="0.25">
      <c r="C268" s="12"/>
      <c r="D268" s="12"/>
      <c r="E268" s="12"/>
      <c r="F268" s="12"/>
      <c r="G268" s="12"/>
    </row>
    <row r="269" spans="3:7" x14ac:dyDescent="0.25">
      <c r="C269" s="12"/>
      <c r="D269" s="12"/>
      <c r="E269" s="12"/>
      <c r="F269" s="12"/>
      <c r="G269" s="12"/>
    </row>
    <row r="270" spans="3:7" x14ac:dyDescent="0.25">
      <c r="C270" s="12"/>
      <c r="D270" s="12"/>
      <c r="E270" s="12"/>
      <c r="F270" s="12"/>
      <c r="G270" s="12"/>
    </row>
    <row r="271" spans="3:7" x14ac:dyDescent="0.25">
      <c r="C271" s="12"/>
      <c r="D271" s="12"/>
      <c r="E271" s="12"/>
      <c r="F271" s="12"/>
      <c r="G271" s="12"/>
    </row>
    <row r="272" spans="3:7" x14ac:dyDescent="0.25">
      <c r="C272" s="12"/>
      <c r="D272" s="12"/>
      <c r="E272" s="12"/>
      <c r="F272" s="12"/>
      <c r="G272" s="12"/>
    </row>
    <row r="273" spans="3:7" x14ac:dyDescent="0.25">
      <c r="C273" s="12"/>
      <c r="D273" s="12"/>
      <c r="E273" s="12"/>
      <c r="F273" s="12"/>
      <c r="G273" s="12"/>
    </row>
    <row r="274" spans="3:7" x14ac:dyDescent="0.25">
      <c r="C274" s="12"/>
      <c r="D274" s="12"/>
      <c r="E274" s="12"/>
      <c r="F274" s="12"/>
      <c r="G274" s="12"/>
    </row>
    <row r="275" spans="3:7" x14ac:dyDescent="0.25">
      <c r="C275" s="12"/>
      <c r="D275" s="12"/>
      <c r="E275" s="12"/>
      <c r="F275" s="12"/>
      <c r="G275" s="12"/>
    </row>
    <row r="276" spans="3:7" x14ac:dyDescent="0.25">
      <c r="C276" s="12"/>
      <c r="D276" s="12"/>
      <c r="E276" s="12"/>
      <c r="F276" s="12"/>
      <c r="G276" s="12"/>
    </row>
    <row r="277" spans="3:7" x14ac:dyDescent="0.25">
      <c r="C277" s="12"/>
      <c r="D277" s="12"/>
      <c r="E277" s="12"/>
      <c r="F277" s="12"/>
      <c r="G277" s="12"/>
    </row>
    <row r="278" spans="3:7" x14ac:dyDescent="0.25">
      <c r="C278" s="12"/>
      <c r="D278" s="12"/>
      <c r="E278" s="12"/>
      <c r="F278" s="12"/>
      <c r="G278" s="12"/>
    </row>
    <row r="279" spans="3:7" x14ac:dyDescent="0.25">
      <c r="C279" s="12"/>
      <c r="D279" s="12"/>
      <c r="E279" s="12"/>
      <c r="F279" s="12"/>
      <c r="G279" s="12"/>
    </row>
    <row r="280" spans="3:7" x14ac:dyDescent="0.25">
      <c r="C280" s="12"/>
      <c r="D280" s="12"/>
      <c r="E280" s="12"/>
      <c r="F280" s="12"/>
      <c r="G280" s="12"/>
    </row>
    <row r="281" spans="3:7" x14ac:dyDescent="0.25">
      <c r="C281" s="12"/>
      <c r="D281" s="12"/>
      <c r="E281" s="12"/>
      <c r="F281" s="12"/>
      <c r="G281" s="12"/>
    </row>
    <row r="282" spans="3:7" x14ac:dyDescent="0.25">
      <c r="C282" s="12"/>
      <c r="D282" s="12"/>
      <c r="E282" s="12"/>
      <c r="F282" s="12"/>
      <c r="G282" s="12"/>
    </row>
    <row r="283" spans="3:7" x14ac:dyDescent="0.25">
      <c r="C283" s="12"/>
      <c r="D283" s="12"/>
      <c r="E283" s="12"/>
      <c r="F283" s="12"/>
      <c r="G283" s="12"/>
    </row>
    <row r="284" spans="3:7" x14ac:dyDescent="0.25">
      <c r="C284" s="12"/>
      <c r="D284" s="12"/>
      <c r="E284" s="12"/>
      <c r="F284" s="12"/>
      <c r="G284" s="12"/>
    </row>
    <row r="285" spans="3:7" x14ac:dyDescent="0.25">
      <c r="C285" s="12"/>
      <c r="D285" s="12"/>
      <c r="E285" s="12"/>
      <c r="F285" s="12"/>
      <c r="G285" s="12"/>
    </row>
    <row r="286" spans="3:7" x14ac:dyDescent="0.25">
      <c r="C286" s="12"/>
      <c r="D286" s="12"/>
      <c r="E286" s="12"/>
      <c r="F286" s="12"/>
      <c r="G286" s="12"/>
    </row>
    <row r="287" spans="3:7" x14ac:dyDescent="0.25">
      <c r="C287" s="12"/>
      <c r="D287" s="12"/>
      <c r="E287" s="12"/>
      <c r="F287" s="12"/>
      <c r="G287" s="12"/>
    </row>
    <row r="288" spans="3:7" x14ac:dyDescent="0.25">
      <c r="C288" s="12"/>
      <c r="D288" s="12"/>
      <c r="E288" s="12"/>
      <c r="F288" s="12"/>
      <c r="G288" s="12"/>
    </row>
    <row r="289" spans="3:7" x14ac:dyDescent="0.25">
      <c r="C289" s="12"/>
      <c r="D289" s="12"/>
      <c r="E289" s="12"/>
      <c r="F289" s="12"/>
      <c r="G289" s="12"/>
    </row>
    <row r="290" spans="3:7" x14ac:dyDescent="0.25">
      <c r="C290" s="12"/>
      <c r="D290" s="12"/>
      <c r="E290" s="12"/>
      <c r="F290" s="12"/>
      <c r="G290" s="12"/>
    </row>
    <row r="291" spans="3:7" x14ac:dyDescent="0.25">
      <c r="C291" s="12"/>
      <c r="D291" s="12"/>
      <c r="E291" s="12"/>
      <c r="F291" s="12"/>
      <c r="G291" s="12"/>
    </row>
    <row r="292" spans="3:7" x14ac:dyDescent="0.25">
      <c r="C292" s="12"/>
      <c r="D292" s="12"/>
      <c r="E292" s="12"/>
      <c r="F292" s="12"/>
      <c r="G292" s="12"/>
    </row>
    <row r="293" spans="3:7" x14ac:dyDescent="0.25">
      <c r="C293" s="12"/>
      <c r="D293" s="12"/>
      <c r="E293" s="12"/>
      <c r="F293" s="12"/>
      <c r="G293" s="12"/>
    </row>
    <row r="294" spans="3:7" x14ac:dyDescent="0.25">
      <c r="C294" s="12"/>
      <c r="D294" s="12"/>
      <c r="E294" s="12"/>
      <c r="F294" s="12"/>
      <c r="G294" s="12"/>
    </row>
    <row r="295" spans="3:7" x14ac:dyDescent="0.25">
      <c r="C295" s="12"/>
      <c r="D295" s="12"/>
      <c r="E295" s="12"/>
      <c r="F295" s="12"/>
      <c r="G295" s="12"/>
    </row>
    <row r="296" spans="3:7" x14ac:dyDescent="0.25">
      <c r="C296" s="12"/>
      <c r="D296" s="12"/>
      <c r="E296" s="12"/>
      <c r="F296" s="12"/>
      <c r="G296" s="12"/>
    </row>
    <row r="297" spans="3:7" x14ac:dyDescent="0.25">
      <c r="C297" s="12"/>
      <c r="D297" s="12"/>
      <c r="E297" s="12"/>
      <c r="F297" s="12"/>
      <c r="G297" s="12"/>
    </row>
    <row r="298" spans="3:7" x14ac:dyDescent="0.25">
      <c r="C298" s="12"/>
      <c r="D298" s="12"/>
      <c r="E298" s="12"/>
      <c r="F298" s="12"/>
      <c r="G298" s="12"/>
    </row>
    <row r="299" spans="3:7" x14ac:dyDescent="0.25">
      <c r="C299" s="12"/>
      <c r="D299" s="12"/>
      <c r="E299" s="12"/>
      <c r="F299" s="12"/>
      <c r="G299" s="12"/>
    </row>
    <row r="300" spans="3:7" x14ac:dyDescent="0.25">
      <c r="C300" s="12"/>
      <c r="D300" s="12"/>
      <c r="E300" s="12"/>
      <c r="F300" s="12"/>
      <c r="G300" s="12"/>
    </row>
    <row r="301" spans="3:7" x14ac:dyDescent="0.25">
      <c r="C301" s="12"/>
      <c r="D301" s="12"/>
      <c r="E301" s="12"/>
      <c r="F301" s="12"/>
      <c r="G301" s="12"/>
    </row>
    <row r="302" spans="3:7" x14ac:dyDescent="0.25">
      <c r="C302" s="12"/>
      <c r="D302" s="12"/>
      <c r="E302" s="12"/>
      <c r="F302" s="12"/>
      <c r="G302" s="12"/>
    </row>
    <row r="303" spans="3:7" x14ac:dyDescent="0.25">
      <c r="C303" s="12"/>
      <c r="D303" s="12"/>
      <c r="E303" s="12"/>
      <c r="F303" s="12"/>
      <c r="G303" s="12"/>
    </row>
    <row r="304" spans="3:7" x14ac:dyDescent="0.25">
      <c r="C304" s="12"/>
      <c r="D304" s="12"/>
      <c r="E304" s="12"/>
      <c r="F304" s="12"/>
      <c r="G304" s="12"/>
    </row>
    <row r="305" spans="3:7" x14ac:dyDescent="0.25">
      <c r="C305" s="12"/>
      <c r="D305" s="12"/>
      <c r="E305" s="12"/>
      <c r="F305" s="12"/>
      <c r="G305" s="12"/>
    </row>
    <row r="306" spans="3:7" x14ac:dyDescent="0.25">
      <c r="C306" s="12"/>
      <c r="D306" s="12"/>
      <c r="E306" s="12"/>
      <c r="F306" s="12"/>
      <c r="G306" s="12"/>
    </row>
    <row r="307" spans="3:7" x14ac:dyDescent="0.25">
      <c r="C307" s="12"/>
      <c r="D307" s="12"/>
      <c r="E307" s="12"/>
      <c r="F307" s="12"/>
      <c r="G307" s="12"/>
    </row>
    <row r="308" spans="3:7" x14ac:dyDescent="0.25">
      <c r="C308" s="12"/>
      <c r="D308" s="12"/>
      <c r="E308" s="12"/>
      <c r="F308" s="12"/>
      <c r="G308" s="12"/>
    </row>
    <row r="309" spans="3:7" x14ac:dyDescent="0.25">
      <c r="C309" s="12"/>
      <c r="D309" s="12"/>
      <c r="E309" s="12"/>
      <c r="F309" s="12"/>
      <c r="G309" s="12"/>
    </row>
    <row r="310" spans="3:7" x14ac:dyDescent="0.25">
      <c r="C310" s="12"/>
      <c r="D310" s="12"/>
      <c r="E310" s="12"/>
      <c r="F310" s="12"/>
      <c r="G310" s="12"/>
    </row>
    <row r="311" spans="3:7" x14ac:dyDescent="0.25">
      <c r="C311" s="12"/>
      <c r="D311" s="12"/>
      <c r="E311" s="12"/>
      <c r="F311" s="12"/>
      <c r="G311" s="12"/>
    </row>
    <row r="312" spans="3:7" x14ac:dyDescent="0.25">
      <c r="C312" s="12"/>
      <c r="D312" s="12"/>
      <c r="E312" s="12"/>
      <c r="F312" s="12"/>
      <c r="G312" s="12"/>
    </row>
    <row r="313" spans="3:7" x14ac:dyDescent="0.25">
      <c r="C313" s="12"/>
      <c r="D313" s="12"/>
      <c r="E313" s="12"/>
      <c r="F313" s="12"/>
      <c r="G313" s="12"/>
    </row>
    <row r="314" spans="3:7" x14ac:dyDescent="0.25">
      <c r="C314" s="12"/>
      <c r="D314" s="12"/>
      <c r="E314" s="12"/>
      <c r="F314" s="12"/>
      <c r="G314" s="12"/>
    </row>
    <row r="315" spans="3:7" x14ac:dyDescent="0.25">
      <c r="C315" s="12"/>
      <c r="D315" s="12"/>
      <c r="E315" s="12"/>
      <c r="F315" s="12"/>
      <c r="G315" s="12"/>
    </row>
    <row r="316" spans="3:7" x14ac:dyDescent="0.25">
      <c r="C316" s="12"/>
      <c r="D316" s="12"/>
      <c r="E316" s="12"/>
      <c r="F316" s="12"/>
      <c r="G316" s="12"/>
    </row>
    <row r="317" spans="3:7" x14ac:dyDescent="0.25">
      <c r="C317" s="12"/>
      <c r="D317" s="12"/>
      <c r="E317" s="12"/>
      <c r="F317" s="12"/>
      <c r="G317" s="12"/>
    </row>
    <row r="318" spans="3:7" x14ac:dyDescent="0.25">
      <c r="C318" s="12"/>
      <c r="D318" s="12"/>
      <c r="E318" s="12"/>
      <c r="F318" s="12"/>
      <c r="G318" s="12"/>
    </row>
    <row r="319" spans="3:7" x14ac:dyDescent="0.25">
      <c r="C319" s="12"/>
      <c r="D319" s="12"/>
      <c r="E319" s="12"/>
      <c r="F319" s="12"/>
      <c r="G319" s="12"/>
    </row>
    <row r="320" spans="3:7" x14ac:dyDescent="0.25">
      <c r="C320" s="12"/>
      <c r="D320" s="12"/>
      <c r="E320" s="12"/>
      <c r="F320" s="12"/>
      <c r="G320" s="12"/>
    </row>
    <row r="321" spans="3:7" x14ac:dyDescent="0.25">
      <c r="C321" s="12"/>
      <c r="D321" s="12"/>
      <c r="E321" s="12"/>
      <c r="F321" s="12"/>
      <c r="G321" s="12"/>
    </row>
    <row r="322" spans="3:7" x14ac:dyDescent="0.25">
      <c r="C322" s="12"/>
      <c r="D322" s="12"/>
      <c r="E322" s="12"/>
      <c r="F322" s="12"/>
      <c r="G322" s="12"/>
    </row>
    <row r="323" spans="3:7" x14ac:dyDescent="0.25">
      <c r="C323" s="12"/>
      <c r="D323" s="12"/>
      <c r="E323" s="12"/>
      <c r="F323" s="12"/>
      <c r="G323" s="12"/>
    </row>
    <row r="324" spans="3:7" x14ac:dyDescent="0.25">
      <c r="C324" s="12"/>
      <c r="D324" s="12"/>
      <c r="E324" s="12"/>
      <c r="F324" s="12"/>
      <c r="G324" s="12"/>
    </row>
    <row r="325" spans="3:7" x14ac:dyDescent="0.25">
      <c r="C325" s="12"/>
      <c r="D325" s="12"/>
      <c r="E325" s="12"/>
      <c r="F325" s="12"/>
      <c r="G325" s="12"/>
    </row>
    <row r="326" spans="3:7" x14ac:dyDescent="0.25">
      <c r="C326" s="12"/>
      <c r="D326" s="12"/>
      <c r="E326" s="12"/>
      <c r="F326" s="12"/>
      <c r="G326" s="12"/>
    </row>
    <row r="327" spans="3:7" x14ac:dyDescent="0.25">
      <c r="C327" s="12"/>
      <c r="D327" s="12"/>
      <c r="E327" s="12"/>
      <c r="F327" s="12"/>
      <c r="G327" s="12"/>
    </row>
    <row r="328" spans="3:7" x14ac:dyDescent="0.25">
      <c r="C328" s="12"/>
      <c r="D328" s="12"/>
      <c r="E328" s="12"/>
      <c r="F328" s="12"/>
      <c r="G328" s="12"/>
    </row>
    <row r="329" spans="3:7" x14ac:dyDescent="0.25">
      <c r="C329" s="12"/>
      <c r="D329" s="12"/>
      <c r="E329" s="12"/>
      <c r="F329" s="12"/>
      <c r="G329" s="12"/>
    </row>
    <row r="330" spans="3:7" x14ac:dyDescent="0.25">
      <c r="C330" s="12"/>
      <c r="D330" s="12"/>
      <c r="E330" s="12"/>
      <c r="F330" s="12"/>
      <c r="G330" s="12"/>
    </row>
    <row r="331" spans="3:7" x14ac:dyDescent="0.25">
      <c r="C331" s="12"/>
      <c r="D331" s="12"/>
      <c r="E331" s="12"/>
      <c r="F331" s="12"/>
      <c r="G331" s="12"/>
    </row>
    <row r="332" spans="3:7" x14ac:dyDescent="0.25">
      <c r="C332" s="12"/>
      <c r="D332" s="12"/>
      <c r="E332" s="12"/>
      <c r="F332" s="12"/>
      <c r="G332" s="12"/>
    </row>
    <row r="333" spans="3:7" x14ac:dyDescent="0.25">
      <c r="C333" s="12"/>
      <c r="D333" s="12"/>
      <c r="E333" s="12"/>
      <c r="F333" s="12"/>
      <c r="G333" s="12"/>
    </row>
    <row r="334" spans="3:7" x14ac:dyDescent="0.25">
      <c r="C334" s="12"/>
      <c r="D334" s="12"/>
      <c r="E334" s="12"/>
      <c r="F334" s="12"/>
      <c r="G334" s="12"/>
    </row>
    <row r="335" spans="3:7" x14ac:dyDescent="0.25">
      <c r="C335" s="12"/>
      <c r="D335" s="12"/>
      <c r="E335" s="12"/>
      <c r="F335" s="12"/>
      <c r="G335" s="12"/>
    </row>
    <row r="336" spans="3:7" x14ac:dyDescent="0.25">
      <c r="C336" s="12"/>
      <c r="D336" s="12"/>
      <c r="E336" s="12"/>
      <c r="F336" s="12"/>
      <c r="G336" s="12"/>
    </row>
    <row r="337" spans="3:7" x14ac:dyDescent="0.25">
      <c r="C337" s="12"/>
      <c r="D337" s="12"/>
      <c r="E337" s="12"/>
      <c r="F337" s="12"/>
      <c r="G337" s="12"/>
    </row>
    <row r="338" spans="3:7" x14ac:dyDescent="0.25">
      <c r="C338" s="12"/>
      <c r="D338" s="12"/>
      <c r="E338" s="12"/>
      <c r="F338" s="12"/>
      <c r="G338" s="12"/>
    </row>
    <row r="339" spans="3:7" x14ac:dyDescent="0.25">
      <c r="C339" s="12"/>
      <c r="D339" s="12"/>
      <c r="E339" s="12"/>
      <c r="F339" s="12"/>
      <c r="G339" s="12"/>
    </row>
    <row r="340" spans="3:7" x14ac:dyDescent="0.25">
      <c r="C340" s="12"/>
      <c r="D340" s="12"/>
      <c r="E340" s="12"/>
      <c r="F340" s="12"/>
      <c r="G340" s="12"/>
    </row>
    <row r="341" spans="3:7" x14ac:dyDescent="0.25">
      <c r="C341" s="12"/>
      <c r="D341" s="12"/>
      <c r="E341" s="12"/>
      <c r="F341" s="12"/>
      <c r="G341" s="12"/>
    </row>
    <row r="342" spans="3:7" x14ac:dyDescent="0.25">
      <c r="C342" s="12"/>
      <c r="D342" s="12"/>
      <c r="E342" s="12"/>
      <c r="F342" s="12"/>
      <c r="G342" s="12"/>
    </row>
    <row r="343" spans="3:7" x14ac:dyDescent="0.25">
      <c r="C343" s="12"/>
      <c r="D343" s="12"/>
      <c r="E343" s="12"/>
      <c r="F343" s="12"/>
      <c r="G343" s="12"/>
    </row>
    <row r="344" spans="3:7" x14ac:dyDescent="0.25">
      <c r="C344" s="12"/>
      <c r="D344" s="12"/>
      <c r="E344" s="12"/>
      <c r="F344" s="12"/>
      <c r="G344" s="12"/>
    </row>
    <row r="345" spans="3:7" x14ac:dyDescent="0.25">
      <c r="C345" s="12"/>
      <c r="D345" s="12"/>
      <c r="E345" s="12"/>
      <c r="F345" s="12"/>
      <c r="G345" s="12"/>
    </row>
    <row r="346" spans="3:7" x14ac:dyDescent="0.25">
      <c r="C346" s="12"/>
      <c r="D346" s="12"/>
      <c r="E346" s="12"/>
      <c r="F346" s="12"/>
      <c r="G346" s="12"/>
    </row>
    <row r="347" spans="3:7" x14ac:dyDescent="0.25">
      <c r="C347" s="12"/>
      <c r="D347" s="12"/>
      <c r="E347" s="12"/>
      <c r="F347" s="12"/>
      <c r="G347" s="12"/>
    </row>
    <row r="348" spans="3:7" x14ac:dyDescent="0.25">
      <c r="C348" s="12"/>
      <c r="D348" s="12"/>
      <c r="E348" s="12"/>
      <c r="F348" s="12"/>
      <c r="G348" s="12"/>
    </row>
    <row r="349" spans="3:7" x14ac:dyDescent="0.25">
      <c r="C349" s="12"/>
      <c r="D349" s="12"/>
      <c r="E349" s="12"/>
      <c r="F349" s="12"/>
      <c r="G349" s="12"/>
    </row>
    <row r="350" spans="3:7" x14ac:dyDescent="0.25">
      <c r="C350" s="12"/>
      <c r="D350" s="12"/>
      <c r="E350" s="12"/>
      <c r="F350" s="12"/>
      <c r="G350" s="12"/>
    </row>
    <row r="351" spans="3:7" x14ac:dyDescent="0.25">
      <c r="C351" s="12"/>
      <c r="D351" s="12"/>
      <c r="E351" s="12"/>
      <c r="F351" s="12"/>
      <c r="G351" s="12"/>
    </row>
    <row r="352" spans="3:7" x14ac:dyDescent="0.25">
      <c r="C352" s="12"/>
      <c r="D352" s="12"/>
      <c r="E352" s="12"/>
      <c r="F352" s="12"/>
      <c r="G352" s="12"/>
    </row>
    <row r="353" spans="3:7" x14ac:dyDescent="0.25">
      <c r="C353" s="12"/>
      <c r="D353" s="12"/>
      <c r="E353" s="12"/>
      <c r="F353" s="12"/>
      <c r="G353" s="12"/>
    </row>
    <row r="354" spans="3:7" x14ac:dyDescent="0.25">
      <c r="C354" s="12"/>
      <c r="D354" s="12"/>
      <c r="E354" s="12"/>
      <c r="F354" s="12"/>
      <c r="G354" s="12"/>
    </row>
    <row r="355" spans="3:7" x14ac:dyDescent="0.25">
      <c r="C355" s="12"/>
      <c r="D355" s="12"/>
      <c r="E355" s="12"/>
      <c r="F355" s="12"/>
      <c r="G355" s="12"/>
    </row>
    <row r="356" spans="3:7" x14ac:dyDescent="0.25">
      <c r="C356" s="12"/>
      <c r="D356" s="12"/>
      <c r="E356" s="12"/>
      <c r="F356" s="12"/>
      <c r="G356" s="12"/>
    </row>
    <row r="357" spans="3:7" x14ac:dyDescent="0.25">
      <c r="C357" s="12"/>
      <c r="D357" s="12"/>
      <c r="E357" s="12"/>
      <c r="F357" s="12"/>
      <c r="G357" s="12"/>
    </row>
    <row r="358" spans="3:7" x14ac:dyDescent="0.25">
      <c r="C358" s="12"/>
      <c r="D358" s="12"/>
      <c r="E358" s="12"/>
      <c r="F358" s="12"/>
      <c r="G358" s="12"/>
    </row>
    <row r="359" spans="3:7" x14ac:dyDescent="0.25">
      <c r="C359" s="12"/>
      <c r="D359" s="12"/>
      <c r="E359" s="12"/>
      <c r="F359" s="12"/>
      <c r="G359" s="12"/>
    </row>
    <row r="360" spans="3:7" x14ac:dyDescent="0.25">
      <c r="C360" s="12"/>
      <c r="D360" s="12"/>
      <c r="E360" s="12"/>
      <c r="F360" s="12"/>
      <c r="G360" s="12"/>
    </row>
    <row r="361" spans="3:7" x14ac:dyDescent="0.25">
      <c r="C361" s="12"/>
      <c r="D361" s="12"/>
      <c r="E361" s="12"/>
      <c r="F361" s="12"/>
      <c r="G361" s="12"/>
    </row>
    <row r="362" spans="3:7" x14ac:dyDescent="0.25">
      <c r="C362" s="12"/>
      <c r="D362" s="12"/>
      <c r="E362" s="12"/>
      <c r="F362" s="12"/>
      <c r="G362" s="12"/>
    </row>
    <row r="363" spans="3:7" x14ac:dyDescent="0.25">
      <c r="C363" s="12"/>
      <c r="D363" s="12"/>
      <c r="E363" s="12"/>
      <c r="F363" s="12"/>
      <c r="G363" s="12"/>
    </row>
    <row r="364" spans="3:7" x14ac:dyDescent="0.25">
      <c r="C364" s="12"/>
      <c r="D364" s="12"/>
      <c r="E364" s="12"/>
      <c r="F364" s="12"/>
      <c r="G364" s="12"/>
    </row>
    <row r="365" spans="3:7" x14ac:dyDescent="0.25">
      <c r="C365" s="12"/>
      <c r="D365" s="12"/>
      <c r="E365" s="12"/>
      <c r="F365" s="12"/>
      <c r="G365" s="12"/>
    </row>
    <row r="366" spans="3:7" x14ac:dyDescent="0.25">
      <c r="C366" s="12"/>
      <c r="D366" s="12"/>
      <c r="E366" s="12"/>
      <c r="F366" s="12"/>
      <c r="G366" s="12"/>
    </row>
    <row r="367" spans="3:7" x14ac:dyDescent="0.25">
      <c r="C367" s="12"/>
      <c r="D367" s="12"/>
      <c r="E367" s="12"/>
      <c r="F367" s="12"/>
      <c r="G367" s="12"/>
    </row>
    <row r="368" spans="3:7" x14ac:dyDescent="0.25">
      <c r="C368" s="12"/>
      <c r="D368" s="12"/>
      <c r="E368" s="12"/>
      <c r="F368" s="12"/>
      <c r="G368" s="12"/>
    </row>
    <row r="369" spans="3:7" x14ac:dyDescent="0.25">
      <c r="C369" s="12"/>
      <c r="D369" s="12"/>
      <c r="E369" s="12"/>
      <c r="F369" s="12"/>
      <c r="G369" s="12"/>
    </row>
    <row r="370" spans="3:7" x14ac:dyDescent="0.25">
      <c r="C370" s="12"/>
      <c r="D370" s="12"/>
      <c r="E370" s="12"/>
      <c r="F370" s="12"/>
      <c r="G370" s="12"/>
    </row>
    <row r="371" spans="3:7" x14ac:dyDescent="0.25">
      <c r="C371" s="12"/>
      <c r="D371" s="12"/>
      <c r="E371" s="12"/>
      <c r="F371" s="12"/>
      <c r="G371" s="12"/>
    </row>
    <row r="372" spans="3:7" x14ac:dyDescent="0.25">
      <c r="C372" s="12"/>
      <c r="D372" s="12"/>
      <c r="E372" s="12"/>
      <c r="F372" s="12"/>
      <c r="G372" s="12"/>
    </row>
    <row r="373" spans="3:7" x14ac:dyDescent="0.25">
      <c r="C373" s="12"/>
      <c r="D373" s="12"/>
      <c r="E373" s="12"/>
      <c r="F373" s="12"/>
      <c r="G373" s="12"/>
    </row>
    <row r="374" spans="3:7" x14ac:dyDescent="0.25">
      <c r="C374" s="12"/>
      <c r="D374" s="12"/>
      <c r="E374" s="12"/>
      <c r="F374" s="12"/>
      <c r="G374" s="12"/>
    </row>
    <row r="375" spans="3:7" x14ac:dyDescent="0.25">
      <c r="C375" s="12"/>
      <c r="D375" s="12"/>
      <c r="E375" s="12"/>
      <c r="F375" s="12"/>
      <c r="G375" s="12"/>
    </row>
    <row r="376" spans="3:7" x14ac:dyDescent="0.25">
      <c r="C376" s="12"/>
      <c r="D376" s="12"/>
      <c r="E376" s="12"/>
      <c r="F376" s="12"/>
      <c r="G376" s="12"/>
    </row>
    <row r="377" spans="3:7" x14ac:dyDescent="0.25">
      <c r="C377" s="12"/>
      <c r="D377" s="12"/>
      <c r="E377" s="12"/>
      <c r="F377" s="12"/>
      <c r="G377" s="12"/>
    </row>
    <row r="378" spans="3:7" x14ac:dyDescent="0.25">
      <c r="C378" s="12"/>
      <c r="D378" s="12"/>
      <c r="E378" s="12"/>
      <c r="F378" s="12"/>
      <c r="G378" s="12"/>
    </row>
    <row r="379" spans="3:7" x14ac:dyDescent="0.25">
      <c r="C379" s="12"/>
      <c r="D379" s="12"/>
      <c r="E379" s="12"/>
      <c r="F379" s="12"/>
      <c r="G379" s="12"/>
    </row>
    <row r="380" spans="3:7" x14ac:dyDescent="0.25">
      <c r="C380" s="12"/>
      <c r="D380" s="12"/>
      <c r="E380" s="12"/>
      <c r="F380" s="12"/>
      <c r="G380" s="12"/>
    </row>
    <row r="381" spans="3:7" x14ac:dyDescent="0.25">
      <c r="C381" s="12"/>
      <c r="D381" s="12"/>
      <c r="E381" s="12"/>
      <c r="F381" s="12"/>
      <c r="G381" s="12"/>
    </row>
    <row r="382" spans="3:7" x14ac:dyDescent="0.25">
      <c r="C382" s="12"/>
      <c r="D382" s="12"/>
      <c r="E382" s="12"/>
      <c r="F382" s="12"/>
      <c r="G382" s="12"/>
    </row>
    <row r="383" spans="3:7" x14ac:dyDescent="0.25">
      <c r="C383" s="12"/>
      <c r="D383" s="12"/>
      <c r="E383" s="12"/>
      <c r="F383" s="12"/>
      <c r="G383" s="12"/>
    </row>
  </sheetData>
  <mergeCells count="20">
    <mergeCell ref="A127:A128"/>
    <mergeCell ref="B127:B128"/>
    <mergeCell ref="C127:C128"/>
    <mergeCell ref="D127:D128"/>
    <mergeCell ref="E127:E128"/>
    <mergeCell ref="A182:A183"/>
    <mergeCell ref="B182:B183"/>
    <mergeCell ref="C182:C183"/>
    <mergeCell ref="D182:D183"/>
    <mergeCell ref="E182:E183"/>
    <mergeCell ref="A6:A7"/>
    <mergeCell ref="B6:B7"/>
    <mergeCell ref="C6:C7"/>
    <mergeCell ref="D6:D7"/>
    <mergeCell ref="E6:E7"/>
    <mergeCell ref="A67:A68"/>
    <mergeCell ref="B67:B68"/>
    <mergeCell ref="C67:C68"/>
    <mergeCell ref="D67:D68"/>
    <mergeCell ref="E67:E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jan13</vt:lpstr>
      <vt:lpstr>feb13</vt:lpstr>
      <vt:lpstr>march10</vt:lpstr>
      <vt:lpstr>april10</vt:lpstr>
      <vt:lpstr>may10</vt:lpstr>
      <vt:lpstr>june</vt:lpstr>
      <vt:lpstr>july</vt:lpstr>
      <vt:lpstr>aug</vt:lpstr>
      <vt:lpstr>Sept</vt:lpstr>
      <vt:lpstr>oct.11</vt:lpstr>
      <vt:lpstr>nov.11</vt:lpstr>
      <vt:lpstr>Dec.11</vt:lpstr>
      <vt:lpstr>Sheet1</vt:lpstr>
      <vt:lpstr>Sheet2</vt:lpstr>
      <vt:lpstr>GAD</vt:lpstr>
      <vt:lpstr>SEF</vt:lpstr>
      <vt:lpstr>Sheet3</vt:lpstr>
      <vt:lpstr>balance13</vt:lpstr>
      <vt:lpstr>bySector</vt:lpstr>
      <vt:lpstr>Sheet5</vt:lpstr>
      <vt:lpstr>aug!Print_Area</vt:lpstr>
      <vt:lpstr>balance13!Print_Area</vt:lpstr>
      <vt:lpstr>bySector!Print_Area</vt:lpstr>
      <vt:lpstr>Dec.11!Print_Area</vt:lpstr>
      <vt:lpstr>GAD!Print_Area</vt:lpstr>
      <vt:lpstr>'jan13'!Print_Area</vt:lpstr>
      <vt:lpstr>june!Print_Area</vt:lpstr>
      <vt:lpstr>march10!Print_Area</vt:lpstr>
      <vt:lpstr>'may10'!Print_Area</vt:lpstr>
      <vt:lpstr>nov.11!Print_Area</vt:lpstr>
      <vt:lpstr>oct.11!Print_Area</vt:lpstr>
      <vt:lpstr>Sheet1!Print_Area</vt:lpstr>
      <vt:lpstr>Sheet2!Print_Area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Loida</dc:creator>
  <cp:lastModifiedBy>LOIDA</cp:lastModifiedBy>
  <cp:lastPrinted>2015-08-11T18:22:48Z</cp:lastPrinted>
  <dcterms:created xsi:type="dcterms:W3CDTF">2010-11-09T18:16:55Z</dcterms:created>
  <dcterms:modified xsi:type="dcterms:W3CDTF">2015-08-11T18:26:49Z</dcterms:modified>
</cp:coreProperties>
</file>