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2015\DESKTOPFILES\"/>
    </mc:Choice>
  </mc:AlternateContent>
  <bookViews>
    <workbookView xWindow="240" yWindow="315" windowWidth="11550" windowHeight="4440" firstSheet="6" activeTab="11"/>
  </bookViews>
  <sheets>
    <sheet name="jan13" sheetId="1" r:id="rId1"/>
    <sheet name="feb13" sheetId="2" r:id="rId2"/>
    <sheet name="march10" sheetId="3" r:id="rId3"/>
    <sheet name="april10" sheetId="4" r:id="rId4"/>
    <sheet name="may10" sheetId="5" r:id="rId5"/>
    <sheet name="june" sheetId="6" r:id="rId6"/>
    <sheet name="july" sheetId="7" r:id="rId7"/>
    <sheet name="aug" sheetId="10" r:id="rId8"/>
    <sheet name="Sept" sheetId="9" r:id="rId9"/>
    <sheet name="oct.11" sheetId="11" r:id="rId10"/>
    <sheet name="nov.11" sheetId="12" r:id="rId11"/>
    <sheet name="Dec.11" sheetId="13" r:id="rId12"/>
    <sheet name="Sheet1" sheetId="8" r:id="rId13"/>
    <sheet name="Sheet2" sheetId="14" r:id="rId14"/>
    <sheet name="GAD" sheetId="15" r:id="rId15"/>
    <sheet name="SEF" sheetId="16" r:id="rId16"/>
    <sheet name="Sheet3" sheetId="17" r:id="rId17"/>
    <sheet name="balance13" sheetId="18" r:id="rId18"/>
    <sheet name="bySector" sheetId="19" r:id="rId19"/>
  </sheets>
  <definedNames>
    <definedName name="_xlnm.Print_Area" localSheetId="3">april10!$A$158:$G$197</definedName>
    <definedName name="_xlnm.Print_Area" localSheetId="7">aug!$A$158:$G$197</definedName>
    <definedName name="_xlnm.Print_Area" localSheetId="17">balance13!$A$1:$C$12</definedName>
    <definedName name="_xlnm.Print_Area" localSheetId="18">bySector!$A$111:$G$157</definedName>
    <definedName name="_xlnm.Print_Area" localSheetId="11">Dec.11!$A$121:$G$157</definedName>
    <definedName name="_xlnm.Print_Area" localSheetId="1">'feb13'!$A$158:$G$197</definedName>
    <definedName name="_xlnm.Print_Area" localSheetId="14">GAD!$A$1:$D$43</definedName>
    <definedName name="_xlnm.Print_Area" localSheetId="0">'jan13'!$A$158:$G$197</definedName>
    <definedName name="_xlnm.Print_Area" localSheetId="6">july!$A$158:$G$197</definedName>
    <definedName name="_xlnm.Print_Area" localSheetId="5">june!$A$158:$G$197</definedName>
    <definedName name="_xlnm.Print_Area" localSheetId="2">march10!$A$158:$G$198</definedName>
    <definedName name="_xlnm.Print_Area" localSheetId="4">'may10'!$A$158:$G$197</definedName>
    <definedName name="_xlnm.Print_Area" localSheetId="10">nov.11!$A$162:$G$204</definedName>
    <definedName name="_xlnm.Print_Area" localSheetId="9">oct.11!$A$162:$G$204</definedName>
    <definedName name="_xlnm.Print_Area" localSheetId="8">Sept!$A$158:$G$197</definedName>
    <definedName name="_xlnm.Print_Area" localSheetId="12">Sheet1!$A$4:$D$35</definedName>
    <definedName name="_xlnm.Print_Area" localSheetId="13">Sheet2!$A$369:$D$414</definedName>
    <definedName name="_xlnm.Print_Area" localSheetId="16">Sheet3!$A$125:$C$158</definedName>
  </definedNames>
  <calcPr calcId="152511"/>
</workbook>
</file>

<file path=xl/calcChain.xml><?xml version="1.0" encoding="utf-8"?>
<calcChain xmlns="http://schemas.openxmlformats.org/spreadsheetml/2006/main">
  <c r="D200" i="13" l="1"/>
  <c r="E69" i="13" l="1"/>
  <c r="H69" i="13"/>
  <c r="E140" i="19" l="1"/>
  <c r="E147" i="19" s="1"/>
  <c r="E131" i="19"/>
  <c r="E148" i="19" s="1"/>
  <c r="D148" i="19" l="1"/>
  <c r="G148" i="19" s="1"/>
  <c r="D147" i="19"/>
  <c r="D150" i="19" s="1"/>
  <c r="J129" i="19"/>
  <c r="C148" i="19"/>
  <c r="F148" i="19" s="1"/>
  <c r="C147" i="19"/>
  <c r="F147" i="19" s="1"/>
  <c r="D133" i="19"/>
  <c r="E150" i="19"/>
  <c r="D143" i="19"/>
  <c r="E133" i="19"/>
  <c r="C133" i="19"/>
  <c r="F131" i="19"/>
  <c r="G131" i="19"/>
  <c r="F130" i="19"/>
  <c r="D87" i="19"/>
  <c r="D86" i="19"/>
  <c r="C87" i="19"/>
  <c r="C86" i="19"/>
  <c r="G80" i="19"/>
  <c r="F80" i="19"/>
  <c r="D79" i="19"/>
  <c r="G79" i="19" s="1"/>
  <c r="C79" i="19"/>
  <c r="F79" i="19" s="1"/>
  <c r="G147" i="19" l="1"/>
  <c r="G150" i="19"/>
  <c r="G130" i="19"/>
  <c r="F140" i="19"/>
  <c r="F143" i="19" s="1"/>
  <c r="C143" i="19"/>
  <c r="E143" i="19"/>
  <c r="G140" i="19"/>
  <c r="G143" i="19" s="1"/>
  <c r="F150" i="19"/>
  <c r="C150" i="19"/>
  <c r="F133" i="19"/>
  <c r="D72" i="19"/>
  <c r="G72" i="19" s="1"/>
  <c r="C72" i="19"/>
  <c r="F72" i="19" s="1"/>
  <c r="D66" i="19"/>
  <c r="D94" i="19" s="1"/>
  <c r="C66" i="19"/>
  <c r="C94" i="19" s="1"/>
  <c r="D65" i="19"/>
  <c r="D93" i="19" s="1"/>
  <c r="C65" i="19"/>
  <c r="C93" i="19" s="1"/>
  <c r="G133" i="19" l="1"/>
  <c r="F65" i="19"/>
  <c r="G65" i="19"/>
  <c r="G87" i="19"/>
  <c r="F87" i="19"/>
  <c r="G86" i="19"/>
  <c r="F86" i="19"/>
  <c r="E89" i="19"/>
  <c r="D89" i="19"/>
  <c r="C89" i="19"/>
  <c r="E82" i="19"/>
  <c r="C82" i="19"/>
  <c r="G73" i="19"/>
  <c r="G75" i="19" s="1"/>
  <c r="F73" i="19"/>
  <c r="E75" i="19"/>
  <c r="C75" i="19"/>
  <c r="F66" i="19"/>
  <c r="E94" i="19"/>
  <c r="E92" i="19"/>
  <c r="D92" i="19"/>
  <c r="C92" i="19"/>
  <c r="D18" i="19"/>
  <c r="F94" i="19" l="1"/>
  <c r="F93" i="19"/>
  <c r="G93" i="19"/>
  <c r="D96" i="19"/>
  <c r="E96" i="19"/>
  <c r="C96" i="19"/>
  <c r="F75" i="19"/>
  <c r="D82" i="19"/>
  <c r="G89" i="19"/>
  <c r="C68" i="19"/>
  <c r="E68" i="19"/>
  <c r="D75" i="19"/>
  <c r="G82" i="19"/>
  <c r="G66" i="19"/>
  <c r="G94" i="19" s="1"/>
  <c r="D68" i="19"/>
  <c r="F68" i="19"/>
  <c r="F82" i="19"/>
  <c r="F89" i="19"/>
  <c r="D19" i="19"/>
  <c r="C19" i="19"/>
  <c r="H18" i="19"/>
  <c r="H17" i="19"/>
  <c r="D39" i="19"/>
  <c r="E47" i="19"/>
  <c r="D47" i="19"/>
  <c r="D46" i="19"/>
  <c r="D45" i="19"/>
  <c r="E33" i="19"/>
  <c r="D33" i="19"/>
  <c r="D54" i="19" s="1"/>
  <c r="D32" i="19"/>
  <c r="D31" i="19"/>
  <c r="D25" i="19"/>
  <c r="D24" i="19"/>
  <c r="E19" i="19"/>
  <c r="E54" i="19" s="1"/>
  <c r="E46" i="19"/>
  <c r="E45" i="19"/>
  <c r="E39" i="19"/>
  <c r="E25" i="19"/>
  <c r="E32" i="19"/>
  <c r="E31" i="19"/>
  <c r="E24" i="19"/>
  <c r="C32" i="19"/>
  <c r="C33" i="19"/>
  <c r="C47" i="19"/>
  <c r="C46" i="19"/>
  <c r="C45" i="19"/>
  <c r="C39" i="19"/>
  <c r="C31" i="19"/>
  <c r="C18" i="19"/>
  <c r="C24" i="19"/>
  <c r="C25" i="19"/>
  <c r="D17" i="19"/>
  <c r="D52" i="19" s="1"/>
  <c r="E18" i="19"/>
  <c r="E17" i="19"/>
  <c r="E52" i="19" s="1"/>
  <c r="C17" i="19"/>
  <c r="C52" i="19" l="1"/>
  <c r="D53" i="19"/>
  <c r="E53" i="19"/>
  <c r="E56" i="19" s="1"/>
  <c r="E97" i="19" s="1"/>
  <c r="H21" i="19"/>
  <c r="C53" i="19"/>
  <c r="C54" i="19"/>
  <c r="D49" i="19"/>
  <c r="C49" i="19"/>
  <c r="F92" i="19"/>
  <c r="G92" i="19"/>
  <c r="G96" i="19" s="1"/>
  <c r="G68" i="19"/>
  <c r="D56" i="19"/>
  <c r="D97" i="19" s="1"/>
  <c r="M47" i="19"/>
  <c r="G47" i="19"/>
  <c r="F47" i="19"/>
  <c r="F46" i="19"/>
  <c r="L45" i="19"/>
  <c r="F45" i="19"/>
  <c r="D42" i="19"/>
  <c r="C42" i="19"/>
  <c r="G40" i="19"/>
  <c r="F40" i="19"/>
  <c r="F39" i="19"/>
  <c r="D35" i="19"/>
  <c r="C35" i="19"/>
  <c r="G33" i="19"/>
  <c r="F33" i="19"/>
  <c r="G32" i="19"/>
  <c r="M31" i="19"/>
  <c r="F31" i="19"/>
  <c r="D28" i="19"/>
  <c r="C28" i="19"/>
  <c r="J27" i="19"/>
  <c r="J28" i="19" s="1"/>
  <c r="J29" i="19" s="1"/>
  <c r="J31" i="19" s="1"/>
  <c r="G26" i="19"/>
  <c r="F26" i="19"/>
  <c r="F25" i="19"/>
  <c r="L24" i="19"/>
  <c r="L25" i="19" s="1"/>
  <c r="E28" i="19"/>
  <c r="S21" i="19"/>
  <c r="S22" i="19" s="1"/>
  <c r="R21" i="19"/>
  <c r="R22" i="19" s="1"/>
  <c r="M21" i="19"/>
  <c r="D21" i="19"/>
  <c r="C21" i="19"/>
  <c r="I20" i="19"/>
  <c r="G19" i="19"/>
  <c r="F19" i="19"/>
  <c r="G18" i="19"/>
  <c r="E21" i="19"/>
  <c r="I16" i="19"/>
  <c r="I15" i="19"/>
  <c r="M13" i="19"/>
  <c r="G54" i="19" l="1"/>
  <c r="C56" i="19"/>
  <c r="C97" i="19" s="1"/>
  <c r="F54" i="19"/>
  <c r="F96" i="19"/>
  <c r="E42" i="19"/>
  <c r="F49" i="19"/>
  <c r="F18" i="19"/>
  <c r="F32" i="19"/>
  <c r="F35" i="19" s="1"/>
  <c r="F42" i="19"/>
  <c r="S23" i="19"/>
  <c r="G24" i="19"/>
  <c r="G25" i="19"/>
  <c r="G31" i="19"/>
  <c r="G35" i="19" s="1"/>
  <c r="E35" i="19"/>
  <c r="G39" i="19"/>
  <c r="G45" i="19"/>
  <c r="G46" i="19"/>
  <c r="E49" i="19"/>
  <c r="G17" i="19"/>
  <c r="F17" i="19"/>
  <c r="F24" i="19"/>
  <c r="F28" i="19" s="1"/>
  <c r="C398" i="14"/>
  <c r="D398" i="14" s="1"/>
  <c r="F398" i="14"/>
  <c r="F399" i="14" s="1"/>
  <c r="D402" i="14"/>
  <c r="D401" i="14"/>
  <c r="D400" i="14"/>
  <c r="D399" i="14"/>
  <c r="C397" i="14"/>
  <c r="C396" i="14"/>
  <c r="C395" i="14"/>
  <c r="D395" i="14" s="1"/>
  <c r="C393" i="14"/>
  <c r="C390" i="14"/>
  <c r="C388" i="14"/>
  <c r="C387" i="14"/>
  <c r="C383" i="14"/>
  <c r="C382" i="14"/>
  <c r="D382" i="14" s="1"/>
  <c r="C381" i="14"/>
  <c r="C380" i="14"/>
  <c r="D380" i="14" s="1"/>
  <c r="C377" i="14"/>
  <c r="C376" i="14"/>
  <c r="D376" i="14" s="1"/>
  <c r="B397" i="14"/>
  <c r="D397" i="14" s="1"/>
  <c r="B393" i="14"/>
  <c r="D393" i="14" s="1"/>
  <c r="B390" i="14"/>
  <c r="B385" i="14"/>
  <c r="B404" i="14" s="1"/>
  <c r="D396" i="14"/>
  <c r="D394" i="14"/>
  <c r="D392" i="14"/>
  <c r="D391" i="14"/>
  <c r="D389" i="14"/>
  <c r="D388" i="14"/>
  <c r="D387" i="14"/>
  <c r="D386" i="14"/>
  <c r="D385" i="14"/>
  <c r="D384" i="14"/>
  <c r="D383" i="14"/>
  <c r="D381" i="14"/>
  <c r="D379" i="14"/>
  <c r="D378" i="14"/>
  <c r="D377" i="14"/>
  <c r="D375" i="14"/>
  <c r="D390" i="14" l="1"/>
  <c r="F53" i="19"/>
  <c r="G53" i="19"/>
  <c r="G21" i="19"/>
  <c r="G52" i="19"/>
  <c r="G56" i="19" s="1"/>
  <c r="G97" i="19" s="1"/>
  <c r="F52" i="19"/>
  <c r="F56" i="19" s="1"/>
  <c r="F97" i="19" s="1"/>
  <c r="F21" i="19"/>
  <c r="G42" i="19"/>
  <c r="G49" i="19"/>
  <c r="G28" i="19"/>
  <c r="D404" i="14"/>
  <c r="C404" i="14"/>
  <c r="J164" i="13"/>
  <c r="J160" i="13"/>
  <c r="J159" i="13"/>
  <c r="E175" i="13" l="1"/>
  <c r="E185" i="13"/>
  <c r="E149" i="13"/>
  <c r="E150" i="13"/>
  <c r="E140" i="13"/>
  <c r="E136" i="13"/>
  <c r="E148" i="13"/>
  <c r="E134" i="13"/>
  <c r="E146" i="13"/>
  <c r="E129" i="13"/>
  <c r="E105" i="13"/>
  <c r="E98" i="13"/>
  <c r="E105" i="12"/>
  <c r="E77" i="13"/>
  <c r="E91" i="13"/>
  <c r="E84" i="13"/>
  <c r="E70" i="13"/>
  <c r="E54" i="13"/>
  <c r="E47" i="13" l="1"/>
  <c r="E40" i="13"/>
  <c r="E33" i="13"/>
  <c r="E26" i="13"/>
  <c r="E19" i="13"/>
  <c r="E12" i="13"/>
  <c r="E11" i="13"/>
  <c r="G194" i="12"/>
  <c r="F194" i="12"/>
  <c r="G189" i="12"/>
  <c r="F189" i="12"/>
  <c r="G186" i="12"/>
  <c r="F186" i="12"/>
  <c r="G184" i="12"/>
  <c r="F184" i="12"/>
  <c r="G183" i="12"/>
  <c r="F183" i="12"/>
  <c r="G182" i="12"/>
  <c r="F182" i="12"/>
  <c r="G155" i="12"/>
  <c r="F155" i="12"/>
  <c r="G154" i="12"/>
  <c r="F154" i="12"/>
  <c r="G153" i="12"/>
  <c r="F153" i="12"/>
  <c r="G152" i="12"/>
  <c r="F152" i="12"/>
  <c r="G147" i="12"/>
  <c r="F147" i="12"/>
  <c r="G145" i="12"/>
  <c r="F145" i="12"/>
  <c r="G144" i="12"/>
  <c r="F144" i="12"/>
  <c r="G142" i="12"/>
  <c r="F142" i="12"/>
  <c r="G139" i="12"/>
  <c r="F139" i="12"/>
  <c r="G138" i="12"/>
  <c r="G137" i="12"/>
  <c r="F137" i="12"/>
  <c r="G131" i="12"/>
  <c r="F131" i="12"/>
  <c r="G92" i="12"/>
  <c r="F92" i="12"/>
  <c r="G41" i="12"/>
  <c r="F41" i="12"/>
  <c r="G34" i="12"/>
  <c r="F34" i="12"/>
  <c r="D193" i="12"/>
  <c r="G193" i="12" s="1"/>
  <c r="D191" i="12"/>
  <c r="D150" i="12"/>
  <c r="D146" i="12"/>
  <c r="D143" i="12"/>
  <c r="D138" i="12"/>
  <c r="D115" i="12"/>
  <c r="D108" i="12"/>
  <c r="D101" i="12"/>
  <c r="D94" i="12"/>
  <c r="D87" i="12"/>
  <c r="D80" i="12"/>
  <c r="D73" i="12"/>
  <c r="D57" i="12"/>
  <c r="D50" i="12"/>
  <c r="D43" i="12"/>
  <c r="D36" i="12"/>
  <c r="D29" i="12"/>
  <c r="D22" i="12"/>
  <c r="D15" i="12"/>
  <c r="G194" i="11"/>
  <c r="F194" i="11"/>
  <c r="G189" i="11"/>
  <c r="F189" i="11"/>
  <c r="G186" i="11"/>
  <c r="F186" i="11"/>
  <c r="G183" i="11"/>
  <c r="F183" i="11"/>
  <c r="G182" i="11"/>
  <c r="F182" i="11"/>
  <c r="G155" i="11"/>
  <c r="F155" i="11"/>
  <c r="G154" i="11"/>
  <c r="F154" i="11"/>
  <c r="G153" i="11"/>
  <c r="F153" i="11"/>
  <c r="G152" i="11"/>
  <c r="F152" i="11"/>
  <c r="G149" i="11"/>
  <c r="F149" i="11"/>
  <c r="G147" i="11"/>
  <c r="F147" i="11"/>
  <c r="G139" i="11"/>
  <c r="F139" i="11"/>
  <c r="G138" i="11"/>
  <c r="G134" i="11"/>
  <c r="F134" i="11"/>
  <c r="G131" i="11"/>
  <c r="F131" i="11"/>
  <c r="G92" i="11"/>
  <c r="F92" i="11"/>
  <c r="G41" i="11"/>
  <c r="F41" i="11"/>
  <c r="G34" i="11"/>
  <c r="F34" i="11"/>
  <c r="D193" i="11"/>
  <c r="G193" i="11" s="1"/>
  <c r="D191" i="11"/>
  <c r="D150" i="11"/>
  <c r="D146" i="11"/>
  <c r="D143" i="11"/>
  <c r="D138" i="11"/>
  <c r="D115" i="11"/>
  <c r="D108" i="11"/>
  <c r="D101" i="11"/>
  <c r="D94" i="11"/>
  <c r="D87" i="11"/>
  <c r="D80" i="11"/>
  <c r="D73" i="11"/>
  <c r="D57" i="11"/>
  <c r="D50" i="11"/>
  <c r="D43" i="11"/>
  <c r="D36" i="11"/>
  <c r="D29" i="11"/>
  <c r="D22" i="11"/>
  <c r="D15" i="11"/>
  <c r="F185" i="9"/>
  <c r="G182" i="9"/>
  <c r="F182" i="9"/>
  <c r="F179" i="9"/>
  <c r="G178" i="9"/>
  <c r="F178" i="9"/>
  <c r="F149" i="9"/>
  <c r="F147" i="9"/>
  <c r="F139" i="9"/>
  <c r="G138" i="9"/>
  <c r="F138" i="9"/>
  <c r="F137" i="9"/>
  <c r="G134" i="9"/>
  <c r="F134" i="9"/>
  <c r="G132" i="9"/>
  <c r="F132" i="9"/>
  <c r="F131" i="9"/>
  <c r="G92" i="9"/>
  <c r="F92" i="9"/>
  <c r="G41" i="9"/>
  <c r="F41" i="9"/>
  <c r="F34" i="9"/>
  <c r="D188" i="9"/>
  <c r="D187" i="9"/>
  <c r="D185" i="9"/>
  <c r="G185" i="9" s="1"/>
  <c r="D182" i="9"/>
  <c r="D181" i="9"/>
  <c r="D180" i="9"/>
  <c r="D179" i="9"/>
  <c r="G179" i="9" s="1"/>
  <c r="D178" i="9"/>
  <c r="D176" i="9"/>
  <c r="D175" i="9"/>
  <c r="D174" i="9"/>
  <c r="D173" i="9"/>
  <c r="D172" i="9"/>
  <c r="D171" i="9"/>
  <c r="D169" i="9"/>
  <c r="D168" i="9"/>
  <c r="D151" i="9"/>
  <c r="D150" i="9"/>
  <c r="D149" i="9"/>
  <c r="G149" i="9" s="1"/>
  <c r="D148" i="9"/>
  <c r="D147" i="9"/>
  <c r="G147" i="9" s="1"/>
  <c r="D146" i="9"/>
  <c r="D145" i="9"/>
  <c r="D144" i="9"/>
  <c r="D143" i="9"/>
  <c r="D142" i="9"/>
  <c r="D141" i="9"/>
  <c r="D140" i="9"/>
  <c r="D139" i="9"/>
  <c r="G139" i="9" s="1"/>
  <c r="D138" i="9"/>
  <c r="D137" i="9"/>
  <c r="G137" i="9" s="1"/>
  <c r="D136" i="9"/>
  <c r="D135" i="9"/>
  <c r="D134" i="9"/>
  <c r="D133" i="9"/>
  <c r="D132" i="9"/>
  <c r="D131" i="9"/>
  <c r="G131" i="9" s="1"/>
  <c r="D130" i="9"/>
  <c r="D129" i="9"/>
  <c r="D128" i="9"/>
  <c r="D112" i="9"/>
  <c r="D105" i="9"/>
  <c r="D104" i="9"/>
  <c r="D98" i="9"/>
  <c r="D97" i="9"/>
  <c r="D92" i="9"/>
  <c r="D91" i="9"/>
  <c r="D90" i="9"/>
  <c r="D84" i="9"/>
  <c r="D83" i="9"/>
  <c r="D77" i="9"/>
  <c r="D76" i="9"/>
  <c r="D71" i="9"/>
  <c r="D70" i="9"/>
  <c r="D69" i="9"/>
  <c r="D55" i="9"/>
  <c r="D54" i="9"/>
  <c r="D53" i="9"/>
  <c r="D48" i="9"/>
  <c r="D47" i="9"/>
  <c r="D46" i="9"/>
  <c r="D41" i="9"/>
  <c r="D40" i="9"/>
  <c r="D39" i="9"/>
  <c r="D34" i="9"/>
  <c r="G34" i="9" s="1"/>
  <c r="D33" i="9"/>
  <c r="D32" i="9"/>
  <c r="D27" i="9"/>
  <c r="D26" i="9"/>
  <c r="D25" i="9"/>
  <c r="D20" i="9"/>
  <c r="D19" i="9"/>
  <c r="D18" i="9"/>
  <c r="D13" i="9"/>
  <c r="D12" i="9"/>
  <c r="D11" i="9"/>
  <c r="G185" i="10"/>
  <c r="F185" i="10"/>
  <c r="F182" i="10"/>
  <c r="F179" i="10"/>
  <c r="F178" i="10"/>
  <c r="G149" i="10"/>
  <c r="F149" i="10"/>
  <c r="F147" i="10"/>
  <c r="F13" i="10"/>
  <c r="F20" i="10"/>
  <c r="F27" i="10"/>
  <c r="F34" i="10"/>
  <c r="F41" i="10"/>
  <c r="F48" i="10"/>
  <c r="F55" i="10"/>
  <c r="F71" i="10"/>
  <c r="F92" i="10"/>
  <c r="F111" i="10"/>
  <c r="G111" i="10"/>
  <c r="F112" i="10"/>
  <c r="G112" i="10"/>
  <c r="F115" i="10"/>
  <c r="G115" i="10"/>
  <c r="F128" i="10"/>
  <c r="F131" i="10"/>
  <c r="G131" i="10"/>
  <c r="F132" i="10"/>
  <c r="F134" i="10"/>
  <c r="F135" i="10"/>
  <c r="G135" i="10"/>
  <c r="F137" i="10"/>
  <c r="G137" i="10"/>
  <c r="F138" i="10"/>
  <c r="F139" i="10"/>
  <c r="G139" i="10"/>
  <c r="F142" i="10"/>
  <c r="F144" i="10"/>
  <c r="F145" i="10"/>
  <c r="G145" i="10"/>
  <c r="G152" i="10"/>
  <c r="F170" i="10"/>
  <c r="G170" i="10"/>
  <c r="F172" i="10"/>
  <c r="F173" i="10"/>
  <c r="F176" i="10"/>
  <c r="F180" i="10"/>
  <c r="F183" i="10"/>
  <c r="G183" i="10"/>
  <c r="F184" i="10"/>
  <c r="G184" i="10"/>
  <c r="F187" i="10"/>
  <c r="F188" i="10"/>
  <c r="D188" i="10"/>
  <c r="G188" i="10" s="1"/>
  <c r="D187" i="10"/>
  <c r="G187" i="10" s="1"/>
  <c r="D185" i="10"/>
  <c r="D182" i="10"/>
  <c r="G182" i="10" s="1"/>
  <c r="D181" i="10"/>
  <c r="D180" i="10"/>
  <c r="G180" i="10" s="1"/>
  <c r="D179" i="10"/>
  <c r="G179" i="10" s="1"/>
  <c r="D178" i="10"/>
  <c r="G178" i="10" s="1"/>
  <c r="D176" i="10"/>
  <c r="G176" i="10" s="1"/>
  <c r="D175" i="10"/>
  <c r="D174" i="10"/>
  <c r="D173" i="10"/>
  <c r="G173" i="10" s="1"/>
  <c r="D172" i="10"/>
  <c r="G172" i="10" s="1"/>
  <c r="D171" i="10"/>
  <c r="D169" i="10"/>
  <c r="D168" i="10"/>
  <c r="D151" i="10"/>
  <c r="D150" i="10"/>
  <c r="D149" i="10"/>
  <c r="D148" i="10"/>
  <c r="D147" i="10"/>
  <c r="G147" i="10" s="1"/>
  <c r="D146" i="10"/>
  <c r="D145" i="10"/>
  <c r="D144" i="10"/>
  <c r="G144" i="10" s="1"/>
  <c r="D143" i="10"/>
  <c r="D142" i="10"/>
  <c r="G142" i="10" s="1"/>
  <c r="D141" i="10"/>
  <c r="D140" i="10"/>
  <c r="D139" i="10"/>
  <c r="D138" i="10"/>
  <c r="G138" i="10" s="1"/>
  <c r="D137" i="10"/>
  <c r="D136" i="10"/>
  <c r="D135" i="10"/>
  <c r="D134" i="10"/>
  <c r="G134" i="10" s="1"/>
  <c r="D133" i="10"/>
  <c r="D132" i="10"/>
  <c r="G132" i="10" s="1"/>
  <c r="D131" i="10"/>
  <c r="D130" i="10"/>
  <c r="D129" i="10"/>
  <c r="D128" i="10"/>
  <c r="G128" i="10" s="1"/>
  <c r="D112" i="10"/>
  <c r="D105" i="10"/>
  <c r="D104" i="10"/>
  <c r="D98" i="10"/>
  <c r="D97" i="10"/>
  <c r="D92" i="10"/>
  <c r="G92" i="10" s="1"/>
  <c r="D91" i="10"/>
  <c r="D90" i="10"/>
  <c r="D84" i="10"/>
  <c r="D83" i="10"/>
  <c r="D77" i="10"/>
  <c r="D76" i="10"/>
  <c r="D71" i="10"/>
  <c r="G71" i="10" s="1"/>
  <c r="D70" i="10"/>
  <c r="D69" i="10"/>
  <c r="D55" i="10"/>
  <c r="G55" i="10" s="1"/>
  <c r="D54" i="10"/>
  <c r="D53" i="10"/>
  <c r="D48" i="10"/>
  <c r="G48" i="10" s="1"/>
  <c r="D47" i="10"/>
  <c r="D46" i="10"/>
  <c r="D41" i="10"/>
  <c r="G41" i="10" s="1"/>
  <c r="D40" i="10"/>
  <c r="D39" i="10"/>
  <c r="D34" i="10"/>
  <c r="G34" i="10" s="1"/>
  <c r="D33" i="10"/>
  <c r="D32" i="10"/>
  <c r="D27" i="10"/>
  <c r="G27" i="10" s="1"/>
  <c r="D26" i="10"/>
  <c r="D25" i="10"/>
  <c r="D20" i="10"/>
  <c r="G20" i="10" s="1"/>
  <c r="D19" i="10"/>
  <c r="D18" i="10"/>
  <c r="D13" i="10"/>
  <c r="G13" i="10" s="1"/>
  <c r="D12" i="10"/>
  <c r="D11" i="10"/>
  <c r="D157" i="11" l="1"/>
  <c r="D197" i="11"/>
  <c r="D157" i="12"/>
  <c r="D197" i="12"/>
  <c r="E129" i="10"/>
  <c r="G185" i="7"/>
  <c r="F185" i="7"/>
  <c r="F182" i="7"/>
  <c r="G179" i="7"/>
  <c r="F179" i="7"/>
  <c r="F178" i="7"/>
  <c r="G149" i="7"/>
  <c r="F149" i="7"/>
  <c r="G147" i="7"/>
  <c r="F147" i="7"/>
  <c r="G139" i="7"/>
  <c r="F139" i="7"/>
  <c r="F138" i="7"/>
  <c r="G135" i="7"/>
  <c r="F135" i="7"/>
  <c r="F134" i="7"/>
  <c r="F132" i="7"/>
  <c r="G131" i="7"/>
  <c r="F131" i="7"/>
  <c r="F130" i="7"/>
  <c r="G34" i="7"/>
  <c r="F34" i="7"/>
  <c r="G41" i="7"/>
  <c r="F41" i="7"/>
  <c r="G92" i="7"/>
  <c r="F92" i="7"/>
  <c r="E174" i="6"/>
  <c r="D188" i="7"/>
  <c r="D187" i="7"/>
  <c r="D185" i="7"/>
  <c r="D182" i="7"/>
  <c r="G182" i="7" s="1"/>
  <c r="D181" i="7"/>
  <c r="D180" i="7"/>
  <c r="D179" i="7"/>
  <c r="D178" i="7"/>
  <c r="G178" i="7" s="1"/>
  <c r="D176" i="7"/>
  <c r="D175" i="7"/>
  <c r="D174" i="7"/>
  <c r="D173" i="7"/>
  <c r="D172" i="7"/>
  <c r="D171" i="7"/>
  <c r="D169" i="7"/>
  <c r="D168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G138" i="7" s="1"/>
  <c r="D137" i="7"/>
  <c r="D136" i="7"/>
  <c r="D135" i="7"/>
  <c r="D134" i="7"/>
  <c r="G134" i="7" s="1"/>
  <c r="D133" i="7"/>
  <c r="D132" i="7"/>
  <c r="G132" i="7" s="1"/>
  <c r="D131" i="7"/>
  <c r="D130" i="7"/>
  <c r="G130" i="7" s="1"/>
  <c r="D129" i="7"/>
  <c r="D128" i="7"/>
  <c r="D112" i="7"/>
  <c r="D105" i="7"/>
  <c r="D104" i="7"/>
  <c r="D98" i="7"/>
  <c r="D97" i="7"/>
  <c r="D91" i="7"/>
  <c r="D90" i="7"/>
  <c r="D84" i="7"/>
  <c r="D83" i="7"/>
  <c r="D77" i="7"/>
  <c r="D76" i="7"/>
  <c r="D70" i="7"/>
  <c r="D69" i="7"/>
  <c r="D54" i="7"/>
  <c r="D53" i="7"/>
  <c r="D47" i="7"/>
  <c r="D46" i="7"/>
  <c r="D40" i="7"/>
  <c r="D39" i="7"/>
  <c r="D33" i="7"/>
  <c r="D32" i="7"/>
  <c r="D26" i="7"/>
  <c r="D25" i="7"/>
  <c r="D19" i="7"/>
  <c r="D18" i="7"/>
  <c r="D12" i="7"/>
  <c r="D11" i="7"/>
  <c r="E174" i="5"/>
  <c r="E174" i="4"/>
  <c r="F129" i="10" l="1"/>
  <c r="G129" i="10"/>
  <c r="D198" i="12"/>
  <c r="D198" i="11"/>
  <c r="E25" i="3"/>
  <c r="E25" i="2"/>
  <c r="E175" i="12" l="1"/>
  <c r="E175" i="11"/>
  <c r="E171" i="9"/>
  <c r="E171" i="10"/>
  <c r="E171" i="6"/>
  <c r="F171" i="10" l="1"/>
  <c r="G171" i="10"/>
  <c r="F185" i="6"/>
  <c r="F182" i="6"/>
  <c r="F181" i="6"/>
  <c r="F179" i="6"/>
  <c r="F178" i="6"/>
  <c r="F149" i="6"/>
  <c r="F147" i="6"/>
  <c r="F142" i="6"/>
  <c r="F141" i="6"/>
  <c r="F140" i="6"/>
  <c r="F139" i="6"/>
  <c r="F138" i="6"/>
  <c r="F135" i="6"/>
  <c r="F134" i="6"/>
  <c r="F132" i="6"/>
  <c r="F131" i="6"/>
  <c r="F130" i="6"/>
  <c r="F92" i="6"/>
  <c r="F41" i="6"/>
  <c r="F34" i="6"/>
  <c r="D188" i="6"/>
  <c r="D187" i="6"/>
  <c r="D185" i="6"/>
  <c r="G185" i="6" s="1"/>
  <c r="D182" i="6"/>
  <c r="G182" i="6" s="1"/>
  <c r="D181" i="6"/>
  <c r="G181" i="6" s="1"/>
  <c r="D180" i="6"/>
  <c r="D179" i="6"/>
  <c r="G179" i="6" s="1"/>
  <c r="D178" i="6"/>
  <c r="G178" i="6" s="1"/>
  <c r="D176" i="6"/>
  <c r="D175" i="6"/>
  <c r="D174" i="6"/>
  <c r="D173" i="6"/>
  <c r="D172" i="6"/>
  <c r="D171" i="6"/>
  <c r="D169" i="6"/>
  <c r="D168" i="6"/>
  <c r="D151" i="6"/>
  <c r="D150" i="6"/>
  <c r="D149" i="6"/>
  <c r="G149" i="6" s="1"/>
  <c r="D148" i="6"/>
  <c r="D147" i="6"/>
  <c r="G147" i="6" s="1"/>
  <c r="D146" i="6"/>
  <c r="D145" i="6"/>
  <c r="D144" i="6"/>
  <c r="D143" i="6"/>
  <c r="D142" i="6"/>
  <c r="G142" i="6" s="1"/>
  <c r="D141" i="6"/>
  <c r="G141" i="6" s="1"/>
  <c r="D140" i="6"/>
  <c r="G140" i="6" s="1"/>
  <c r="D139" i="6"/>
  <c r="G139" i="6" s="1"/>
  <c r="D138" i="6"/>
  <c r="G138" i="6" s="1"/>
  <c r="D137" i="6"/>
  <c r="D136" i="6"/>
  <c r="D135" i="6"/>
  <c r="G135" i="6" s="1"/>
  <c r="D134" i="6"/>
  <c r="G134" i="6" s="1"/>
  <c r="D133" i="6"/>
  <c r="D132" i="6"/>
  <c r="G132" i="6" s="1"/>
  <c r="D131" i="6"/>
  <c r="G131" i="6" s="1"/>
  <c r="D130" i="6"/>
  <c r="G130" i="6" s="1"/>
  <c r="D129" i="6"/>
  <c r="D128" i="6"/>
  <c r="D112" i="6"/>
  <c r="D105" i="6"/>
  <c r="D104" i="6"/>
  <c r="D98" i="6"/>
  <c r="D97" i="6"/>
  <c r="D92" i="6"/>
  <c r="G92" i="6" s="1"/>
  <c r="D91" i="6"/>
  <c r="D90" i="6"/>
  <c r="D84" i="6"/>
  <c r="D83" i="6"/>
  <c r="D77" i="6"/>
  <c r="D76" i="6"/>
  <c r="D71" i="6"/>
  <c r="D70" i="6"/>
  <c r="D69" i="6"/>
  <c r="D55" i="6"/>
  <c r="D54" i="6"/>
  <c r="D53" i="6"/>
  <c r="D48" i="6"/>
  <c r="D47" i="6"/>
  <c r="D46" i="6"/>
  <c r="D41" i="6"/>
  <c r="G41" i="6" s="1"/>
  <c r="D40" i="6"/>
  <c r="D39" i="6"/>
  <c r="D34" i="6"/>
  <c r="G34" i="6" s="1"/>
  <c r="D33" i="6"/>
  <c r="D32" i="6"/>
  <c r="D27" i="6"/>
  <c r="D26" i="6"/>
  <c r="D25" i="6"/>
  <c r="D20" i="6"/>
  <c r="D19" i="6"/>
  <c r="D18" i="6"/>
  <c r="D13" i="6"/>
  <c r="D12" i="6"/>
  <c r="D11" i="6"/>
  <c r="F185" i="5"/>
  <c r="F182" i="5"/>
  <c r="F181" i="5"/>
  <c r="F179" i="5"/>
  <c r="F178" i="5"/>
  <c r="F175" i="5"/>
  <c r="F150" i="5"/>
  <c r="F149" i="5"/>
  <c r="F147" i="5"/>
  <c r="F141" i="5"/>
  <c r="F140" i="5"/>
  <c r="F139" i="5"/>
  <c r="F138" i="5"/>
  <c r="F135" i="5"/>
  <c r="F134" i="5"/>
  <c r="F132" i="5"/>
  <c r="F131" i="5"/>
  <c r="F130" i="5"/>
  <c r="F129" i="5"/>
  <c r="F92" i="5"/>
  <c r="F41" i="5"/>
  <c r="F34" i="5"/>
  <c r="D188" i="5"/>
  <c r="D187" i="5"/>
  <c r="D185" i="5"/>
  <c r="G185" i="5" s="1"/>
  <c r="D182" i="5"/>
  <c r="G182" i="5" s="1"/>
  <c r="D181" i="5"/>
  <c r="G181" i="5" s="1"/>
  <c r="D180" i="5"/>
  <c r="D179" i="5"/>
  <c r="G179" i="5" s="1"/>
  <c r="D178" i="5"/>
  <c r="G178" i="5" s="1"/>
  <c r="D176" i="5"/>
  <c r="D175" i="5"/>
  <c r="G175" i="5" s="1"/>
  <c r="D174" i="5"/>
  <c r="D173" i="5"/>
  <c r="D172" i="5"/>
  <c r="D171" i="5"/>
  <c r="D169" i="5"/>
  <c r="D168" i="5"/>
  <c r="D151" i="5"/>
  <c r="D150" i="5"/>
  <c r="G150" i="5" s="1"/>
  <c r="D149" i="5"/>
  <c r="G149" i="5" s="1"/>
  <c r="D148" i="5"/>
  <c r="D147" i="5"/>
  <c r="G147" i="5" s="1"/>
  <c r="D146" i="5"/>
  <c r="D145" i="5"/>
  <c r="D144" i="5"/>
  <c r="D143" i="5"/>
  <c r="D142" i="5"/>
  <c r="D141" i="5"/>
  <c r="G141" i="5" s="1"/>
  <c r="D140" i="5"/>
  <c r="G140" i="5" s="1"/>
  <c r="D139" i="5"/>
  <c r="G139" i="5" s="1"/>
  <c r="D138" i="5"/>
  <c r="G138" i="5" s="1"/>
  <c r="D137" i="5"/>
  <c r="D136" i="5"/>
  <c r="D135" i="5"/>
  <c r="G135" i="5" s="1"/>
  <c r="D134" i="5"/>
  <c r="G134" i="5" s="1"/>
  <c r="D133" i="5"/>
  <c r="D132" i="5"/>
  <c r="G132" i="5" s="1"/>
  <c r="D131" i="5"/>
  <c r="G131" i="5" s="1"/>
  <c r="D130" i="5"/>
  <c r="G130" i="5" s="1"/>
  <c r="D129" i="5"/>
  <c r="G129" i="5" s="1"/>
  <c r="D128" i="5"/>
  <c r="D112" i="5"/>
  <c r="D105" i="5"/>
  <c r="D104" i="5"/>
  <c r="D98" i="5"/>
  <c r="D97" i="5"/>
  <c r="D92" i="5"/>
  <c r="G92" i="5" s="1"/>
  <c r="D91" i="5"/>
  <c r="D90" i="5"/>
  <c r="D84" i="5"/>
  <c r="D83" i="5"/>
  <c r="D77" i="5"/>
  <c r="D76" i="5"/>
  <c r="D71" i="5"/>
  <c r="D70" i="5"/>
  <c r="D69" i="5"/>
  <c r="D55" i="5"/>
  <c r="D54" i="5"/>
  <c r="D53" i="5"/>
  <c r="D48" i="5"/>
  <c r="D47" i="5"/>
  <c r="D46" i="5"/>
  <c r="D41" i="5"/>
  <c r="G41" i="5" s="1"/>
  <c r="D40" i="5"/>
  <c r="D39" i="5"/>
  <c r="D34" i="5"/>
  <c r="G34" i="5" s="1"/>
  <c r="D33" i="5"/>
  <c r="D32" i="5"/>
  <c r="D27" i="5"/>
  <c r="D26" i="5"/>
  <c r="D25" i="5"/>
  <c r="D20" i="5"/>
  <c r="D19" i="5"/>
  <c r="D18" i="5"/>
  <c r="D13" i="5"/>
  <c r="D12" i="5"/>
  <c r="D11" i="5"/>
  <c r="F185" i="4"/>
  <c r="F182" i="4"/>
  <c r="F181" i="4"/>
  <c r="F179" i="4"/>
  <c r="F178" i="4"/>
  <c r="F175" i="4"/>
  <c r="F150" i="4"/>
  <c r="F149" i="4"/>
  <c r="F148" i="4"/>
  <c r="F147" i="4"/>
  <c r="F141" i="4"/>
  <c r="F139" i="4"/>
  <c r="F138" i="4"/>
  <c r="F135" i="4"/>
  <c r="F134" i="4"/>
  <c r="F132" i="4"/>
  <c r="F131" i="4"/>
  <c r="F130" i="4"/>
  <c r="F129" i="4"/>
  <c r="F92" i="4"/>
  <c r="F41" i="4"/>
  <c r="F34" i="4"/>
  <c r="D188" i="4"/>
  <c r="D187" i="4"/>
  <c r="D185" i="4"/>
  <c r="G185" i="4" s="1"/>
  <c r="D182" i="4"/>
  <c r="G182" i="4" s="1"/>
  <c r="D181" i="4"/>
  <c r="G181" i="4" s="1"/>
  <c r="D180" i="4"/>
  <c r="D179" i="4"/>
  <c r="G179" i="4" s="1"/>
  <c r="D178" i="4"/>
  <c r="G178" i="4" s="1"/>
  <c r="D176" i="4"/>
  <c r="D175" i="4"/>
  <c r="G175" i="4" s="1"/>
  <c r="D174" i="4"/>
  <c r="D173" i="4"/>
  <c r="D172" i="4"/>
  <c r="D171" i="4"/>
  <c r="D169" i="4"/>
  <c r="D168" i="4"/>
  <c r="D151" i="4"/>
  <c r="D150" i="4"/>
  <c r="G150" i="4" s="1"/>
  <c r="D149" i="4"/>
  <c r="G149" i="4" s="1"/>
  <c r="D148" i="4"/>
  <c r="G148" i="4" s="1"/>
  <c r="D147" i="4"/>
  <c r="G147" i="4" s="1"/>
  <c r="D146" i="4"/>
  <c r="D145" i="4"/>
  <c r="D144" i="4"/>
  <c r="D143" i="4"/>
  <c r="D142" i="4"/>
  <c r="D141" i="4"/>
  <c r="G141" i="4" s="1"/>
  <c r="D140" i="4"/>
  <c r="D139" i="4"/>
  <c r="G139" i="4" s="1"/>
  <c r="D138" i="4"/>
  <c r="G138" i="4" s="1"/>
  <c r="D137" i="4"/>
  <c r="D136" i="4"/>
  <c r="D135" i="4"/>
  <c r="G135" i="4" s="1"/>
  <c r="D134" i="4"/>
  <c r="G134" i="4" s="1"/>
  <c r="D133" i="4"/>
  <c r="D132" i="4"/>
  <c r="G132" i="4" s="1"/>
  <c r="D131" i="4"/>
  <c r="G131" i="4" s="1"/>
  <c r="D130" i="4"/>
  <c r="G130" i="4" s="1"/>
  <c r="D129" i="4"/>
  <c r="G129" i="4" s="1"/>
  <c r="D128" i="4"/>
  <c r="D112" i="4"/>
  <c r="D105" i="4"/>
  <c r="D104" i="4"/>
  <c r="D98" i="4"/>
  <c r="D97" i="4"/>
  <c r="D92" i="4"/>
  <c r="G92" i="4" s="1"/>
  <c r="D91" i="4"/>
  <c r="D90" i="4"/>
  <c r="D84" i="4"/>
  <c r="D83" i="4"/>
  <c r="D77" i="4"/>
  <c r="D76" i="4"/>
  <c r="D71" i="4"/>
  <c r="D70" i="4"/>
  <c r="D69" i="4"/>
  <c r="D55" i="4"/>
  <c r="D54" i="4"/>
  <c r="D53" i="4"/>
  <c r="D48" i="4"/>
  <c r="D47" i="4"/>
  <c r="D46" i="4"/>
  <c r="D41" i="4"/>
  <c r="G41" i="4" s="1"/>
  <c r="D40" i="4"/>
  <c r="D39" i="4"/>
  <c r="D34" i="4"/>
  <c r="G34" i="4" s="1"/>
  <c r="D33" i="4"/>
  <c r="D32" i="4"/>
  <c r="D27" i="4"/>
  <c r="D26" i="4"/>
  <c r="D25" i="4"/>
  <c r="D20" i="4"/>
  <c r="D19" i="4"/>
  <c r="D18" i="4"/>
  <c r="D13" i="4"/>
  <c r="D12" i="4"/>
  <c r="D11" i="4"/>
  <c r="D187" i="3"/>
  <c r="D182" i="3"/>
  <c r="D181" i="3"/>
  <c r="D180" i="3"/>
  <c r="D179" i="3"/>
  <c r="D178" i="3"/>
  <c r="D176" i="3"/>
  <c r="D175" i="3"/>
  <c r="D174" i="3"/>
  <c r="D173" i="3"/>
  <c r="D172" i="3"/>
  <c r="D171" i="3"/>
  <c r="D169" i="3"/>
  <c r="D168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12" i="3"/>
  <c r="D105" i="3"/>
  <c r="D104" i="3"/>
  <c r="D98" i="3"/>
  <c r="D97" i="3"/>
  <c r="D92" i="3"/>
  <c r="D91" i="3"/>
  <c r="D90" i="3"/>
  <c r="D84" i="3"/>
  <c r="D83" i="3"/>
  <c r="D77" i="3"/>
  <c r="D76" i="3"/>
  <c r="D71" i="3"/>
  <c r="D70" i="3"/>
  <c r="D69" i="3"/>
  <c r="D55" i="3"/>
  <c r="D54" i="3"/>
  <c r="D53" i="3"/>
  <c r="D48" i="3"/>
  <c r="D47" i="3"/>
  <c r="D46" i="3"/>
  <c r="D41" i="3"/>
  <c r="D40" i="3"/>
  <c r="D39" i="3"/>
  <c r="D32" i="3"/>
  <c r="D34" i="3"/>
  <c r="D33" i="3"/>
  <c r="D27" i="3"/>
  <c r="D26" i="3"/>
  <c r="D25" i="3"/>
  <c r="D20" i="3"/>
  <c r="D19" i="3"/>
  <c r="D18" i="3"/>
  <c r="D13" i="3"/>
  <c r="D12" i="3"/>
  <c r="D11" i="3"/>
  <c r="D185" i="3"/>
  <c r="D188" i="3"/>
  <c r="G185" i="3" l="1"/>
  <c r="F185" i="3"/>
  <c r="G182" i="3"/>
  <c r="F182" i="3"/>
  <c r="G181" i="3"/>
  <c r="F181" i="3"/>
  <c r="G180" i="3"/>
  <c r="F180" i="3"/>
  <c r="G179" i="3"/>
  <c r="F179" i="3"/>
  <c r="G178" i="3"/>
  <c r="F178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1" i="3"/>
  <c r="F141" i="3"/>
  <c r="G139" i="3"/>
  <c r="F139" i="3"/>
  <c r="G138" i="3"/>
  <c r="F138" i="3"/>
  <c r="G135" i="3"/>
  <c r="F135" i="3"/>
  <c r="G134" i="3"/>
  <c r="F134" i="3"/>
  <c r="G132" i="3"/>
  <c r="F132" i="3"/>
  <c r="G131" i="3"/>
  <c r="F131" i="3"/>
  <c r="G130" i="3"/>
  <c r="F130" i="3"/>
  <c r="G129" i="3"/>
  <c r="F129" i="3"/>
  <c r="G92" i="3"/>
  <c r="F92" i="3"/>
  <c r="G41" i="3"/>
  <c r="F41" i="3"/>
  <c r="G34" i="3"/>
  <c r="F34" i="3"/>
  <c r="F92" i="2"/>
  <c r="G185" i="2"/>
  <c r="F185" i="2"/>
  <c r="F182" i="2"/>
  <c r="G181" i="2"/>
  <c r="F181" i="2"/>
  <c r="G179" i="2"/>
  <c r="F179" i="2"/>
  <c r="F178" i="2"/>
  <c r="F175" i="2"/>
  <c r="G151" i="2"/>
  <c r="F151" i="2"/>
  <c r="F150" i="2"/>
  <c r="G149" i="2"/>
  <c r="F149" i="2"/>
  <c r="F148" i="2"/>
  <c r="G147" i="2"/>
  <c r="F147" i="2"/>
  <c r="F146" i="2"/>
  <c r="G141" i="2"/>
  <c r="F141" i="2"/>
  <c r="G139" i="2"/>
  <c r="F139" i="2"/>
  <c r="F138" i="2"/>
  <c r="G135" i="2"/>
  <c r="F135" i="2"/>
  <c r="F134" i="2"/>
  <c r="F132" i="2"/>
  <c r="G131" i="2"/>
  <c r="F131" i="2"/>
  <c r="F130" i="2"/>
  <c r="G129" i="2"/>
  <c r="F129" i="2"/>
  <c r="F41" i="2"/>
  <c r="G34" i="2"/>
  <c r="F34" i="2"/>
  <c r="F41" i="1"/>
  <c r="F34" i="1"/>
  <c r="F185" i="1"/>
  <c r="F182" i="1"/>
  <c r="F181" i="1"/>
  <c r="F179" i="1"/>
  <c r="F178" i="1"/>
  <c r="F175" i="1"/>
  <c r="F150" i="1"/>
  <c r="F149" i="1"/>
  <c r="F148" i="1"/>
  <c r="F147" i="1"/>
  <c r="F146" i="1"/>
  <c r="F141" i="1"/>
  <c r="F139" i="1"/>
  <c r="F138" i="1"/>
  <c r="F135" i="1"/>
  <c r="F134" i="1"/>
  <c r="F132" i="1"/>
  <c r="F131" i="1"/>
  <c r="F130" i="1"/>
  <c r="F129" i="1"/>
  <c r="F92" i="1"/>
  <c r="G175" i="3"/>
  <c r="D188" i="2"/>
  <c r="D187" i="2"/>
  <c r="D185" i="2"/>
  <c r="D182" i="2"/>
  <c r="G182" i="2" s="1"/>
  <c r="D181" i="2"/>
  <c r="D180" i="2"/>
  <c r="D179" i="2"/>
  <c r="D178" i="2"/>
  <c r="G178" i="2" s="1"/>
  <c r="D176" i="2"/>
  <c r="D175" i="2"/>
  <c r="G175" i="2" s="1"/>
  <c r="D174" i="2"/>
  <c r="D173" i="2"/>
  <c r="D172" i="2"/>
  <c r="D171" i="2"/>
  <c r="D169" i="2"/>
  <c r="D168" i="2"/>
  <c r="D151" i="2"/>
  <c r="D150" i="2"/>
  <c r="G150" i="2" s="1"/>
  <c r="D149" i="2"/>
  <c r="D148" i="2"/>
  <c r="G148" i="2" s="1"/>
  <c r="D147" i="2"/>
  <c r="D146" i="2"/>
  <c r="G146" i="2" s="1"/>
  <c r="D145" i="2"/>
  <c r="D144" i="2"/>
  <c r="D143" i="2"/>
  <c r="D142" i="2"/>
  <c r="D141" i="2"/>
  <c r="D140" i="2"/>
  <c r="D139" i="2"/>
  <c r="D138" i="2"/>
  <c r="G138" i="2" s="1"/>
  <c r="D137" i="2"/>
  <c r="D136" i="2"/>
  <c r="D135" i="2"/>
  <c r="D134" i="2"/>
  <c r="G134" i="2" s="1"/>
  <c r="D133" i="2"/>
  <c r="D132" i="2"/>
  <c r="G132" i="2" s="1"/>
  <c r="D131" i="2"/>
  <c r="D130" i="2"/>
  <c r="G130" i="2" s="1"/>
  <c r="D129" i="2"/>
  <c r="D128" i="2"/>
  <c r="D112" i="2"/>
  <c r="D105" i="2"/>
  <c r="D104" i="2"/>
  <c r="D98" i="2"/>
  <c r="D97" i="2"/>
  <c r="D92" i="2"/>
  <c r="G92" i="2" s="1"/>
  <c r="D91" i="2"/>
  <c r="D90" i="2"/>
  <c r="D84" i="2"/>
  <c r="D83" i="2"/>
  <c r="D77" i="2"/>
  <c r="D76" i="2"/>
  <c r="D71" i="2"/>
  <c r="D70" i="2"/>
  <c r="D69" i="2"/>
  <c r="D55" i="2"/>
  <c r="D54" i="2"/>
  <c r="D53" i="2"/>
  <c r="D48" i="2"/>
  <c r="D47" i="2"/>
  <c r="D46" i="2"/>
  <c r="D41" i="2"/>
  <c r="G41" i="2" s="1"/>
  <c r="D40" i="2"/>
  <c r="D39" i="2"/>
  <c r="D34" i="2"/>
  <c r="D33" i="2"/>
  <c r="D32" i="2"/>
  <c r="D27" i="2"/>
  <c r="D26" i="2"/>
  <c r="D25" i="2"/>
  <c r="D20" i="2"/>
  <c r="D19" i="2"/>
  <c r="D18" i="2"/>
  <c r="D13" i="2"/>
  <c r="D12" i="2"/>
  <c r="D11" i="2"/>
  <c r="D188" i="1" l="1"/>
  <c r="D187" i="1"/>
  <c r="D185" i="1"/>
  <c r="G185" i="1" s="1"/>
  <c r="D182" i="1"/>
  <c r="G182" i="1" s="1"/>
  <c r="D181" i="1"/>
  <c r="G181" i="1" s="1"/>
  <c r="D180" i="1"/>
  <c r="D179" i="1"/>
  <c r="G179" i="1" s="1"/>
  <c r="D178" i="1"/>
  <c r="G178" i="1" s="1"/>
  <c r="D176" i="1"/>
  <c r="D175" i="1"/>
  <c r="G175" i="1" s="1"/>
  <c r="D174" i="1"/>
  <c r="D173" i="1"/>
  <c r="D172" i="1"/>
  <c r="D171" i="1"/>
  <c r="D169" i="1"/>
  <c r="D168" i="1"/>
  <c r="D151" i="1"/>
  <c r="D150" i="1"/>
  <c r="G150" i="1" s="1"/>
  <c r="D149" i="1"/>
  <c r="G149" i="1" s="1"/>
  <c r="D148" i="1"/>
  <c r="G148" i="1" s="1"/>
  <c r="D147" i="1"/>
  <c r="G147" i="1" s="1"/>
  <c r="D146" i="1"/>
  <c r="G146" i="1" s="1"/>
  <c r="D145" i="1"/>
  <c r="D144" i="1"/>
  <c r="D143" i="1"/>
  <c r="D142" i="1"/>
  <c r="D141" i="1"/>
  <c r="G141" i="1" s="1"/>
  <c r="D140" i="1"/>
  <c r="D139" i="1"/>
  <c r="G139" i="1" s="1"/>
  <c r="D138" i="1"/>
  <c r="G138" i="1" s="1"/>
  <c r="D137" i="1"/>
  <c r="D136" i="1"/>
  <c r="D135" i="1"/>
  <c r="G135" i="1" s="1"/>
  <c r="D134" i="1"/>
  <c r="G134" i="1" s="1"/>
  <c r="D133" i="1"/>
  <c r="D132" i="1"/>
  <c r="G132" i="1" s="1"/>
  <c r="D131" i="1"/>
  <c r="G131" i="1" s="1"/>
  <c r="D130" i="1"/>
  <c r="G130" i="1" s="1"/>
  <c r="D129" i="1"/>
  <c r="G129" i="1" s="1"/>
  <c r="D128" i="1"/>
  <c r="D112" i="1"/>
  <c r="D105" i="1"/>
  <c r="D104" i="1"/>
  <c r="D98" i="1"/>
  <c r="D97" i="1"/>
  <c r="D92" i="1"/>
  <c r="G92" i="1" s="1"/>
  <c r="D91" i="1"/>
  <c r="D90" i="1"/>
  <c r="D84" i="1"/>
  <c r="D83" i="1"/>
  <c r="D77" i="1"/>
  <c r="D76" i="1"/>
  <c r="D71" i="1"/>
  <c r="D70" i="1"/>
  <c r="D69" i="1"/>
  <c r="D55" i="1"/>
  <c r="D54" i="1"/>
  <c r="D53" i="1"/>
  <c r="D48" i="1"/>
  <c r="D47" i="1"/>
  <c r="D46" i="1"/>
  <c r="D41" i="1"/>
  <c r="G41" i="1" s="1"/>
  <c r="D40" i="1"/>
  <c r="D39" i="1"/>
  <c r="D34" i="1"/>
  <c r="G34" i="1" s="1"/>
  <c r="D33" i="1"/>
  <c r="D32" i="1"/>
  <c r="D27" i="1"/>
  <c r="D26" i="1"/>
  <c r="D25" i="1"/>
  <c r="D20" i="1"/>
  <c r="D19" i="1"/>
  <c r="D18" i="1"/>
  <c r="D13" i="1"/>
  <c r="D12" i="1"/>
  <c r="D11" i="1"/>
  <c r="E179" i="12" l="1"/>
  <c r="E186" i="13"/>
  <c r="E173" i="13"/>
  <c r="E143" i="13"/>
  <c r="E140" i="12"/>
  <c r="E133" i="13"/>
  <c r="E77" i="12"/>
  <c r="E91" i="12"/>
  <c r="E84" i="12"/>
  <c r="E70" i="12"/>
  <c r="E47" i="12"/>
  <c r="E40" i="12"/>
  <c r="E33" i="12"/>
  <c r="E19" i="12"/>
  <c r="E12" i="12"/>
  <c r="F140" i="12" l="1"/>
  <c r="G140" i="12"/>
  <c r="F179" i="12"/>
  <c r="G179" i="12"/>
  <c r="C227" i="13"/>
  <c r="G194" i="13" l="1"/>
  <c r="G193" i="13"/>
  <c r="G189" i="13"/>
  <c r="G186" i="13"/>
  <c r="G185" i="13"/>
  <c r="G183" i="13"/>
  <c r="G182" i="13"/>
  <c r="G179" i="13"/>
  <c r="G155" i="13"/>
  <c r="G154" i="13"/>
  <c r="G153" i="13"/>
  <c r="G152" i="13"/>
  <c r="G149" i="13"/>
  <c r="G148" i="13"/>
  <c r="G147" i="13"/>
  <c r="G139" i="13"/>
  <c r="G134" i="13"/>
  <c r="G131" i="13"/>
  <c r="G129" i="13"/>
  <c r="G92" i="13"/>
  <c r="F92" i="13"/>
  <c r="G41" i="13"/>
  <c r="F41" i="13"/>
  <c r="G34" i="13"/>
  <c r="F34" i="13"/>
  <c r="D57" i="13"/>
  <c r="D50" i="13"/>
  <c r="D43" i="13"/>
  <c r="D36" i="13"/>
  <c r="D29" i="13"/>
  <c r="D22" i="13"/>
  <c r="D15" i="13"/>
  <c r="D193" i="13"/>
  <c r="D191" i="13"/>
  <c r="D197" i="13" s="1"/>
  <c r="D150" i="13"/>
  <c r="G150" i="13" s="1"/>
  <c r="D146" i="13"/>
  <c r="G146" i="13" s="1"/>
  <c r="D143" i="13"/>
  <c r="D138" i="13"/>
  <c r="D157" i="13" s="1"/>
  <c r="D115" i="13"/>
  <c r="D108" i="13"/>
  <c r="D101" i="13"/>
  <c r="D94" i="13"/>
  <c r="D87" i="13"/>
  <c r="D80" i="13"/>
  <c r="D73" i="13"/>
  <c r="G138" i="13" l="1"/>
  <c r="D198" i="13"/>
  <c r="F182" i="13"/>
  <c r="F183" i="13"/>
  <c r="F185" i="13"/>
  <c r="F186" i="13"/>
  <c r="F189" i="13"/>
  <c r="F194" i="13"/>
  <c r="E76" i="13"/>
  <c r="E104" i="13"/>
  <c r="F104" i="13" s="1"/>
  <c r="E97" i="13"/>
  <c r="F97" i="13" s="1"/>
  <c r="E90" i="13"/>
  <c r="F90" i="13" s="1"/>
  <c r="E83" i="13"/>
  <c r="F83" i="13" s="1"/>
  <c r="E73" i="13"/>
  <c r="E53" i="13"/>
  <c r="E46" i="13"/>
  <c r="E50" i="13" s="1"/>
  <c r="E39" i="13"/>
  <c r="E32" i="13"/>
  <c r="F32" i="13" s="1"/>
  <c r="E25" i="13"/>
  <c r="E18" i="13"/>
  <c r="E22" i="13" s="1"/>
  <c r="E219" i="13"/>
  <c r="I209" i="13"/>
  <c r="L206" i="13"/>
  <c r="L205" i="13"/>
  <c r="L208" i="13" s="1"/>
  <c r="C197" i="13"/>
  <c r="C193" i="13"/>
  <c r="F193" i="13" s="1"/>
  <c r="G192" i="13"/>
  <c r="F192" i="13"/>
  <c r="E191" i="13"/>
  <c r="G191" i="13" s="1"/>
  <c r="C191" i="13"/>
  <c r="F191" i="13" s="1"/>
  <c r="G188" i="13"/>
  <c r="F188" i="13"/>
  <c r="G187" i="13"/>
  <c r="F187" i="13"/>
  <c r="G184" i="13"/>
  <c r="F184" i="13"/>
  <c r="G180" i="13"/>
  <c r="F180" i="13"/>
  <c r="F179" i="13"/>
  <c r="G178" i="13"/>
  <c r="F178" i="13"/>
  <c r="G177" i="13"/>
  <c r="F177" i="13"/>
  <c r="G176" i="13"/>
  <c r="F176" i="13"/>
  <c r="I175" i="13"/>
  <c r="G175" i="13"/>
  <c r="F175" i="13"/>
  <c r="G174" i="13"/>
  <c r="F174" i="13"/>
  <c r="I173" i="13"/>
  <c r="G173" i="13"/>
  <c r="F173" i="13"/>
  <c r="F172" i="13"/>
  <c r="E172" i="13"/>
  <c r="E197" i="13" s="1"/>
  <c r="G156" i="13"/>
  <c r="F155" i="13"/>
  <c r="F154" i="13"/>
  <c r="F153" i="13"/>
  <c r="F152" i="13"/>
  <c r="F151" i="13"/>
  <c r="E151" i="13"/>
  <c r="G151" i="13" s="1"/>
  <c r="F150" i="13"/>
  <c r="C150" i="13"/>
  <c r="F149" i="13"/>
  <c r="F148" i="13"/>
  <c r="F147" i="13"/>
  <c r="C146" i="13"/>
  <c r="F146" i="13" s="1"/>
  <c r="G145" i="13"/>
  <c r="F145" i="13"/>
  <c r="G144" i="13"/>
  <c r="F144" i="13"/>
  <c r="G143" i="13"/>
  <c r="F143" i="13"/>
  <c r="C143" i="13"/>
  <c r="G142" i="13"/>
  <c r="F142" i="13"/>
  <c r="F141" i="13"/>
  <c r="E141" i="13"/>
  <c r="G141" i="13" s="1"/>
  <c r="G140" i="13"/>
  <c r="F140" i="13"/>
  <c r="F139" i="13"/>
  <c r="C138" i="13"/>
  <c r="C157" i="13" s="1"/>
  <c r="J137" i="13"/>
  <c r="G137" i="13"/>
  <c r="F137" i="13"/>
  <c r="G136" i="13"/>
  <c r="F136" i="13"/>
  <c r="E135" i="13"/>
  <c r="G135" i="13" s="1"/>
  <c r="F134" i="13"/>
  <c r="G133" i="13"/>
  <c r="F133" i="13"/>
  <c r="F131" i="13"/>
  <c r="E130" i="13"/>
  <c r="G130" i="13" s="1"/>
  <c r="F129" i="13"/>
  <c r="G128" i="13"/>
  <c r="F128" i="13"/>
  <c r="E115" i="13"/>
  <c r="C115" i="13"/>
  <c r="G112" i="13"/>
  <c r="F112" i="13"/>
  <c r="G111" i="13"/>
  <c r="G115" i="13" s="1"/>
  <c r="F111" i="13"/>
  <c r="F115" i="13" s="1"/>
  <c r="E108" i="13"/>
  <c r="C108" i="13"/>
  <c r="G105" i="13"/>
  <c r="F105" i="13"/>
  <c r="G104" i="13"/>
  <c r="G108" i="13" s="1"/>
  <c r="E101" i="13"/>
  <c r="C101" i="13"/>
  <c r="G98" i="13"/>
  <c r="F98" i="13"/>
  <c r="G97" i="13"/>
  <c r="G101" i="13" s="1"/>
  <c r="E94" i="13"/>
  <c r="C94" i="13"/>
  <c r="G91" i="13"/>
  <c r="F91" i="13"/>
  <c r="G90" i="13"/>
  <c r="G94" i="13" s="1"/>
  <c r="E87" i="13"/>
  <c r="C87" i="13"/>
  <c r="G84" i="13"/>
  <c r="F84" i="13"/>
  <c r="G83" i="13"/>
  <c r="G87" i="13" s="1"/>
  <c r="E80" i="13"/>
  <c r="C80" i="13"/>
  <c r="G77" i="13"/>
  <c r="F77" i="13"/>
  <c r="G76" i="13"/>
  <c r="G80" i="13" s="1"/>
  <c r="F76" i="13"/>
  <c r="C73" i="13"/>
  <c r="G71" i="13"/>
  <c r="F71" i="13"/>
  <c r="G70" i="13"/>
  <c r="F70" i="13"/>
  <c r="G69" i="13"/>
  <c r="F69" i="13"/>
  <c r="F73" i="13" s="1"/>
  <c r="E57" i="13"/>
  <c r="C57" i="13"/>
  <c r="G55" i="13"/>
  <c r="F55" i="13"/>
  <c r="G54" i="13"/>
  <c r="F54" i="13"/>
  <c r="G53" i="13"/>
  <c r="F53" i="13"/>
  <c r="C50" i="13"/>
  <c r="G48" i="13"/>
  <c r="F48" i="13"/>
  <c r="G47" i="13"/>
  <c r="F47" i="13"/>
  <c r="F46" i="13"/>
  <c r="E43" i="13"/>
  <c r="C43" i="13"/>
  <c r="M41" i="13"/>
  <c r="G40" i="13"/>
  <c r="F40" i="13"/>
  <c r="L39" i="13"/>
  <c r="G39" i="13"/>
  <c r="F39" i="13"/>
  <c r="E36" i="13"/>
  <c r="C36" i="13"/>
  <c r="G33" i="13"/>
  <c r="F33" i="13"/>
  <c r="G32" i="13"/>
  <c r="G36" i="13" s="1"/>
  <c r="E29" i="13"/>
  <c r="C29" i="13"/>
  <c r="G27" i="13"/>
  <c r="F27" i="13"/>
  <c r="G26" i="13"/>
  <c r="F26" i="13"/>
  <c r="M25" i="13"/>
  <c r="G25" i="13"/>
  <c r="F25" i="13"/>
  <c r="C22" i="13"/>
  <c r="J21" i="13"/>
  <c r="J22" i="13" s="1"/>
  <c r="J23" i="13" s="1"/>
  <c r="J25" i="13" s="1"/>
  <c r="G20" i="13"/>
  <c r="F20" i="13"/>
  <c r="G19" i="13"/>
  <c r="F19" i="13"/>
  <c r="L18" i="13"/>
  <c r="L19" i="13" s="1"/>
  <c r="G18" i="13"/>
  <c r="S15" i="13"/>
  <c r="S16" i="13" s="1"/>
  <c r="R15" i="13"/>
  <c r="R16" i="13" s="1"/>
  <c r="S17" i="13" s="1"/>
  <c r="M15" i="13"/>
  <c r="E15" i="13"/>
  <c r="C15" i="13"/>
  <c r="I14" i="13"/>
  <c r="G13" i="13"/>
  <c r="F13" i="13"/>
  <c r="G12" i="13"/>
  <c r="F12" i="13"/>
  <c r="G11" i="13"/>
  <c r="G15" i="13" s="1"/>
  <c r="F11" i="13"/>
  <c r="I10" i="13"/>
  <c r="I9" i="13"/>
  <c r="M7" i="13"/>
  <c r="G178" i="12"/>
  <c r="E191" i="12"/>
  <c r="G191" i="12" s="1"/>
  <c r="E185" i="12"/>
  <c r="E173" i="12"/>
  <c r="F173" i="12" s="1"/>
  <c r="E148" i="12"/>
  <c r="E151" i="12"/>
  <c r="E136" i="12"/>
  <c r="E134" i="12"/>
  <c r="E133" i="12"/>
  <c r="E146" i="12"/>
  <c r="G146" i="12" s="1"/>
  <c r="E129" i="12"/>
  <c r="E149" i="12"/>
  <c r="E98" i="12"/>
  <c r="F84" i="12"/>
  <c r="E54" i="12"/>
  <c r="E26" i="12"/>
  <c r="G12" i="12"/>
  <c r="E76" i="12"/>
  <c r="F76" i="12" s="1"/>
  <c r="E104" i="12"/>
  <c r="E97" i="12"/>
  <c r="F97" i="12" s="1"/>
  <c r="E90" i="12"/>
  <c r="E83" i="12"/>
  <c r="F83" i="12" s="1"/>
  <c r="E69" i="12"/>
  <c r="E73" i="12" s="1"/>
  <c r="E53" i="12"/>
  <c r="F53" i="12" s="1"/>
  <c r="E46" i="12"/>
  <c r="E50" i="12" s="1"/>
  <c r="E39" i="12"/>
  <c r="E32" i="12"/>
  <c r="E25" i="12"/>
  <c r="E18" i="12"/>
  <c r="E11" i="12"/>
  <c r="E219" i="12"/>
  <c r="D215" i="12"/>
  <c r="D216" i="12" s="1"/>
  <c r="D217" i="12" s="1"/>
  <c r="E213" i="12"/>
  <c r="I209" i="12"/>
  <c r="L206" i="12"/>
  <c r="D206" i="12"/>
  <c r="L205" i="12"/>
  <c r="L208" i="12" s="1"/>
  <c r="D207" i="12"/>
  <c r="C193" i="12"/>
  <c r="F193" i="12" s="1"/>
  <c r="G192" i="12"/>
  <c r="F192" i="12"/>
  <c r="C191" i="12"/>
  <c r="C197" i="12" s="1"/>
  <c r="G188" i="12"/>
  <c r="F188" i="12"/>
  <c r="G187" i="12"/>
  <c r="F187" i="12"/>
  <c r="G180" i="12"/>
  <c r="F180" i="12"/>
  <c r="F178" i="12"/>
  <c r="G177" i="12"/>
  <c r="F177" i="12"/>
  <c r="G176" i="12"/>
  <c r="F176" i="12"/>
  <c r="I175" i="12"/>
  <c r="F175" i="12"/>
  <c r="G175" i="12"/>
  <c r="G174" i="12"/>
  <c r="F174" i="12"/>
  <c r="G173" i="12"/>
  <c r="E172" i="12"/>
  <c r="E162" i="12"/>
  <c r="G156" i="12"/>
  <c r="E150" i="12"/>
  <c r="G150" i="12" s="1"/>
  <c r="C150" i="12"/>
  <c r="C146" i="12"/>
  <c r="F146" i="12" s="1"/>
  <c r="E143" i="12"/>
  <c r="G143" i="12" s="1"/>
  <c r="C143" i="12"/>
  <c r="F143" i="12" s="1"/>
  <c r="E141" i="12"/>
  <c r="C138" i="12"/>
  <c r="J137" i="12"/>
  <c r="E135" i="12"/>
  <c r="E130" i="12"/>
  <c r="G128" i="12"/>
  <c r="F128" i="12"/>
  <c r="E115" i="12"/>
  <c r="C115" i="12"/>
  <c r="G112" i="12"/>
  <c r="F112" i="12"/>
  <c r="G111" i="12"/>
  <c r="G115" i="12" s="1"/>
  <c r="F111" i="12"/>
  <c r="F115" i="12" s="1"/>
  <c r="C108" i="12"/>
  <c r="F105" i="12"/>
  <c r="G105" i="12"/>
  <c r="F104" i="12"/>
  <c r="C101" i="12"/>
  <c r="F98" i="12"/>
  <c r="E101" i="12"/>
  <c r="C94" i="12"/>
  <c r="F91" i="12"/>
  <c r="G91" i="12"/>
  <c r="F90" i="12"/>
  <c r="F94" i="12" s="1"/>
  <c r="C87" i="12"/>
  <c r="E87" i="12"/>
  <c r="C80" i="12"/>
  <c r="F77" i="12"/>
  <c r="G77" i="12"/>
  <c r="C73" i="12"/>
  <c r="G71" i="12"/>
  <c r="F71" i="12"/>
  <c r="F70" i="12"/>
  <c r="F69" i="12"/>
  <c r="C57" i="12"/>
  <c r="G55" i="12"/>
  <c r="F55" i="12"/>
  <c r="F54" i="12"/>
  <c r="G54" i="12"/>
  <c r="C50" i="12"/>
  <c r="G48" i="12"/>
  <c r="F48" i="12"/>
  <c r="F47" i="12"/>
  <c r="F46" i="12"/>
  <c r="C43" i="12"/>
  <c r="M41" i="12"/>
  <c r="F40" i="12"/>
  <c r="L39" i="12"/>
  <c r="F39" i="12"/>
  <c r="F43" i="12" s="1"/>
  <c r="C36" i="12"/>
  <c r="F33" i="12"/>
  <c r="F32" i="12"/>
  <c r="F36" i="12" s="1"/>
  <c r="E36" i="12"/>
  <c r="C29" i="12"/>
  <c r="G27" i="12"/>
  <c r="F27" i="12"/>
  <c r="F26" i="12"/>
  <c r="G26" i="12"/>
  <c r="M25" i="12"/>
  <c r="F25" i="12"/>
  <c r="C22" i="12"/>
  <c r="J21" i="12"/>
  <c r="J22" i="12" s="1"/>
  <c r="J23" i="12" s="1"/>
  <c r="J25" i="12" s="1"/>
  <c r="G20" i="12"/>
  <c r="F20" i="12"/>
  <c r="F19" i="12"/>
  <c r="L18" i="12"/>
  <c r="L19" i="12" s="1"/>
  <c r="E22" i="12"/>
  <c r="S15" i="12"/>
  <c r="S16" i="12" s="1"/>
  <c r="R15" i="12"/>
  <c r="R16" i="12" s="1"/>
  <c r="M15" i="12"/>
  <c r="C15" i="12"/>
  <c r="I14" i="12"/>
  <c r="G13" i="12"/>
  <c r="F13" i="12"/>
  <c r="F12" i="12"/>
  <c r="E15" i="12"/>
  <c r="I10" i="12"/>
  <c r="I9" i="12"/>
  <c r="M7" i="12"/>
  <c r="F141" i="12" l="1"/>
  <c r="G141" i="12"/>
  <c r="F150" i="12"/>
  <c r="E197" i="12"/>
  <c r="I173" i="12"/>
  <c r="F129" i="12"/>
  <c r="F157" i="12" s="1"/>
  <c r="G129" i="12"/>
  <c r="F133" i="12"/>
  <c r="G133" i="12"/>
  <c r="F136" i="12"/>
  <c r="G136" i="12"/>
  <c r="F148" i="12"/>
  <c r="G148" i="12"/>
  <c r="F185" i="12"/>
  <c r="G185" i="12"/>
  <c r="F29" i="13"/>
  <c r="F50" i="13"/>
  <c r="F130" i="13"/>
  <c r="F135" i="13"/>
  <c r="E157" i="13"/>
  <c r="E198" i="13" s="1"/>
  <c r="C198" i="13"/>
  <c r="F130" i="12"/>
  <c r="G130" i="12"/>
  <c r="E157" i="12"/>
  <c r="F135" i="12"/>
  <c r="G135" i="12"/>
  <c r="C157" i="12"/>
  <c r="F138" i="12"/>
  <c r="F57" i="12"/>
  <c r="F149" i="12"/>
  <c r="G149" i="12"/>
  <c r="F134" i="12"/>
  <c r="G134" i="12"/>
  <c r="F151" i="12"/>
  <c r="G151" i="12"/>
  <c r="F138" i="13"/>
  <c r="G172" i="13"/>
  <c r="F108" i="12"/>
  <c r="F108" i="13"/>
  <c r="G43" i="13"/>
  <c r="G29" i="13"/>
  <c r="G22" i="13"/>
  <c r="G197" i="13"/>
  <c r="F157" i="13"/>
  <c r="F101" i="13"/>
  <c r="F94" i="13"/>
  <c r="F87" i="13"/>
  <c r="F43" i="13"/>
  <c r="F36" i="13"/>
  <c r="G73" i="13"/>
  <c r="F57" i="13"/>
  <c r="F15" i="13"/>
  <c r="G57" i="13"/>
  <c r="G157" i="13"/>
  <c r="F197" i="13"/>
  <c r="F80" i="13"/>
  <c r="G46" i="13"/>
  <c r="G50" i="13" s="1"/>
  <c r="F18" i="13"/>
  <c r="F22" i="13" s="1"/>
  <c r="G157" i="12"/>
  <c r="F80" i="12"/>
  <c r="F29" i="12"/>
  <c r="D213" i="12"/>
  <c r="S17" i="12"/>
  <c r="F50" i="12"/>
  <c r="F73" i="12"/>
  <c r="F87" i="12"/>
  <c r="F101" i="12"/>
  <c r="C198" i="12"/>
  <c r="G11" i="12"/>
  <c r="G15" i="12" s="1"/>
  <c r="G18" i="12"/>
  <c r="G19" i="12"/>
  <c r="G25" i="12"/>
  <c r="G29" i="12" s="1"/>
  <c r="E29" i="12"/>
  <c r="G33" i="12"/>
  <c r="G39" i="12"/>
  <c r="G40" i="12"/>
  <c r="E43" i="12"/>
  <c r="G47" i="12"/>
  <c r="G53" i="12"/>
  <c r="G57" i="12" s="1"/>
  <c r="E57" i="12"/>
  <c r="G70" i="12"/>
  <c r="G76" i="12"/>
  <c r="G80" i="12" s="1"/>
  <c r="E80" i="12"/>
  <c r="G84" i="12"/>
  <c r="G90" i="12"/>
  <c r="G94" i="12" s="1"/>
  <c r="E94" i="12"/>
  <c r="G98" i="12"/>
  <c r="G104" i="12"/>
  <c r="G108" i="12" s="1"/>
  <c r="E108" i="12"/>
  <c r="F172" i="12"/>
  <c r="F197" i="12" s="1"/>
  <c r="F191" i="12"/>
  <c r="E217" i="12"/>
  <c r="F11" i="12"/>
  <c r="F15" i="12" s="1"/>
  <c r="F18" i="12"/>
  <c r="F22" i="12" s="1"/>
  <c r="G32" i="12"/>
  <c r="G36" i="12" s="1"/>
  <c r="G46" i="12"/>
  <c r="G69" i="12"/>
  <c r="G83" i="12"/>
  <c r="G97" i="12"/>
  <c r="G172" i="12"/>
  <c r="G197" i="12" s="1"/>
  <c r="C191" i="11"/>
  <c r="C193" i="11"/>
  <c r="F193" i="11" s="1"/>
  <c r="C138" i="11"/>
  <c r="F138" i="11" s="1"/>
  <c r="C143" i="11"/>
  <c r="C150" i="11"/>
  <c r="C146" i="11"/>
  <c r="E179" i="11"/>
  <c r="E172" i="11"/>
  <c r="F179" i="11" l="1"/>
  <c r="G179" i="11"/>
  <c r="G50" i="12"/>
  <c r="G43" i="12"/>
  <c r="E198" i="12"/>
  <c r="E214" i="12" s="1"/>
  <c r="G87" i="12"/>
  <c r="F198" i="13"/>
  <c r="G198" i="13"/>
  <c r="G101" i="12"/>
  <c r="G73" i="12"/>
  <c r="E118" i="12"/>
  <c r="G22" i="12"/>
  <c r="F198" i="12"/>
  <c r="E143" i="11"/>
  <c r="F143" i="11" s="1"/>
  <c r="E140" i="11"/>
  <c r="E136" i="11"/>
  <c r="G136" i="11" s="1"/>
  <c r="E148" i="11"/>
  <c r="E133" i="11"/>
  <c r="G133" i="11" s="1"/>
  <c r="E146" i="11"/>
  <c r="G146" i="11" s="1"/>
  <c r="E130" i="11"/>
  <c r="E129" i="11"/>
  <c r="E150" i="11"/>
  <c r="G150" i="11" s="1"/>
  <c r="E77" i="11"/>
  <c r="E105" i="11"/>
  <c r="G105" i="11" s="1"/>
  <c r="E98" i="11"/>
  <c r="E97" i="11"/>
  <c r="E91" i="11"/>
  <c r="E84" i="11"/>
  <c r="F84" i="11" s="1"/>
  <c r="E70" i="11"/>
  <c r="E54" i="11"/>
  <c r="G54" i="11" s="1"/>
  <c r="E47" i="11"/>
  <c r="E40" i="11"/>
  <c r="F40" i="11" s="1"/>
  <c r="E33" i="11"/>
  <c r="E26" i="11"/>
  <c r="G26" i="11" s="1"/>
  <c r="E19" i="11"/>
  <c r="E76" i="11"/>
  <c r="F76" i="11" s="1"/>
  <c r="E104" i="11"/>
  <c r="E90" i="11"/>
  <c r="F90" i="11" s="1"/>
  <c r="E83" i="11"/>
  <c r="E69" i="11"/>
  <c r="E73" i="11" s="1"/>
  <c r="E53" i="11"/>
  <c r="E46" i="11"/>
  <c r="E39" i="11"/>
  <c r="E32" i="11"/>
  <c r="E36" i="11" s="1"/>
  <c r="E25" i="11"/>
  <c r="E18" i="11"/>
  <c r="E11" i="11"/>
  <c r="E12" i="11"/>
  <c r="G12" i="11" s="1"/>
  <c r="E219" i="11"/>
  <c r="D215" i="11"/>
  <c r="D216" i="11" s="1"/>
  <c r="D217" i="11" s="1"/>
  <c r="E213" i="11"/>
  <c r="I209" i="11"/>
  <c r="L206" i="11"/>
  <c r="L205" i="11"/>
  <c r="L208" i="11" s="1"/>
  <c r="C197" i="11"/>
  <c r="G192" i="11"/>
  <c r="F192" i="11"/>
  <c r="F191" i="11"/>
  <c r="E191" i="11"/>
  <c r="G191" i="11" s="1"/>
  <c r="G188" i="11"/>
  <c r="F188" i="11"/>
  <c r="G187" i="11"/>
  <c r="F187" i="11"/>
  <c r="E185" i="11"/>
  <c r="G184" i="11"/>
  <c r="F184" i="11"/>
  <c r="G180" i="11"/>
  <c r="F180" i="11"/>
  <c r="F178" i="11"/>
  <c r="G178" i="11"/>
  <c r="G177" i="11"/>
  <c r="F177" i="11"/>
  <c r="G176" i="11"/>
  <c r="F176" i="11"/>
  <c r="I175" i="11"/>
  <c r="F175" i="11"/>
  <c r="G174" i="11"/>
  <c r="F174" i="11"/>
  <c r="E173" i="11"/>
  <c r="I173" i="11" s="1"/>
  <c r="E162" i="11"/>
  <c r="C157" i="11"/>
  <c r="G156" i="11"/>
  <c r="E151" i="11"/>
  <c r="G145" i="11"/>
  <c r="F145" i="11"/>
  <c r="G144" i="11"/>
  <c r="F144" i="11"/>
  <c r="G143" i="11"/>
  <c r="G142" i="11"/>
  <c r="F142" i="11"/>
  <c r="E141" i="11"/>
  <c r="G140" i="11"/>
  <c r="J137" i="11"/>
  <c r="G137" i="11"/>
  <c r="F137" i="11"/>
  <c r="E135" i="11"/>
  <c r="G128" i="11"/>
  <c r="F128" i="11"/>
  <c r="E115" i="11"/>
  <c r="C115" i="11"/>
  <c r="G112" i="11"/>
  <c r="F112" i="11"/>
  <c r="G111" i="11"/>
  <c r="G115" i="11" s="1"/>
  <c r="F111" i="11"/>
  <c r="F115" i="11" s="1"/>
  <c r="C108" i="11"/>
  <c r="F104" i="11"/>
  <c r="C101" i="11"/>
  <c r="F98" i="11"/>
  <c r="E101" i="11"/>
  <c r="C94" i="11"/>
  <c r="G91" i="11"/>
  <c r="C87" i="11"/>
  <c r="E87" i="11"/>
  <c r="C80" i="11"/>
  <c r="G77" i="11"/>
  <c r="C73" i="11"/>
  <c r="G71" i="11"/>
  <c r="F71" i="11"/>
  <c r="F70" i="11"/>
  <c r="C57" i="11"/>
  <c r="G55" i="11"/>
  <c r="F55" i="11"/>
  <c r="F53" i="11"/>
  <c r="C50" i="11"/>
  <c r="G48" i="11"/>
  <c r="F48" i="11"/>
  <c r="F47" i="11"/>
  <c r="E50" i="11"/>
  <c r="C43" i="11"/>
  <c r="M41" i="11"/>
  <c r="G40" i="11"/>
  <c r="L39" i="11"/>
  <c r="F39" i="11"/>
  <c r="C36" i="11"/>
  <c r="F33" i="11"/>
  <c r="G33" i="11"/>
  <c r="C29" i="11"/>
  <c r="G27" i="11"/>
  <c r="F27" i="11"/>
  <c r="M25" i="11"/>
  <c r="F25" i="11"/>
  <c r="C22" i="11"/>
  <c r="J21" i="11"/>
  <c r="J22" i="11" s="1"/>
  <c r="J23" i="11" s="1"/>
  <c r="J25" i="11" s="1"/>
  <c r="G20" i="11"/>
  <c r="F20" i="11"/>
  <c r="F19" i="11"/>
  <c r="L18" i="11"/>
  <c r="L19" i="11" s="1"/>
  <c r="E22" i="11"/>
  <c r="S15" i="11"/>
  <c r="S16" i="11" s="1"/>
  <c r="R15" i="11"/>
  <c r="R16" i="11" s="1"/>
  <c r="M15" i="11"/>
  <c r="C15" i="11"/>
  <c r="I14" i="11"/>
  <c r="G13" i="11"/>
  <c r="F13" i="11"/>
  <c r="F12" i="11"/>
  <c r="E15" i="11"/>
  <c r="I10" i="11"/>
  <c r="I9" i="11"/>
  <c r="M7" i="11"/>
  <c r="M7" i="9"/>
  <c r="I9" i="9"/>
  <c r="I10" i="9"/>
  <c r="E11" i="9"/>
  <c r="F11" i="9"/>
  <c r="G11" i="9"/>
  <c r="E12" i="9"/>
  <c r="F12" i="9" s="1"/>
  <c r="G12" i="9"/>
  <c r="F13" i="9"/>
  <c r="G13" i="9"/>
  <c r="I14" i="9"/>
  <c r="C15" i="9"/>
  <c r="D15" i="9"/>
  <c r="E15" i="9"/>
  <c r="G15" i="9"/>
  <c r="M15" i="9"/>
  <c r="R15" i="9"/>
  <c r="S15" i="9"/>
  <c r="R16" i="9"/>
  <c r="S16" i="9"/>
  <c r="E18" i="9"/>
  <c r="F18" i="9" s="1"/>
  <c r="G18" i="9"/>
  <c r="G22" i="9" s="1"/>
  <c r="L18" i="9"/>
  <c r="E19" i="9"/>
  <c r="F19" i="9" s="1"/>
  <c r="G19" i="9"/>
  <c r="L19" i="9"/>
  <c r="F20" i="9"/>
  <c r="G20" i="9"/>
  <c r="J21" i="9"/>
  <c r="C22" i="9"/>
  <c r="D22" i="9"/>
  <c r="J22" i="9"/>
  <c r="J23" i="9" s="1"/>
  <c r="J25" i="9" s="1"/>
  <c r="E25" i="9"/>
  <c r="F25" i="9" s="1"/>
  <c r="M25" i="9"/>
  <c r="E26" i="9"/>
  <c r="F26" i="9" s="1"/>
  <c r="G26" i="9"/>
  <c r="F27" i="9"/>
  <c r="G27" i="9"/>
  <c r="C29" i="9"/>
  <c r="D29" i="9"/>
  <c r="E32" i="9"/>
  <c r="F32" i="9"/>
  <c r="G32" i="9"/>
  <c r="E33" i="9"/>
  <c r="F33" i="9" s="1"/>
  <c r="F36" i="9" s="1"/>
  <c r="C36" i="9"/>
  <c r="D36" i="9"/>
  <c r="E36" i="9"/>
  <c r="E39" i="9"/>
  <c r="F39" i="9" s="1"/>
  <c r="F43" i="9" s="1"/>
  <c r="L39" i="9"/>
  <c r="E40" i="9"/>
  <c r="F40" i="9" s="1"/>
  <c r="G40" i="9"/>
  <c r="M41" i="9"/>
  <c r="C43" i="9"/>
  <c r="D43" i="9"/>
  <c r="E43" i="9"/>
  <c r="E46" i="9"/>
  <c r="F46" i="9" s="1"/>
  <c r="E47" i="9"/>
  <c r="F47" i="9" s="1"/>
  <c r="F48" i="9"/>
  <c r="G48" i="9"/>
  <c r="C50" i="9"/>
  <c r="D50" i="9"/>
  <c r="E50" i="9"/>
  <c r="E53" i="9"/>
  <c r="F53" i="9" s="1"/>
  <c r="E54" i="9"/>
  <c r="F54" i="9" s="1"/>
  <c r="G54" i="9"/>
  <c r="F55" i="9"/>
  <c r="G55" i="9"/>
  <c r="C57" i="9"/>
  <c r="D57" i="9"/>
  <c r="E69" i="9"/>
  <c r="F69" i="9"/>
  <c r="G69" i="9"/>
  <c r="E70" i="9"/>
  <c r="F70" i="9" s="1"/>
  <c r="F71" i="9"/>
  <c r="G71" i="9"/>
  <c r="C73" i="9"/>
  <c r="D73" i="9"/>
  <c r="E73" i="9"/>
  <c r="E76" i="9"/>
  <c r="F76" i="9" s="1"/>
  <c r="E77" i="9"/>
  <c r="F77" i="9" s="1"/>
  <c r="G77" i="9"/>
  <c r="C80" i="9"/>
  <c r="D80" i="9"/>
  <c r="E83" i="9"/>
  <c r="F83" i="9"/>
  <c r="G83" i="9"/>
  <c r="E84" i="9"/>
  <c r="F84" i="9" s="1"/>
  <c r="F87" i="9" s="1"/>
  <c r="C87" i="9"/>
  <c r="D87" i="9"/>
  <c r="E87" i="9"/>
  <c r="E90" i="9"/>
  <c r="F90" i="9" s="1"/>
  <c r="E91" i="9"/>
  <c r="F91" i="9" s="1"/>
  <c r="G91" i="9"/>
  <c r="C94" i="9"/>
  <c r="D94" i="9"/>
  <c r="E97" i="9"/>
  <c r="F97" i="9"/>
  <c r="G97" i="9"/>
  <c r="E98" i="9"/>
  <c r="F98" i="9" s="1"/>
  <c r="F101" i="9" s="1"/>
  <c r="C101" i="9"/>
  <c r="D101" i="9"/>
  <c r="E101" i="9"/>
  <c r="E104" i="9"/>
  <c r="F104" i="9" s="1"/>
  <c r="E105" i="9"/>
  <c r="F105" i="9" s="1"/>
  <c r="G105" i="9"/>
  <c r="C108" i="9"/>
  <c r="D108" i="9"/>
  <c r="F111" i="9"/>
  <c r="G111" i="9"/>
  <c r="F112" i="9"/>
  <c r="G112" i="9"/>
  <c r="G115" i="9" s="1"/>
  <c r="C115" i="9"/>
  <c r="D115" i="9"/>
  <c r="E115" i="9"/>
  <c r="F115" i="9"/>
  <c r="F128" i="9"/>
  <c r="G128" i="9"/>
  <c r="E129" i="9"/>
  <c r="E130" i="9"/>
  <c r="E133" i="9"/>
  <c r="F133" i="9"/>
  <c r="G133" i="9"/>
  <c r="E135" i="9"/>
  <c r="E136" i="9"/>
  <c r="F136" i="9"/>
  <c r="G136" i="9"/>
  <c r="J137" i="9"/>
  <c r="E140" i="9"/>
  <c r="F140" i="9"/>
  <c r="G140" i="9"/>
  <c r="E141" i="9"/>
  <c r="F142" i="9"/>
  <c r="G142" i="9"/>
  <c r="E143" i="9"/>
  <c r="F143" i="9" s="1"/>
  <c r="G143" i="9"/>
  <c r="F144" i="9"/>
  <c r="G144" i="9"/>
  <c r="F145" i="9"/>
  <c r="G145" i="9"/>
  <c r="E146" i="9"/>
  <c r="E148" i="9"/>
  <c r="E150" i="9"/>
  <c r="E151" i="9"/>
  <c r="G152" i="9"/>
  <c r="C153" i="9"/>
  <c r="D153" i="9"/>
  <c r="E153" i="9"/>
  <c r="E158" i="9"/>
  <c r="E168" i="9"/>
  <c r="F168" i="9"/>
  <c r="G168" i="9"/>
  <c r="E169" i="9"/>
  <c r="F169" i="9" s="1"/>
  <c r="I169" i="9"/>
  <c r="F170" i="9"/>
  <c r="G170" i="9"/>
  <c r="F171" i="9"/>
  <c r="G171" i="9"/>
  <c r="I171" i="9"/>
  <c r="F172" i="9"/>
  <c r="G172" i="9"/>
  <c r="F173" i="9"/>
  <c r="G173" i="9"/>
  <c r="F174" i="9"/>
  <c r="G174" i="9"/>
  <c r="E175" i="9"/>
  <c r="F176" i="9"/>
  <c r="G176" i="9"/>
  <c r="F180" i="9"/>
  <c r="G180" i="9"/>
  <c r="E181" i="9"/>
  <c r="F183" i="9"/>
  <c r="G183" i="9"/>
  <c r="F184" i="9"/>
  <c r="G184" i="9"/>
  <c r="E187" i="9"/>
  <c r="F187" i="9" s="1"/>
  <c r="F188" i="9"/>
  <c r="G188" i="9"/>
  <c r="C190" i="9"/>
  <c r="D190" i="9"/>
  <c r="E190" i="9"/>
  <c r="C191" i="9"/>
  <c r="L198" i="9"/>
  <c r="L199" i="9"/>
  <c r="L201" i="9"/>
  <c r="I202" i="9"/>
  <c r="E206" i="9"/>
  <c r="D208" i="9"/>
  <c r="D209" i="9"/>
  <c r="D210" i="9" s="1"/>
  <c r="E210" i="9"/>
  <c r="E212" i="9"/>
  <c r="E175" i="10"/>
  <c r="E174" i="10"/>
  <c r="E181" i="10"/>
  <c r="E168" i="10"/>
  <c r="E151" i="10"/>
  <c r="E143" i="10"/>
  <c r="E140" i="10"/>
  <c r="E136" i="10"/>
  <c r="E133" i="10"/>
  <c r="E130" i="10"/>
  <c r="E77" i="10"/>
  <c r="E98" i="10"/>
  <c r="E91" i="10"/>
  <c r="E84" i="10"/>
  <c r="E70" i="10"/>
  <c r="E54" i="10"/>
  <c r="E47" i="10"/>
  <c r="E40" i="10"/>
  <c r="E83" i="10"/>
  <c r="E33" i="10"/>
  <c r="E26" i="10"/>
  <c r="E19" i="10"/>
  <c r="E12" i="10"/>
  <c r="E76" i="10"/>
  <c r="E104" i="10"/>
  <c r="E97" i="10"/>
  <c r="E90" i="10"/>
  <c r="E69" i="10"/>
  <c r="E53" i="10"/>
  <c r="E46" i="10"/>
  <c r="E39" i="10"/>
  <c r="E32" i="10"/>
  <c r="E25" i="10"/>
  <c r="E18" i="10"/>
  <c r="E11" i="10"/>
  <c r="E212" i="10"/>
  <c r="D208" i="10"/>
  <c r="D209" i="10" s="1"/>
  <c r="D210" i="10" s="1"/>
  <c r="E206" i="10"/>
  <c r="I202" i="10"/>
  <c r="L199" i="10"/>
  <c r="L198" i="10"/>
  <c r="L201" i="10" s="1"/>
  <c r="D190" i="10"/>
  <c r="C190" i="10"/>
  <c r="I171" i="10"/>
  <c r="E169" i="10"/>
  <c r="E158" i="10"/>
  <c r="D153" i="10"/>
  <c r="C153" i="10"/>
  <c r="E150" i="10"/>
  <c r="E148" i="10"/>
  <c r="E146" i="10"/>
  <c r="E141" i="10"/>
  <c r="J137" i="10"/>
  <c r="E115" i="10"/>
  <c r="D115" i="10"/>
  <c r="C115" i="10"/>
  <c r="D108" i="10"/>
  <c r="C108" i="10"/>
  <c r="E105" i="10"/>
  <c r="D101" i="10"/>
  <c r="C101" i="10"/>
  <c r="E101" i="10"/>
  <c r="D94" i="10"/>
  <c r="C94" i="10"/>
  <c r="D87" i="10"/>
  <c r="C87" i="10"/>
  <c r="E87" i="10"/>
  <c r="D80" i="10"/>
  <c r="C80" i="10"/>
  <c r="D73" i="10"/>
  <c r="C73" i="10"/>
  <c r="E73" i="10"/>
  <c r="D57" i="10"/>
  <c r="C57" i="10"/>
  <c r="D50" i="10"/>
  <c r="C50" i="10"/>
  <c r="E50" i="10"/>
  <c r="D43" i="10"/>
  <c r="C43" i="10"/>
  <c r="M41" i="10"/>
  <c r="L39" i="10"/>
  <c r="D36" i="10"/>
  <c r="C36" i="10"/>
  <c r="F33" i="10"/>
  <c r="G33" i="10"/>
  <c r="E36" i="10"/>
  <c r="D29" i="10"/>
  <c r="C29" i="10"/>
  <c r="M25" i="10"/>
  <c r="E29" i="10"/>
  <c r="D22" i="10"/>
  <c r="C22" i="10"/>
  <c r="J21" i="10"/>
  <c r="J22" i="10" s="1"/>
  <c r="J23" i="10" s="1"/>
  <c r="J25" i="10" s="1"/>
  <c r="L18" i="10"/>
  <c r="L19" i="10" s="1"/>
  <c r="E22" i="10"/>
  <c r="S15" i="10"/>
  <c r="S16" i="10" s="1"/>
  <c r="R15" i="10"/>
  <c r="R16" i="10" s="1"/>
  <c r="M15" i="10"/>
  <c r="D15" i="10"/>
  <c r="C15" i="10"/>
  <c r="I14" i="10"/>
  <c r="I10" i="10"/>
  <c r="I9" i="10"/>
  <c r="M7" i="10"/>
  <c r="E69" i="7"/>
  <c r="F69" i="7" s="1"/>
  <c r="E69" i="6"/>
  <c r="E69" i="5"/>
  <c r="E12" i="7"/>
  <c r="F12" i="7" s="1"/>
  <c r="E11" i="7"/>
  <c r="F11" i="7"/>
  <c r="M7" i="7"/>
  <c r="I9" i="7"/>
  <c r="I10" i="7"/>
  <c r="G11" i="7"/>
  <c r="G12" i="7"/>
  <c r="F13" i="7"/>
  <c r="G13" i="7"/>
  <c r="I14" i="7"/>
  <c r="C15" i="7"/>
  <c r="D15" i="7"/>
  <c r="E15" i="7"/>
  <c r="M15" i="7"/>
  <c r="R15" i="7"/>
  <c r="S15" i="7"/>
  <c r="R16" i="7"/>
  <c r="S16" i="7"/>
  <c r="E18" i="7"/>
  <c r="F18" i="7" s="1"/>
  <c r="G18" i="7"/>
  <c r="L18" i="7"/>
  <c r="E19" i="7"/>
  <c r="F19" i="7" s="1"/>
  <c r="G19" i="7"/>
  <c r="L19" i="7"/>
  <c r="F20" i="7"/>
  <c r="G20" i="7"/>
  <c r="J21" i="7"/>
  <c r="J22" i="7" s="1"/>
  <c r="J23" i="7" s="1"/>
  <c r="J25" i="7" s="1"/>
  <c r="C22" i="7"/>
  <c r="D22" i="7"/>
  <c r="E25" i="7"/>
  <c r="F25" i="7" s="1"/>
  <c r="M25" i="7"/>
  <c r="E26" i="7"/>
  <c r="F26" i="7"/>
  <c r="G26" i="7"/>
  <c r="F27" i="7"/>
  <c r="G27" i="7"/>
  <c r="C29" i="7"/>
  <c r="D29" i="7"/>
  <c r="E29" i="7"/>
  <c r="E32" i="7"/>
  <c r="F32" i="7" s="1"/>
  <c r="G32" i="7"/>
  <c r="E33" i="7"/>
  <c r="F33" i="7" s="1"/>
  <c r="G33" i="7"/>
  <c r="C36" i="7"/>
  <c r="D36" i="7"/>
  <c r="G36" i="7"/>
  <c r="E39" i="7"/>
  <c r="F39" i="7" s="1"/>
  <c r="G39" i="7"/>
  <c r="L39" i="7"/>
  <c r="E40" i="7"/>
  <c r="F40" i="7" s="1"/>
  <c r="M41" i="7"/>
  <c r="C43" i="7"/>
  <c r="D43" i="7"/>
  <c r="E46" i="7"/>
  <c r="F46" i="7"/>
  <c r="G46" i="7"/>
  <c r="E47" i="7"/>
  <c r="F47" i="7" s="1"/>
  <c r="F48" i="7"/>
  <c r="G48" i="7"/>
  <c r="C50" i="7"/>
  <c r="D50" i="7"/>
  <c r="E50" i="7"/>
  <c r="E53" i="7"/>
  <c r="F53" i="7" s="1"/>
  <c r="E54" i="7"/>
  <c r="F54" i="7" s="1"/>
  <c r="G54" i="7"/>
  <c r="F55" i="7"/>
  <c r="G55" i="7"/>
  <c r="C57" i="7"/>
  <c r="D57" i="7"/>
  <c r="G69" i="7"/>
  <c r="E70" i="7"/>
  <c r="F70" i="7"/>
  <c r="G70" i="7"/>
  <c r="F71" i="7"/>
  <c r="G71" i="7"/>
  <c r="C73" i="7"/>
  <c r="D73" i="7"/>
  <c r="E73" i="7"/>
  <c r="E76" i="7"/>
  <c r="F76" i="7" s="1"/>
  <c r="G76" i="7"/>
  <c r="E77" i="7"/>
  <c r="F77" i="7" s="1"/>
  <c r="G77" i="7"/>
  <c r="C80" i="7"/>
  <c r="D80" i="7"/>
  <c r="E80" i="7"/>
  <c r="G80" i="7"/>
  <c r="E83" i="7"/>
  <c r="F83" i="7"/>
  <c r="G83" i="7"/>
  <c r="E84" i="7"/>
  <c r="F84" i="7" s="1"/>
  <c r="F87" i="7" s="1"/>
  <c r="C87" i="7"/>
  <c r="D87" i="7"/>
  <c r="E87" i="7"/>
  <c r="E90" i="7"/>
  <c r="F90" i="7" s="1"/>
  <c r="G90" i="7"/>
  <c r="G94" i="7" s="1"/>
  <c r="E91" i="7"/>
  <c r="F91" i="7"/>
  <c r="G91" i="7"/>
  <c r="C94" i="7"/>
  <c r="D94" i="7"/>
  <c r="E94" i="7"/>
  <c r="E97" i="7"/>
  <c r="F97" i="7" s="1"/>
  <c r="G97" i="7"/>
  <c r="E98" i="7"/>
  <c r="F98" i="7" s="1"/>
  <c r="G98" i="7"/>
  <c r="G101" i="7" s="1"/>
  <c r="C101" i="7"/>
  <c r="D101" i="7"/>
  <c r="E104" i="7"/>
  <c r="F104" i="7" s="1"/>
  <c r="G104" i="7"/>
  <c r="G108" i="7" s="1"/>
  <c r="E105" i="7"/>
  <c r="F105" i="7"/>
  <c r="G105" i="7"/>
  <c r="C108" i="7"/>
  <c r="D108" i="7"/>
  <c r="E108" i="7"/>
  <c r="F111" i="7"/>
  <c r="F115" i="7" s="1"/>
  <c r="G111" i="7"/>
  <c r="F112" i="7"/>
  <c r="G112" i="7"/>
  <c r="C115" i="7"/>
  <c r="D115" i="7"/>
  <c r="E115" i="7"/>
  <c r="F128" i="7"/>
  <c r="G128" i="7"/>
  <c r="E129" i="7"/>
  <c r="F133" i="7"/>
  <c r="G133" i="7"/>
  <c r="E136" i="7"/>
  <c r="F136" i="7" s="1"/>
  <c r="G136" i="7"/>
  <c r="F137" i="7"/>
  <c r="G137" i="7"/>
  <c r="J137" i="7"/>
  <c r="E140" i="7"/>
  <c r="F140" i="7" s="1"/>
  <c r="E141" i="7"/>
  <c r="F142" i="7"/>
  <c r="G142" i="7"/>
  <c r="E143" i="7"/>
  <c r="F143" i="7"/>
  <c r="G143" i="7"/>
  <c r="F144" i="7"/>
  <c r="G144" i="7"/>
  <c r="F145" i="7"/>
  <c r="G145" i="7"/>
  <c r="E146" i="7"/>
  <c r="E148" i="7"/>
  <c r="E150" i="7"/>
  <c r="E151" i="7"/>
  <c r="F151" i="7" s="1"/>
  <c r="G151" i="7"/>
  <c r="G152" i="7"/>
  <c r="C153" i="7"/>
  <c r="D153" i="7"/>
  <c r="E153" i="7"/>
  <c r="E158" i="7"/>
  <c r="E168" i="7"/>
  <c r="F168" i="7" s="1"/>
  <c r="G168" i="7"/>
  <c r="E169" i="7"/>
  <c r="F169" i="7"/>
  <c r="G169" i="7"/>
  <c r="I169" i="7"/>
  <c r="F170" i="7"/>
  <c r="G170" i="7"/>
  <c r="F171" i="7"/>
  <c r="G171" i="7"/>
  <c r="I171" i="7"/>
  <c r="F172" i="7"/>
  <c r="G172" i="7"/>
  <c r="F173" i="7"/>
  <c r="G173" i="7"/>
  <c r="E174" i="7"/>
  <c r="F174" i="7" s="1"/>
  <c r="G174" i="7"/>
  <c r="E175" i="7"/>
  <c r="F176" i="7"/>
  <c r="G176" i="7"/>
  <c r="F180" i="7"/>
  <c r="G180" i="7"/>
  <c r="E181" i="7"/>
  <c r="F183" i="7"/>
  <c r="G183" i="7"/>
  <c r="F184" i="7"/>
  <c r="G184" i="7"/>
  <c r="F187" i="7"/>
  <c r="G187" i="7"/>
  <c r="F188" i="7"/>
  <c r="G188" i="7"/>
  <c r="C190" i="7"/>
  <c r="D190" i="7"/>
  <c r="C191" i="7"/>
  <c r="L198" i="7"/>
  <c r="D199" i="7"/>
  <c r="L199" i="7"/>
  <c r="L201" i="7"/>
  <c r="I202" i="7"/>
  <c r="E206" i="7"/>
  <c r="D208" i="7"/>
  <c r="D209" i="7"/>
  <c r="D210" i="7" s="1"/>
  <c r="E210" i="7"/>
  <c r="E212" i="7"/>
  <c r="E11" i="6"/>
  <c r="E11" i="5"/>
  <c r="E11" i="3"/>
  <c r="E11" i="2"/>
  <c r="E143" i="6"/>
  <c r="E136" i="6"/>
  <c r="E136" i="5"/>
  <c r="F22" i="7" l="1"/>
  <c r="F22" i="9"/>
  <c r="F15" i="9"/>
  <c r="F181" i="7"/>
  <c r="F190" i="7" s="1"/>
  <c r="G181" i="7"/>
  <c r="F150" i="7"/>
  <c r="G150" i="7"/>
  <c r="F146" i="7"/>
  <c r="G146" i="7"/>
  <c r="F141" i="7"/>
  <c r="G141" i="7"/>
  <c r="F129" i="7"/>
  <c r="F153" i="7" s="1"/>
  <c r="F191" i="7" s="1"/>
  <c r="G129" i="7"/>
  <c r="F57" i="7"/>
  <c r="F50" i="7"/>
  <c r="F29" i="7"/>
  <c r="G22" i="7"/>
  <c r="F141" i="10"/>
  <c r="G141" i="10"/>
  <c r="F148" i="10"/>
  <c r="G148" i="10"/>
  <c r="F169" i="10"/>
  <c r="G169" i="10"/>
  <c r="F11" i="10"/>
  <c r="G11" i="10"/>
  <c r="F25" i="10"/>
  <c r="G25" i="10"/>
  <c r="F39" i="10"/>
  <c r="G39" i="10"/>
  <c r="G43" i="10" s="1"/>
  <c r="F53" i="10"/>
  <c r="G53" i="10"/>
  <c r="G57" i="10" s="1"/>
  <c r="F90" i="10"/>
  <c r="G90" i="10"/>
  <c r="E108" i="10"/>
  <c r="F104" i="10"/>
  <c r="F108" i="10" s="1"/>
  <c r="G104" i="10"/>
  <c r="E15" i="10"/>
  <c r="E118" i="10" s="1"/>
  <c r="F12" i="10"/>
  <c r="G12" i="10"/>
  <c r="F26" i="10"/>
  <c r="G26" i="10"/>
  <c r="F83" i="10"/>
  <c r="G83" i="10"/>
  <c r="G87" i="10" s="1"/>
  <c r="F47" i="10"/>
  <c r="G47" i="10"/>
  <c r="F70" i="10"/>
  <c r="G70" i="10"/>
  <c r="F91" i="10"/>
  <c r="G91" i="10"/>
  <c r="F77" i="10"/>
  <c r="G77" i="10"/>
  <c r="F133" i="10"/>
  <c r="G133" i="10"/>
  <c r="F140" i="10"/>
  <c r="G140" i="10"/>
  <c r="F151" i="10"/>
  <c r="G151" i="10"/>
  <c r="F181" i="10"/>
  <c r="G181" i="10"/>
  <c r="F175" i="10"/>
  <c r="G175" i="10"/>
  <c r="F175" i="9"/>
  <c r="F190" i="9" s="1"/>
  <c r="G175" i="9"/>
  <c r="F151" i="9"/>
  <c r="G151" i="9"/>
  <c r="F148" i="9"/>
  <c r="G148" i="9"/>
  <c r="F141" i="9"/>
  <c r="G141" i="9"/>
  <c r="F135" i="9"/>
  <c r="G135" i="9"/>
  <c r="F130" i="9"/>
  <c r="G130" i="9"/>
  <c r="F108" i="9"/>
  <c r="F94" i="9"/>
  <c r="F80" i="9"/>
  <c r="F73" i="9"/>
  <c r="F57" i="9"/>
  <c r="F29" i="9"/>
  <c r="F43" i="11"/>
  <c r="F135" i="11"/>
  <c r="G135" i="11"/>
  <c r="F185" i="11"/>
  <c r="G185" i="11"/>
  <c r="F130" i="11"/>
  <c r="G130" i="11"/>
  <c r="F150" i="11"/>
  <c r="F143" i="6"/>
  <c r="G143" i="6"/>
  <c r="E190" i="7"/>
  <c r="F175" i="7"/>
  <c r="G175" i="7"/>
  <c r="F148" i="7"/>
  <c r="G148" i="7"/>
  <c r="G140" i="7"/>
  <c r="F108" i="7"/>
  <c r="F101" i="7"/>
  <c r="F94" i="7"/>
  <c r="G84" i="7"/>
  <c r="G87" i="7" s="1"/>
  <c r="E57" i="7"/>
  <c r="G53" i="7"/>
  <c r="G57" i="7" s="1"/>
  <c r="G47" i="7"/>
  <c r="G50" i="7" s="1"/>
  <c r="E43" i="7"/>
  <c r="G40" i="7"/>
  <c r="G43" i="7" s="1"/>
  <c r="F43" i="7"/>
  <c r="E36" i="7"/>
  <c r="F36" i="7"/>
  <c r="G25" i="7"/>
  <c r="G29" i="7" s="1"/>
  <c r="E22" i="7"/>
  <c r="S17" i="7"/>
  <c r="F73" i="7"/>
  <c r="S17" i="10"/>
  <c r="E43" i="10"/>
  <c r="E57" i="10"/>
  <c r="E80" i="10"/>
  <c r="E94" i="10"/>
  <c r="F105" i="10"/>
  <c r="G105" i="10"/>
  <c r="F146" i="10"/>
  <c r="G146" i="10"/>
  <c r="F150" i="10"/>
  <c r="G150" i="10"/>
  <c r="E190" i="10"/>
  <c r="F18" i="10"/>
  <c r="G18" i="10"/>
  <c r="F32" i="10"/>
  <c r="F36" i="10" s="1"/>
  <c r="G32" i="10"/>
  <c r="G36" i="10" s="1"/>
  <c r="F46" i="10"/>
  <c r="F50" i="10" s="1"/>
  <c r="G46" i="10"/>
  <c r="F69" i="10"/>
  <c r="F73" i="10" s="1"/>
  <c r="G69" i="10"/>
  <c r="F97" i="10"/>
  <c r="G97" i="10"/>
  <c r="F76" i="10"/>
  <c r="F80" i="10" s="1"/>
  <c r="G76" i="10"/>
  <c r="F19" i="10"/>
  <c r="G19" i="10"/>
  <c r="F40" i="10"/>
  <c r="G40" i="10"/>
  <c r="F54" i="10"/>
  <c r="G54" i="10"/>
  <c r="F84" i="10"/>
  <c r="G84" i="10"/>
  <c r="F98" i="10"/>
  <c r="G98" i="10"/>
  <c r="F130" i="10"/>
  <c r="G130" i="10"/>
  <c r="F136" i="10"/>
  <c r="G136" i="10"/>
  <c r="F143" i="10"/>
  <c r="G143" i="10"/>
  <c r="F168" i="10"/>
  <c r="G168" i="10"/>
  <c r="F174" i="10"/>
  <c r="G174" i="10"/>
  <c r="G187" i="9"/>
  <c r="F181" i="9"/>
  <c r="G181" i="9"/>
  <c r="G169" i="9"/>
  <c r="G190" i="9" s="1"/>
  <c r="F150" i="9"/>
  <c r="G150" i="9"/>
  <c r="F146" i="9"/>
  <c r="G146" i="9"/>
  <c r="F129" i="9"/>
  <c r="G129" i="9"/>
  <c r="G153" i="9" s="1"/>
  <c r="G191" i="9" s="1"/>
  <c r="E108" i="9"/>
  <c r="E191" i="9" s="1"/>
  <c r="G104" i="9"/>
  <c r="G108" i="9" s="1"/>
  <c r="G98" i="9"/>
  <c r="G101" i="9" s="1"/>
  <c r="E94" i="9"/>
  <c r="G90" i="9"/>
  <c r="G94" i="9" s="1"/>
  <c r="G84" i="9"/>
  <c r="G87" i="9" s="1"/>
  <c r="E80" i="9"/>
  <c r="G76" i="9"/>
  <c r="G80" i="9" s="1"/>
  <c r="G70" i="9"/>
  <c r="G73" i="9" s="1"/>
  <c r="E57" i="9"/>
  <c r="G53" i="9"/>
  <c r="G57" i="9" s="1"/>
  <c r="G47" i="9"/>
  <c r="G46" i="9"/>
  <c r="G50" i="9" s="1"/>
  <c r="G39" i="9"/>
  <c r="G43" i="9" s="1"/>
  <c r="G33" i="9"/>
  <c r="G36" i="9" s="1"/>
  <c r="E29" i="9"/>
  <c r="G25" i="9"/>
  <c r="G29" i="9" s="1"/>
  <c r="E22" i="9"/>
  <c r="E118" i="9" s="1"/>
  <c r="S17" i="9"/>
  <c r="E43" i="11"/>
  <c r="F141" i="11"/>
  <c r="G141" i="11"/>
  <c r="F151" i="11"/>
  <c r="G151" i="11"/>
  <c r="F129" i="11"/>
  <c r="G129" i="11"/>
  <c r="F148" i="11"/>
  <c r="G148" i="11"/>
  <c r="F146" i="11"/>
  <c r="D191" i="9"/>
  <c r="D206" i="9" s="1"/>
  <c r="C191" i="10"/>
  <c r="D191" i="10"/>
  <c r="D206" i="10" s="1"/>
  <c r="D191" i="7"/>
  <c r="D200" i="7" s="1"/>
  <c r="D206" i="7" s="1"/>
  <c r="G115" i="7"/>
  <c r="G73" i="7"/>
  <c r="G15" i="7"/>
  <c r="G190" i="7"/>
  <c r="G210" i="12"/>
  <c r="E215" i="12"/>
  <c r="G198" i="12"/>
  <c r="E197" i="11"/>
  <c r="D213" i="11"/>
  <c r="C198" i="11"/>
  <c r="E157" i="11"/>
  <c r="S17" i="11"/>
  <c r="G157" i="11"/>
  <c r="G11" i="11"/>
  <c r="G15" i="11" s="1"/>
  <c r="G18" i="11"/>
  <c r="G19" i="11"/>
  <c r="G25" i="11"/>
  <c r="G29" i="11" s="1"/>
  <c r="F26" i="11"/>
  <c r="F29" i="11" s="1"/>
  <c r="E29" i="11"/>
  <c r="F32" i="11"/>
  <c r="F36" i="11" s="1"/>
  <c r="G39" i="11"/>
  <c r="G43" i="11" s="1"/>
  <c r="F46" i="11"/>
  <c r="F50" i="11" s="1"/>
  <c r="G47" i="11"/>
  <c r="G53" i="11"/>
  <c r="G57" i="11" s="1"/>
  <c r="F54" i="11"/>
  <c r="F57" i="11" s="1"/>
  <c r="E57" i="11"/>
  <c r="F69" i="11"/>
  <c r="F73" i="11" s="1"/>
  <c r="G70" i="11"/>
  <c r="G76" i="11"/>
  <c r="G80" i="11" s="1"/>
  <c r="F77" i="11"/>
  <c r="F80" i="11" s="1"/>
  <c r="E80" i="11"/>
  <c r="F83" i="11"/>
  <c r="F87" i="11" s="1"/>
  <c r="G84" i="11"/>
  <c r="G90" i="11"/>
  <c r="G94" i="11" s="1"/>
  <c r="F91" i="11"/>
  <c r="F94" i="11" s="1"/>
  <c r="E94" i="11"/>
  <c r="F97" i="11"/>
  <c r="F101" i="11" s="1"/>
  <c r="G98" i="11"/>
  <c r="G104" i="11"/>
  <c r="G108" i="11" s="1"/>
  <c r="F105" i="11"/>
  <c r="F108" i="11" s="1"/>
  <c r="E108" i="11"/>
  <c r="F133" i="11"/>
  <c r="F136" i="11"/>
  <c r="F140" i="11"/>
  <c r="F172" i="11"/>
  <c r="G173" i="11"/>
  <c r="G175" i="11"/>
  <c r="E217" i="11"/>
  <c r="F11" i="11"/>
  <c r="F15" i="11" s="1"/>
  <c r="F18" i="11"/>
  <c r="F22" i="11" s="1"/>
  <c r="G32" i="11"/>
  <c r="G36" i="11" s="1"/>
  <c r="G46" i="11"/>
  <c r="G69" i="11"/>
  <c r="G73" i="11" s="1"/>
  <c r="G83" i="11"/>
  <c r="G97" i="11"/>
  <c r="G101" i="11" s="1"/>
  <c r="G172" i="11"/>
  <c r="F173" i="11"/>
  <c r="F153" i="9"/>
  <c r="F50" i="9"/>
  <c r="E153" i="10"/>
  <c r="E191" i="10" s="1"/>
  <c r="G203" i="10" s="1"/>
  <c r="I169" i="10"/>
  <c r="E210" i="10"/>
  <c r="F15" i="7"/>
  <c r="F80" i="7"/>
  <c r="E101" i="7"/>
  <c r="E175" i="6"/>
  <c r="E168" i="6"/>
  <c r="E190" i="6" s="1"/>
  <c r="E169" i="6"/>
  <c r="E129" i="6"/>
  <c r="E150" i="6"/>
  <c r="E77" i="6"/>
  <c r="G77" i="6" s="1"/>
  <c r="E105" i="6"/>
  <c r="E98" i="6"/>
  <c r="G98" i="6" s="1"/>
  <c r="E91" i="6"/>
  <c r="E84" i="6"/>
  <c r="G84" i="6" s="1"/>
  <c r="E70" i="6"/>
  <c r="E54" i="6"/>
  <c r="E47" i="6"/>
  <c r="E40" i="6"/>
  <c r="F40" i="6" s="1"/>
  <c r="E33" i="6"/>
  <c r="E32" i="6"/>
  <c r="F32" i="6" s="1"/>
  <c r="F36" i="6" s="1"/>
  <c r="E19" i="6"/>
  <c r="E12" i="6"/>
  <c r="G12" i="6" s="1"/>
  <c r="E76" i="6"/>
  <c r="E104" i="6"/>
  <c r="E97" i="6"/>
  <c r="E90" i="6"/>
  <c r="E94" i="6" s="1"/>
  <c r="E83" i="6"/>
  <c r="E53" i="6"/>
  <c r="E57" i="6" s="1"/>
  <c r="E46" i="6"/>
  <c r="E39" i="6"/>
  <c r="E43" i="6" s="1"/>
  <c r="E25" i="6"/>
  <c r="I10" i="6"/>
  <c r="I9" i="6"/>
  <c r="E18" i="6"/>
  <c r="E22" i="6" s="1"/>
  <c r="I202" i="6"/>
  <c r="L199" i="6"/>
  <c r="L198" i="6"/>
  <c r="D190" i="6"/>
  <c r="C190" i="6"/>
  <c r="G188" i="6"/>
  <c r="F188" i="6"/>
  <c r="G187" i="6"/>
  <c r="F187" i="6"/>
  <c r="G184" i="6"/>
  <c r="F184" i="6"/>
  <c r="G183" i="6"/>
  <c r="F183" i="6"/>
  <c r="G180" i="6"/>
  <c r="F180" i="6"/>
  <c r="G176" i="6"/>
  <c r="F176" i="6"/>
  <c r="F174" i="6"/>
  <c r="G174" i="6"/>
  <c r="G173" i="6"/>
  <c r="F173" i="6"/>
  <c r="G172" i="6"/>
  <c r="F172" i="6"/>
  <c r="I171" i="6"/>
  <c r="G171" i="6"/>
  <c r="F171" i="6"/>
  <c r="G170" i="6"/>
  <c r="F170" i="6"/>
  <c r="F168" i="6"/>
  <c r="E158" i="6"/>
  <c r="D153" i="6"/>
  <c r="C153" i="6"/>
  <c r="G152" i="6"/>
  <c r="E151" i="6"/>
  <c r="E148" i="6"/>
  <c r="E146" i="6"/>
  <c r="G145" i="6"/>
  <c r="F145" i="6"/>
  <c r="G144" i="6"/>
  <c r="F144" i="6"/>
  <c r="J137" i="6"/>
  <c r="G137" i="6"/>
  <c r="F137" i="6"/>
  <c r="F136" i="6"/>
  <c r="G133" i="6"/>
  <c r="F133" i="6"/>
  <c r="G128" i="6"/>
  <c r="F128" i="6"/>
  <c r="E115" i="6"/>
  <c r="D115" i="6"/>
  <c r="C115" i="6"/>
  <c r="G112" i="6"/>
  <c r="F112" i="6"/>
  <c r="G111" i="6"/>
  <c r="G115" i="6" s="1"/>
  <c r="F111" i="6"/>
  <c r="F115" i="6" s="1"/>
  <c r="D108" i="6"/>
  <c r="C108" i="6"/>
  <c r="G105" i="6"/>
  <c r="F105" i="6"/>
  <c r="D101" i="6"/>
  <c r="C101" i="6"/>
  <c r="F98" i="6"/>
  <c r="D94" i="6"/>
  <c r="C94" i="6"/>
  <c r="F91" i="6"/>
  <c r="G91" i="6"/>
  <c r="D87" i="6"/>
  <c r="C87" i="6"/>
  <c r="F83" i="6"/>
  <c r="D80" i="6"/>
  <c r="C80" i="6"/>
  <c r="F77" i="6"/>
  <c r="E80" i="6"/>
  <c r="D73" i="6"/>
  <c r="C73" i="6"/>
  <c r="G71" i="6"/>
  <c r="F71" i="6"/>
  <c r="G70" i="6"/>
  <c r="F69" i="6"/>
  <c r="E73" i="6"/>
  <c r="D57" i="6"/>
  <c r="C57" i="6"/>
  <c r="G55" i="6"/>
  <c r="F55" i="6"/>
  <c r="F54" i="6"/>
  <c r="D50" i="6"/>
  <c r="C50" i="6"/>
  <c r="G48" i="6"/>
  <c r="F48" i="6"/>
  <c r="G47" i="6"/>
  <c r="F46" i="6"/>
  <c r="D43" i="6"/>
  <c r="C43" i="6"/>
  <c r="M41" i="6"/>
  <c r="G40" i="6"/>
  <c r="L39" i="6"/>
  <c r="F39" i="6"/>
  <c r="D36" i="6"/>
  <c r="C36" i="6"/>
  <c r="F33" i="6"/>
  <c r="G33" i="6"/>
  <c r="D29" i="6"/>
  <c r="C29" i="6"/>
  <c r="G27" i="6"/>
  <c r="F27" i="6"/>
  <c r="G26" i="6"/>
  <c r="F26" i="6"/>
  <c r="M25" i="6"/>
  <c r="E29" i="6"/>
  <c r="D22" i="6"/>
  <c r="C22" i="6"/>
  <c r="J21" i="6"/>
  <c r="J22" i="6" s="1"/>
  <c r="J23" i="6" s="1"/>
  <c r="J25" i="6" s="1"/>
  <c r="G20" i="6"/>
  <c r="F20" i="6"/>
  <c r="F19" i="6"/>
  <c r="L18" i="6"/>
  <c r="L19" i="6" s="1"/>
  <c r="S15" i="6"/>
  <c r="S16" i="6" s="1"/>
  <c r="R15" i="6"/>
  <c r="R16" i="6" s="1"/>
  <c r="M15" i="6"/>
  <c r="D15" i="6"/>
  <c r="C15" i="6"/>
  <c r="I14" i="6"/>
  <c r="G13" i="6"/>
  <c r="F13" i="6"/>
  <c r="F12" i="6"/>
  <c r="E15" i="6"/>
  <c r="M7" i="6"/>
  <c r="E169" i="5"/>
  <c r="E190" i="5" s="1"/>
  <c r="E151" i="5"/>
  <c r="E148" i="5"/>
  <c r="E146" i="5"/>
  <c r="E91" i="5"/>
  <c r="F91" i="5" s="1"/>
  <c r="E77" i="5"/>
  <c r="E54" i="5"/>
  <c r="G54" i="5" s="1"/>
  <c r="E47" i="5"/>
  <c r="E33" i="5"/>
  <c r="G33" i="5" s="1"/>
  <c r="E19" i="5"/>
  <c r="E12" i="5"/>
  <c r="F12" i="5" s="1"/>
  <c r="E83" i="5"/>
  <c r="E104" i="5"/>
  <c r="E108" i="5" s="1"/>
  <c r="E76" i="5"/>
  <c r="F76" i="5" s="1"/>
  <c r="E97" i="5"/>
  <c r="E101" i="5" s="1"/>
  <c r="E90" i="5"/>
  <c r="F90" i="5" s="1"/>
  <c r="E53" i="5"/>
  <c r="E46" i="5"/>
  <c r="E50" i="5" s="1"/>
  <c r="E39" i="5"/>
  <c r="E32" i="5"/>
  <c r="E25" i="5"/>
  <c r="E18" i="5"/>
  <c r="E212" i="5"/>
  <c r="I202" i="5"/>
  <c r="L199" i="5"/>
  <c r="L198" i="5"/>
  <c r="L201" i="5" s="1"/>
  <c r="D190" i="5"/>
  <c r="C190" i="5"/>
  <c r="G188" i="5"/>
  <c r="F188" i="5"/>
  <c r="G187" i="5"/>
  <c r="F187" i="5"/>
  <c r="G184" i="5"/>
  <c r="F184" i="5"/>
  <c r="G183" i="5"/>
  <c r="F183" i="5"/>
  <c r="G180" i="5"/>
  <c r="F180" i="5"/>
  <c r="G176" i="5"/>
  <c r="F176" i="5"/>
  <c r="G174" i="5"/>
  <c r="G173" i="5"/>
  <c r="F173" i="5"/>
  <c r="G172" i="5"/>
  <c r="F172" i="5"/>
  <c r="I171" i="5"/>
  <c r="G171" i="5"/>
  <c r="F171" i="5"/>
  <c r="G170" i="5"/>
  <c r="F170" i="5"/>
  <c r="G168" i="5"/>
  <c r="F168" i="5"/>
  <c r="E158" i="5"/>
  <c r="D153" i="5"/>
  <c r="C153" i="5"/>
  <c r="G152" i="5"/>
  <c r="G145" i="5"/>
  <c r="F145" i="5"/>
  <c r="G144" i="5"/>
  <c r="F144" i="5"/>
  <c r="G143" i="5"/>
  <c r="F143" i="5"/>
  <c r="G142" i="5"/>
  <c r="F142" i="5"/>
  <c r="J137" i="5"/>
  <c r="G137" i="5"/>
  <c r="F137" i="5"/>
  <c r="F136" i="5"/>
  <c r="E153" i="5"/>
  <c r="G133" i="5"/>
  <c r="F133" i="5"/>
  <c r="G128" i="5"/>
  <c r="F128" i="5"/>
  <c r="E115" i="5"/>
  <c r="D115" i="5"/>
  <c r="C115" i="5"/>
  <c r="G112" i="5"/>
  <c r="F112" i="5"/>
  <c r="G111" i="5"/>
  <c r="G115" i="5" s="1"/>
  <c r="F111" i="5"/>
  <c r="F115" i="5" s="1"/>
  <c r="D108" i="5"/>
  <c r="C108" i="5"/>
  <c r="G105" i="5"/>
  <c r="F105" i="5"/>
  <c r="F104" i="5"/>
  <c r="F108" i="5" s="1"/>
  <c r="D101" i="5"/>
  <c r="C101" i="5"/>
  <c r="G98" i="5"/>
  <c r="F98" i="5"/>
  <c r="F97" i="5"/>
  <c r="F101" i="5" s="1"/>
  <c r="D94" i="5"/>
  <c r="C94" i="5"/>
  <c r="G91" i="5"/>
  <c r="E94" i="5"/>
  <c r="D87" i="5"/>
  <c r="C87" i="5"/>
  <c r="E84" i="5"/>
  <c r="F84" i="5" s="1"/>
  <c r="E87" i="5"/>
  <c r="D80" i="5"/>
  <c r="C80" i="5"/>
  <c r="G77" i="5"/>
  <c r="D73" i="5"/>
  <c r="C73" i="5"/>
  <c r="G71" i="5"/>
  <c r="F71" i="5"/>
  <c r="E70" i="5"/>
  <c r="F70" i="5" s="1"/>
  <c r="D57" i="5"/>
  <c r="C57" i="5"/>
  <c r="G55" i="5"/>
  <c r="F55" i="5"/>
  <c r="F53" i="5"/>
  <c r="E57" i="5"/>
  <c r="D50" i="5"/>
  <c r="C50" i="5"/>
  <c r="G48" i="5"/>
  <c r="F48" i="5"/>
  <c r="F47" i="5"/>
  <c r="G47" i="5"/>
  <c r="D43" i="5"/>
  <c r="C43" i="5"/>
  <c r="M41" i="5"/>
  <c r="E40" i="5"/>
  <c r="G40" i="5" s="1"/>
  <c r="L39" i="5"/>
  <c r="F39" i="5"/>
  <c r="D36" i="5"/>
  <c r="C36" i="5"/>
  <c r="F33" i="5"/>
  <c r="E36" i="5"/>
  <c r="D29" i="5"/>
  <c r="C29" i="5"/>
  <c r="G27" i="5"/>
  <c r="F27" i="5"/>
  <c r="G26" i="5"/>
  <c r="F26" i="5"/>
  <c r="M25" i="5"/>
  <c r="G25" i="5"/>
  <c r="D22" i="5"/>
  <c r="C22" i="5"/>
  <c r="J21" i="5"/>
  <c r="J22" i="5" s="1"/>
  <c r="J23" i="5" s="1"/>
  <c r="J25" i="5" s="1"/>
  <c r="G20" i="5"/>
  <c r="F20" i="5"/>
  <c r="G19" i="5"/>
  <c r="L18" i="5"/>
  <c r="L19" i="5" s="1"/>
  <c r="G18" i="5"/>
  <c r="S15" i="5"/>
  <c r="S16" i="5" s="1"/>
  <c r="R15" i="5"/>
  <c r="R16" i="5" s="1"/>
  <c r="S17" i="5" s="1"/>
  <c r="M15" i="5"/>
  <c r="D15" i="5"/>
  <c r="C15" i="5"/>
  <c r="I14" i="5"/>
  <c r="G13" i="5"/>
  <c r="F13" i="5"/>
  <c r="G12" i="5"/>
  <c r="G11" i="5"/>
  <c r="M7" i="5"/>
  <c r="E146" i="4"/>
  <c r="E207" i="9" l="1"/>
  <c r="E208" i="9"/>
  <c r="G203" i="9"/>
  <c r="C191" i="5"/>
  <c r="E73" i="5"/>
  <c r="F148" i="5"/>
  <c r="G148" i="5"/>
  <c r="F43" i="6"/>
  <c r="F148" i="6"/>
  <c r="G148" i="6"/>
  <c r="F129" i="6"/>
  <c r="F153" i="6" s="1"/>
  <c r="G129" i="6"/>
  <c r="F190" i="10"/>
  <c r="F153" i="10"/>
  <c r="F101" i="10"/>
  <c r="F22" i="10"/>
  <c r="G94" i="10"/>
  <c r="G29" i="10"/>
  <c r="G15" i="10"/>
  <c r="F146" i="4"/>
  <c r="G146" i="4"/>
  <c r="E43" i="5"/>
  <c r="F40" i="5"/>
  <c r="F43" i="5" s="1"/>
  <c r="F146" i="5"/>
  <c r="G146" i="5"/>
  <c r="F151" i="5"/>
  <c r="G151" i="5"/>
  <c r="S17" i="6"/>
  <c r="E87" i="6"/>
  <c r="F146" i="6"/>
  <c r="G146" i="6"/>
  <c r="F151" i="6"/>
  <c r="G151" i="6"/>
  <c r="G168" i="6"/>
  <c r="C191" i="6"/>
  <c r="L201" i="6"/>
  <c r="F150" i="6"/>
  <c r="G150" i="6"/>
  <c r="F175" i="6"/>
  <c r="G175" i="6"/>
  <c r="G87" i="11"/>
  <c r="G50" i="11"/>
  <c r="G190" i="10"/>
  <c r="G153" i="10"/>
  <c r="G80" i="10"/>
  <c r="G101" i="10"/>
  <c r="G73" i="10"/>
  <c r="G50" i="10"/>
  <c r="G22" i="10"/>
  <c r="F87" i="10"/>
  <c r="G108" i="10"/>
  <c r="F94" i="10"/>
  <c r="F57" i="10"/>
  <c r="F43" i="10"/>
  <c r="F29" i="10"/>
  <c r="F15" i="10"/>
  <c r="G153" i="7"/>
  <c r="G191" i="7" s="1"/>
  <c r="D191" i="6"/>
  <c r="G29" i="5"/>
  <c r="D191" i="5"/>
  <c r="G197" i="11"/>
  <c r="G22" i="11"/>
  <c r="E198" i="11"/>
  <c r="F157" i="11"/>
  <c r="E118" i="11"/>
  <c r="F197" i="11"/>
  <c r="F191" i="9"/>
  <c r="E208" i="10"/>
  <c r="E207" i="10"/>
  <c r="E118" i="7"/>
  <c r="E191" i="7"/>
  <c r="E108" i="6"/>
  <c r="E101" i="6"/>
  <c r="G11" i="6"/>
  <c r="G15" i="6" s="1"/>
  <c r="G18" i="6"/>
  <c r="G19" i="6"/>
  <c r="G25" i="6"/>
  <c r="G29" i="6" s="1"/>
  <c r="G32" i="6"/>
  <c r="G36" i="6" s="1"/>
  <c r="E36" i="6"/>
  <c r="G46" i="6"/>
  <c r="G50" i="6" s="1"/>
  <c r="F47" i="6"/>
  <c r="F50" i="6" s="1"/>
  <c r="E50" i="6"/>
  <c r="F53" i="6"/>
  <c r="F57" i="6" s="1"/>
  <c r="G54" i="6"/>
  <c r="G69" i="6"/>
  <c r="G73" i="6" s="1"/>
  <c r="F70" i="6"/>
  <c r="F73" i="6" s="1"/>
  <c r="F76" i="6"/>
  <c r="F80" i="6" s="1"/>
  <c r="G83" i="6"/>
  <c r="G87" i="6" s="1"/>
  <c r="F84" i="6"/>
  <c r="F87" i="6" s="1"/>
  <c r="F90" i="6"/>
  <c r="F94" i="6" s="1"/>
  <c r="G97" i="6"/>
  <c r="G101" i="6" s="1"/>
  <c r="G104" i="6"/>
  <c r="G108" i="6" s="1"/>
  <c r="G136" i="6"/>
  <c r="E153" i="6"/>
  <c r="G169" i="6"/>
  <c r="F11" i="6"/>
  <c r="F15" i="6" s="1"/>
  <c r="F18" i="6"/>
  <c r="F22" i="6" s="1"/>
  <c r="F25" i="6"/>
  <c r="F29" i="6" s="1"/>
  <c r="G39" i="6"/>
  <c r="G43" i="6" s="1"/>
  <c r="G53" i="6"/>
  <c r="G76" i="6"/>
  <c r="G80" i="6" s="1"/>
  <c r="G90" i="6"/>
  <c r="G94" i="6" s="1"/>
  <c r="F97" i="6"/>
  <c r="F101" i="6" s="1"/>
  <c r="F104" i="6"/>
  <c r="F108" i="6" s="1"/>
  <c r="F169" i="6"/>
  <c r="F190" i="6" s="1"/>
  <c r="I169" i="6"/>
  <c r="F153" i="5"/>
  <c r="F94" i="5"/>
  <c r="G22" i="5"/>
  <c r="G15" i="5"/>
  <c r="F11" i="5"/>
  <c r="F15" i="5" s="1"/>
  <c r="E15" i="5"/>
  <c r="F18" i="5"/>
  <c r="F19" i="5"/>
  <c r="E22" i="5"/>
  <c r="F25" i="5"/>
  <c r="F29" i="5" s="1"/>
  <c r="E29" i="5"/>
  <c r="F32" i="5"/>
  <c r="F36" i="5" s="1"/>
  <c r="G39" i="5"/>
  <c r="G43" i="5" s="1"/>
  <c r="F46" i="5"/>
  <c r="F50" i="5" s="1"/>
  <c r="G53" i="5"/>
  <c r="G57" i="5" s="1"/>
  <c r="F54" i="5"/>
  <c r="F57" i="5" s="1"/>
  <c r="F69" i="5"/>
  <c r="F73" i="5" s="1"/>
  <c r="G70" i="5"/>
  <c r="G76" i="5"/>
  <c r="G80" i="5" s="1"/>
  <c r="F77" i="5"/>
  <c r="F80" i="5" s="1"/>
  <c r="E80" i="5"/>
  <c r="F83" i="5"/>
  <c r="F87" i="5" s="1"/>
  <c r="G84" i="5"/>
  <c r="G90" i="5"/>
  <c r="G94" i="5" s="1"/>
  <c r="G97" i="5"/>
  <c r="G101" i="5" s="1"/>
  <c r="G104" i="5"/>
  <c r="G108" i="5" s="1"/>
  <c r="G136" i="5"/>
  <c r="G169" i="5"/>
  <c r="G190" i="5" s="1"/>
  <c r="F174" i="5"/>
  <c r="G32" i="5"/>
  <c r="G36" i="5" s="1"/>
  <c r="G46" i="5"/>
  <c r="G50" i="5" s="1"/>
  <c r="G69" i="5"/>
  <c r="G73" i="5" s="1"/>
  <c r="G83" i="5"/>
  <c r="G87" i="5" s="1"/>
  <c r="F169" i="5"/>
  <c r="F190" i="5" s="1"/>
  <c r="I169" i="5"/>
  <c r="E104" i="4"/>
  <c r="E169" i="4"/>
  <c r="E136" i="4"/>
  <c r="E84" i="4"/>
  <c r="E70" i="4"/>
  <c r="E54" i="4"/>
  <c r="E47" i="4"/>
  <c r="E40" i="4"/>
  <c r="E19" i="4"/>
  <c r="E12" i="4"/>
  <c r="F191" i="10" l="1"/>
  <c r="G153" i="5"/>
  <c r="G190" i="6"/>
  <c r="G153" i="6"/>
  <c r="G191" i="10"/>
  <c r="G198" i="11"/>
  <c r="G57" i="6"/>
  <c r="G22" i="6"/>
  <c r="E215" i="11"/>
  <c r="E214" i="11"/>
  <c r="G210" i="11"/>
  <c r="F198" i="11"/>
  <c r="E207" i="7"/>
  <c r="G203" i="7"/>
  <c r="E208" i="7"/>
  <c r="E191" i="6"/>
  <c r="E118" i="6"/>
  <c r="F191" i="6"/>
  <c r="F22" i="5"/>
  <c r="F191" i="5" s="1"/>
  <c r="E191" i="5"/>
  <c r="G191" i="5"/>
  <c r="E118" i="5"/>
  <c r="E76" i="4"/>
  <c r="E97" i="4"/>
  <c r="E90" i="4"/>
  <c r="G191" i="6" l="1"/>
  <c r="G203" i="6"/>
  <c r="G203" i="5"/>
  <c r="E83" i="4"/>
  <c r="F83" i="4" s="1"/>
  <c r="E69" i="4"/>
  <c r="E53" i="4"/>
  <c r="E57" i="4" s="1"/>
  <c r="E46" i="4"/>
  <c r="F46" i="4" s="1"/>
  <c r="E39" i="4"/>
  <c r="E32" i="4"/>
  <c r="E25" i="4"/>
  <c r="G25" i="4" s="1"/>
  <c r="E18" i="4"/>
  <c r="F18" i="4" s="1"/>
  <c r="E11" i="4"/>
  <c r="I202" i="4"/>
  <c r="L199" i="4"/>
  <c r="L198" i="4"/>
  <c r="L201" i="4" s="1"/>
  <c r="D190" i="4"/>
  <c r="C190" i="4"/>
  <c r="G188" i="4"/>
  <c r="F188" i="4"/>
  <c r="G187" i="4"/>
  <c r="F187" i="4"/>
  <c r="G184" i="4"/>
  <c r="F184" i="4"/>
  <c r="G183" i="4"/>
  <c r="F183" i="4"/>
  <c r="G180" i="4"/>
  <c r="F180" i="4"/>
  <c r="G176" i="4"/>
  <c r="F176" i="4"/>
  <c r="G174" i="4"/>
  <c r="F174" i="4"/>
  <c r="G173" i="4"/>
  <c r="F173" i="4"/>
  <c r="G172" i="4"/>
  <c r="F172" i="4"/>
  <c r="I171" i="4"/>
  <c r="G171" i="4"/>
  <c r="F171" i="4"/>
  <c r="G170" i="4"/>
  <c r="F170" i="4"/>
  <c r="I169" i="4"/>
  <c r="F169" i="4"/>
  <c r="E190" i="4"/>
  <c r="G168" i="4"/>
  <c r="F168" i="4"/>
  <c r="E158" i="4"/>
  <c r="D153" i="4"/>
  <c r="C153" i="4"/>
  <c r="G152" i="4"/>
  <c r="G151" i="4"/>
  <c r="F151" i="4"/>
  <c r="G145" i="4"/>
  <c r="F145" i="4"/>
  <c r="G144" i="4"/>
  <c r="F144" i="4"/>
  <c r="G143" i="4"/>
  <c r="F143" i="4"/>
  <c r="G142" i="4"/>
  <c r="F142" i="4"/>
  <c r="G140" i="4"/>
  <c r="F140" i="4"/>
  <c r="J137" i="4"/>
  <c r="G137" i="4"/>
  <c r="F137" i="4"/>
  <c r="E153" i="4"/>
  <c r="G133" i="4"/>
  <c r="F133" i="4"/>
  <c r="G128" i="4"/>
  <c r="F128" i="4"/>
  <c r="E115" i="4"/>
  <c r="D115" i="4"/>
  <c r="C115" i="4"/>
  <c r="G112" i="4"/>
  <c r="F112" i="4"/>
  <c r="G111" i="4"/>
  <c r="G115" i="4" s="1"/>
  <c r="F111" i="4"/>
  <c r="F115" i="4" s="1"/>
  <c r="D108" i="4"/>
  <c r="C108" i="4"/>
  <c r="G105" i="4"/>
  <c r="F105" i="4"/>
  <c r="F104" i="4"/>
  <c r="E108" i="4"/>
  <c r="D101" i="4"/>
  <c r="C101" i="4"/>
  <c r="G98" i="4"/>
  <c r="F98" i="4"/>
  <c r="F97" i="4"/>
  <c r="E101" i="4"/>
  <c r="D94" i="4"/>
  <c r="C94" i="4"/>
  <c r="G91" i="4"/>
  <c r="F91" i="4"/>
  <c r="F90" i="4"/>
  <c r="E94" i="4"/>
  <c r="D87" i="4"/>
  <c r="C87" i="4"/>
  <c r="G84" i="4"/>
  <c r="F84" i="4"/>
  <c r="E87" i="4"/>
  <c r="D80" i="4"/>
  <c r="C80" i="4"/>
  <c r="E77" i="4"/>
  <c r="G77" i="4" s="1"/>
  <c r="D73" i="4"/>
  <c r="C73" i="4"/>
  <c r="G71" i="4"/>
  <c r="F71" i="4"/>
  <c r="G70" i="4"/>
  <c r="F69" i="4"/>
  <c r="D57" i="4"/>
  <c r="C57" i="4"/>
  <c r="G55" i="4"/>
  <c r="F55" i="4"/>
  <c r="F54" i="4"/>
  <c r="D50" i="4"/>
  <c r="C50" i="4"/>
  <c r="G48" i="4"/>
  <c r="F48" i="4"/>
  <c r="F47" i="4"/>
  <c r="G47" i="4"/>
  <c r="D43" i="4"/>
  <c r="C43" i="4"/>
  <c r="M41" i="4"/>
  <c r="G40" i="4"/>
  <c r="F40" i="4"/>
  <c r="L39" i="4"/>
  <c r="E43" i="4"/>
  <c r="D36" i="4"/>
  <c r="C36" i="4"/>
  <c r="E33" i="4"/>
  <c r="F33" i="4" s="1"/>
  <c r="E36" i="4"/>
  <c r="D29" i="4"/>
  <c r="C29" i="4"/>
  <c r="G27" i="4"/>
  <c r="F27" i="4"/>
  <c r="G26" i="4"/>
  <c r="F26" i="4"/>
  <c r="M25" i="4"/>
  <c r="F25" i="4"/>
  <c r="F29" i="4" s="1"/>
  <c r="D22" i="4"/>
  <c r="C22" i="4"/>
  <c r="J21" i="4"/>
  <c r="J22" i="4" s="1"/>
  <c r="J23" i="4" s="1"/>
  <c r="J25" i="4" s="1"/>
  <c r="G20" i="4"/>
  <c r="F20" i="4"/>
  <c r="F19" i="4"/>
  <c r="G19" i="4"/>
  <c r="L18" i="4"/>
  <c r="L19" i="4" s="1"/>
  <c r="S15" i="4"/>
  <c r="S16" i="4" s="1"/>
  <c r="R15" i="4"/>
  <c r="R16" i="4" s="1"/>
  <c r="M15" i="4"/>
  <c r="D15" i="4"/>
  <c r="C15" i="4"/>
  <c r="I14" i="4"/>
  <c r="G13" i="4"/>
  <c r="F13" i="4"/>
  <c r="F12" i="4"/>
  <c r="F11" i="4"/>
  <c r="G11" i="4"/>
  <c r="M7" i="4"/>
  <c r="E169" i="3"/>
  <c r="E136" i="3"/>
  <c r="E12" i="3"/>
  <c r="E77" i="3"/>
  <c r="E70" i="3"/>
  <c r="E54" i="3"/>
  <c r="E47" i="3"/>
  <c r="E33" i="3"/>
  <c r="E19" i="3"/>
  <c r="C191" i="4" l="1"/>
  <c r="G18" i="4"/>
  <c r="E80" i="4"/>
  <c r="F77" i="4"/>
  <c r="G29" i="4"/>
  <c r="D191" i="4"/>
  <c r="F108" i="4"/>
  <c r="F94" i="4"/>
  <c r="F190" i="4"/>
  <c r="F101" i="4"/>
  <c r="F87" i="4"/>
  <c r="F50" i="4"/>
  <c r="F22" i="4"/>
  <c r="F15" i="4"/>
  <c r="S17" i="4"/>
  <c r="G22" i="4"/>
  <c r="G12" i="4"/>
  <c r="G15" i="4" s="1"/>
  <c r="E15" i="4"/>
  <c r="E22" i="4"/>
  <c r="E29" i="4"/>
  <c r="F32" i="4"/>
  <c r="F36" i="4" s="1"/>
  <c r="G33" i="4"/>
  <c r="G39" i="4"/>
  <c r="G43" i="4" s="1"/>
  <c r="G46" i="4"/>
  <c r="G50" i="4" s="1"/>
  <c r="E50" i="4"/>
  <c r="F53" i="4"/>
  <c r="F57" i="4" s="1"/>
  <c r="G54" i="4"/>
  <c r="G69" i="4"/>
  <c r="G73" i="4" s="1"/>
  <c r="F70" i="4"/>
  <c r="F73" i="4" s="1"/>
  <c r="E73" i="4"/>
  <c r="E191" i="4" s="1"/>
  <c r="F76" i="4"/>
  <c r="G83" i="4"/>
  <c r="G87" i="4" s="1"/>
  <c r="G90" i="4"/>
  <c r="G94" i="4" s="1"/>
  <c r="G97" i="4"/>
  <c r="G101" i="4" s="1"/>
  <c r="G104" i="4"/>
  <c r="G108" i="4" s="1"/>
  <c r="G136" i="4"/>
  <c r="G153" i="4" s="1"/>
  <c r="G32" i="4"/>
  <c r="F39" i="4"/>
  <c r="F43" i="4" s="1"/>
  <c r="G53" i="4"/>
  <c r="G76" i="4"/>
  <c r="G80" i="4" s="1"/>
  <c r="F136" i="4"/>
  <c r="F153" i="4" s="1"/>
  <c r="G169" i="4"/>
  <c r="G190" i="4" s="1"/>
  <c r="E76" i="3"/>
  <c r="E104" i="3"/>
  <c r="E108" i="3" s="1"/>
  <c r="E97" i="3"/>
  <c r="E90" i="3"/>
  <c r="F90" i="3" s="1"/>
  <c r="F94" i="3" s="1"/>
  <c r="E83" i="3"/>
  <c r="E69" i="3"/>
  <c r="G69" i="3" s="1"/>
  <c r="G73" i="3" s="1"/>
  <c r="E53" i="3"/>
  <c r="E46" i="3"/>
  <c r="F46" i="3" s="1"/>
  <c r="F50" i="3" s="1"/>
  <c r="E39" i="3"/>
  <c r="E32" i="3"/>
  <c r="F32" i="3" s="1"/>
  <c r="E18" i="3"/>
  <c r="L199" i="3"/>
  <c r="L198" i="3"/>
  <c r="D190" i="3"/>
  <c r="C190" i="3"/>
  <c r="G188" i="3"/>
  <c r="F188" i="3"/>
  <c r="G187" i="3"/>
  <c r="F187" i="3"/>
  <c r="G184" i="3"/>
  <c r="F184" i="3"/>
  <c r="G183" i="3"/>
  <c r="F183" i="3"/>
  <c r="G176" i="3"/>
  <c r="F176" i="3"/>
  <c r="F175" i="3"/>
  <c r="G174" i="3"/>
  <c r="F174" i="3"/>
  <c r="G173" i="3"/>
  <c r="F173" i="3"/>
  <c r="G172" i="3"/>
  <c r="F172" i="3"/>
  <c r="G171" i="3"/>
  <c r="F171" i="3"/>
  <c r="G170" i="3"/>
  <c r="F170" i="3"/>
  <c r="E190" i="3"/>
  <c r="G168" i="3"/>
  <c r="F168" i="3"/>
  <c r="E158" i="3"/>
  <c r="D153" i="3"/>
  <c r="C153" i="3"/>
  <c r="G152" i="3"/>
  <c r="G145" i="3"/>
  <c r="F145" i="3"/>
  <c r="G144" i="3"/>
  <c r="F144" i="3"/>
  <c r="G143" i="3"/>
  <c r="F143" i="3"/>
  <c r="G142" i="3"/>
  <c r="F142" i="3"/>
  <c r="G140" i="3"/>
  <c r="F140" i="3"/>
  <c r="J137" i="3"/>
  <c r="G137" i="3"/>
  <c r="F137" i="3"/>
  <c r="F136" i="3"/>
  <c r="E153" i="3"/>
  <c r="G133" i="3"/>
  <c r="F133" i="3"/>
  <c r="G128" i="3"/>
  <c r="F128" i="3"/>
  <c r="E115" i="3"/>
  <c r="D115" i="3"/>
  <c r="C115" i="3"/>
  <c r="G112" i="3"/>
  <c r="F112" i="3"/>
  <c r="G111" i="3"/>
  <c r="G115" i="3" s="1"/>
  <c r="F111" i="3"/>
  <c r="F115" i="3" s="1"/>
  <c r="D108" i="3"/>
  <c r="C108" i="3"/>
  <c r="G105" i="3"/>
  <c r="F105" i="3"/>
  <c r="G104" i="3"/>
  <c r="E101" i="3"/>
  <c r="D101" i="3"/>
  <c r="C101" i="3"/>
  <c r="G98" i="3"/>
  <c r="F98" i="3"/>
  <c r="F97" i="3"/>
  <c r="F101" i="3" s="1"/>
  <c r="G97" i="3"/>
  <c r="E94" i="3"/>
  <c r="D94" i="3"/>
  <c r="C94" i="3"/>
  <c r="G91" i="3"/>
  <c r="F91" i="3"/>
  <c r="G90" i="3"/>
  <c r="E87" i="3"/>
  <c r="D87" i="3"/>
  <c r="C87" i="3"/>
  <c r="G84" i="3"/>
  <c r="F84" i="3"/>
  <c r="F83" i="3"/>
  <c r="G83" i="3"/>
  <c r="D80" i="3"/>
  <c r="C80" i="3"/>
  <c r="F77" i="3"/>
  <c r="G77" i="3"/>
  <c r="E80" i="3"/>
  <c r="D73" i="3"/>
  <c r="C73" i="3"/>
  <c r="G71" i="3"/>
  <c r="F71" i="3"/>
  <c r="G70" i="3"/>
  <c r="F70" i="3"/>
  <c r="D57" i="3"/>
  <c r="C57" i="3"/>
  <c r="G55" i="3"/>
  <c r="F55" i="3"/>
  <c r="G54" i="3"/>
  <c r="F53" i="3"/>
  <c r="E57" i="3"/>
  <c r="D50" i="3"/>
  <c r="C50" i="3"/>
  <c r="G48" i="3"/>
  <c r="F48" i="3"/>
  <c r="G47" i="3"/>
  <c r="F47" i="3"/>
  <c r="E50" i="3"/>
  <c r="D43" i="3"/>
  <c r="C43" i="3"/>
  <c r="M41" i="3"/>
  <c r="G40" i="3"/>
  <c r="F40" i="3"/>
  <c r="L39" i="3"/>
  <c r="F39" i="3"/>
  <c r="F43" i="3" s="1"/>
  <c r="E43" i="3"/>
  <c r="D36" i="3"/>
  <c r="C36" i="3"/>
  <c r="G33" i="3"/>
  <c r="F33" i="3"/>
  <c r="E36" i="3"/>
  <c r="D29" i="3"/>
  <c r="C29" i="3"/>
  <c r="G27" i="3"/>
  <c r="F27" i="3"/>
  <c r="G26" i="3"/>
  <c r="F26" i="3"/>
  <c r="M25" i="3"/>
  <c r="F25" i="3"/>
  <c r="F29" i="3" s="1"/>
  <c r="E29" i="3"/>
  <c r="D22" i="3"/>
  <c r="C22" i="3"/>
  <c r="J21" i="3"/>
  <c r="J22" i="3" s="1"/>
  <c r="J23" i="3" s="1"/>
  <c r="J25" i="3" s="1"/>
  <c r="G20" i="3"/>
  <c r="F20" i="3"/>
  <c r="G19" i="3"/>
  <c r="F19" i="3"/>
  <c r="L18" i="3"/>
  <c r="L19" i="3" s="1"/>
  <c r="E22" i="3"/>
  <c r="S15" i="3"/>
  <c r="S16" i="3" s="1"/>
  <c r="R15" i="3"/>
  <c r="R16" i="3" s="1"/>
  <c r="S17" i="3" s="1"/>
  <c r="M15" i="3"/>
  <c r="D15" i="3"/>
  <c r="C15" i="3"/>
  <c r="I14" i="3"/>
  <c r="G13" i="3"/>
  <c r="F13" i="3"/>
  <c r="G12" i="3"/>
  <c r="F12" i="3"/>
  <c r="F11" i="3"/>
  <c r="E15" i="3"/>
  <c r="M7" i="3"/>
  <c r="E77" i="2"/>
  <c r="E54" i="2"/>
  <c r="E169" i="2"/>
  <c r="E136" i="2"/>
  <c r="E76" i="2"/>
  <c r="E104" i="2"/>
  <c r="E97" i="2"/>
  <c r="E90" i="2"/>
  <c r="E83" i="2"/>
  <c r="E69" i="2"/>
  <c r="E53" i="2"/>
  <c r="E46" i="2"/>
  <c r="E39" i="2"/>
  <c r="E32" i="2"/>
  <c r="F15" i="3" l="1"/>
  <c r="F104" i="3"/>
  <c r="F108" i="3" s="1"/>
  <c r="C191" i="3"/>
  <c r="L201" i="3"/>
  <c r="G36" i="4"/>
  <c r="F80" i="4"/>
  <c r="G57" i="4"/>
  <c r="G101" i="3"/>
  <c r="G87" i="3"/>
  <c r="G108" i="3"/>
  <c r="D191" i="3"/>
  <c r="F191" i="4"/>
  <c r="G191" i="4"/>
  <c r="E118" i="4"/>
  <c r="F153" i="3"/>
  <c r="G94" i="3"/>
  <c r="F87" i="3"/>
  <c r="F36" i="3"/>
  <c r="G11" i="3"/>
  <c r="G15" i="3" s="1"/>
  <c r="F18" i="3"/>
  <c r="F22" i="3" s="1"/>
  <c r="G25" i="3"/>
  <c r="G29" i="3" s="1"/>
  <c r="G32" i="3"/>
  <c r="G36" i="3" s="1"/>
  <c r="G39" i="3"/>
  <c r="G43" i="3" s="1"/>
  <c r="G46" i="3"/>
  <c r="G50" i="3" s="1"/>
  <c r="G53" i="3"/>
  <c r="G57" i="3" s="1"/>
  <c r="F54" i="3"/>
  <c r="F57" i="3" s="1"/>
  <c r="F69" i="3"/>
  <c r="F73" i="3" s="1"/>
  <c r="E73" i="3"/>
  <c r="E191" i="3" s="1"/>
  <c r="F76" i="3"/>
  <c r="F80" i="3" s="1"/>
  <c r="G136" i="3"/>
  <c r="G153" i="3" s="1"/>
  <c r="F169" i="3"/>
  <c r="F190" i="3" s="1"/>
  <c r="G18" i="3"/>
  <c r="G22" i="3" s="1"/>
  <c r="G76" i="3"/>
  <c r="G80" i="3" s="1"/>
  <c r="G169" i="3"/>
  <c r="G190" i="3" s="1"/>
  <c r="E18" i="2"/>
  <c r="G191" i="3" l="1"/>
  <c r="F191" i="3"/>
  <c r="E118" i="3"/>
  <c r="E190" i="2"/>
  <c r="D190" i="2"/>
  <c r="C190" i="2"/>
  <c r="G188" i="2"/>
  <c r="F188" i="2"/>
  <c r="G187" i="2"/>
  <c r="F187" i="2"/>
  <c r="G184" i="2"/>
  <c r="F184" i="2"/>
  <c r="G183" i="2"/>
  <c r="F183" i="2"/>
  <c r="G180" i="2"/>
  <c r="F180" i="2"/>
  <c r="G176" i="2"/>
  <c r="F176" i="2"/>
  <c r="G174" i="2"/>
  <c r="F174" i="2"/>
  <c r="G173" i="2"/>
  <c r="F173" i="2"/>
  <c r="G172" i="2"/>
  <c r="F172" i="2"/>
  <c r="I171" i="2"/>
  <c r="G171" i="2"/>
  <c r="F171" i="2"/>
  <c r="G170" i="2"/>
  <c r="F170" i="2"/>
  <c r="I169" i="2"/>
  <c r="G169" i="2"/>
  <c r="F169" i="2"/>
  <c r="G168" i="2"/>
  <c r="F168" i="2"/>
  <c r="F190" i="2" s="1"/>
  <c r="E153" i="2"/>
  <c r="D153" i="2"/>
  <c r="C153" i="2"/>
  <c r="G145" i="2"/>
  <c r="F145" i="2"/>
  <c r="G144" i="2"/>
  <c r="F144" i="2"/>
  <c r="G143" i="2"/>
  <c r="F143" i="2"/>
  <c r="G142" i="2"/>
  <c r="F142" i="2"/>
  <c r="G140" i="2"/>
  <c r="F140" i="2"/>
  <c r="J137" i="2"/>
  <c r="G137" i="2"/>
  <c r="F137" i="2"/>
  <c r="G136" i="2"/>
  <c r="F136" i="2"/>
  <c r="G133" i="2"/>
  <c r="F133" i="2"/>
  <c r="G128" i="2"/>
  <c r="F128" i="2"/>
  <c r="F153" i="2" s="1"/>
  <c r="E115" i="2"/>
  <c r="D115" i="2"/>
  <c r="C115" i="2"/>
  <c r="G112" i="2"/>
  <c r="F112" i="2"/>
  <c r="G111" i="2"/>
  <c r="F111" i="2"/>
  <c r="F115" i="2" s="1"/>
  <c r="F108" i="2"/>
  <c r="E108" i="2"/>
  <c r="D108" i="2"/>
  <c r="C108" i="2"/>
  <c r="G105" i="2"/>
  <c r="F105" i="2"/>
  <c r="G104" i="2"/>
  <c r="G108" i="2" s="1"/>
  <c r="F104" i="2"/>
  <c r="E101" i="2"/>
  <c r="D101" i="2"/>
  <c r="C101" i="2"/>
  <c r="G98" i="2"/>
  <c r="F98" i="2"/>
  <c r="G97" i="2"/>
  <c r="F97" i="2"/>
  <c r="F101" i="2" s="1"/>
  <c r="E94" i="2"/>
  <c r="D94" i="2"/>
  <c r="C94" i="2"/>
  <c r="G91" i="2"/>
  <c r="F91" i="2"/>
  <c r="G90" i="2"/>
  <c r="G94" i="2" s="1"/>
  <c r="F90" i="2"/>
  <c r="F94" i="2" s="1"/>
  <c r="E87" i="2"/>
  <c r="D87" i="2"/>
  <c r="C87" i="2"/>
  <c r="G84" i="2"/>
  <c r="F84" i="2"/>
  <c r="G83" i="2"/>
  <c r="G87" i="2" s="1"/>
  <c r="F83" i="2"/>
  <c r="F87" i="2" s="1"/>
  <c r="F80" i="2"/>
  <c r="E80" i="2"/>
  <c r="D80" i="2"/>
  <c r="C80" i="2"/>
  <c r="G77" i="2"/>
  <c r="F77" i="2"/>
  <c r="G76" i="2"/>
  <c r="F76" i="2"/>
  <c r="E73" i="2"/>
  <c r="D73" i="2"/>
  <c r="C73" i="2"/>
  <c r="G71" i="2"/>
  <c r="F71" i="2"/>
  <c r="G70" i="2"/>
  <c r="F70" i="2"/>
  <c r="G69" i="2"/>
  <c r="G73" i="2" s="1"/>
  <c r="F69" i="2"/>
  <c r="E57" i="2"/>
  <c r="D57" i="2"/>
  <c r="C57" i="2"/>
  <c r="G55" i="2"/>
  <c r="F55" i="2"/>
  <c r="G54" i="2"/>
  <c r="F54" i="2"/>
  <c r="G53" i="2"/>
  <c r="G57" i="2" s="1"/>
  <c r="F53" i="2"/>
  <c r="E50" i="2"/>
  <c r="D50" i="2"/>
  <c r="C50" i="2"/>
  <c r="G48" i="2"/>
  <c r="F48" i="2"/>
  <c r="G47" i="2"/>
  <c r="F47" i="2"/>
  <c r="G46" i="2"/>
  <c r="G50" i="2" s="1"/>
  <c r="F46" i="2"/>
  <c r="F50" i="2" s="1"/>
  <c r="E43" i="2"/>
  <c r="D43" i="2"/>
  <c r="C43" i="2"/>
  <c r="M41" i="2"/>
  <c r="G40" i="2"/>
  <c r="F40" i="2"/>
  <c r="L39" i="2"/>
  <c r="G39" i="2"/>
  <c r="F39" i="2"/>
  <c r="E36" i="2"/>
  <c r="D36" i="2"/>
  <c r="C36" i="2"/>
  <c r="G33" i="2"/>
  <c r="F33" i="2"/>
  <c r="G32" i="2"/>
  <c r="F32" i="2"/>
  <c r="F36" i="2" s="1"/>
  <c r="E29" i="2"/>
  <c r="D29" i="2"/>
  <c r="C29" i="2"/>
  <c r="G27" i="2"/>
  <c r="F27" i="2"/>
  <c r="G26" i="2"/>
  <c r="F26" i="2"/>
  <c r="M25" i="2"/>
  <c r="G25" i="2"/>
  <c r="F25" i="2"/>
  <c r="E22" i="2"/>
  <c r="D22" i="2"/>
  <c r="C22" i="2"/>
  <c r="J21" i="2"/>
  <c r="J22" i="2" s="1"/>
  <c r="J23" i="2" s="1"/>
  <c r="J25" i="2" s="1"/>
  <c r="G20" i="2"/>
  <c r="F20" i="2"/>
  <c r="G19" i="2"/>
  <c r="F19" i="2"/>
  <c r="L18" i="2"/>
  <c r="L19" i="2" s="1"/>
  <c r="G18" i="2"/>
  <c r="F18" i="2"/>
  <c r="F22" i="2" s="1"/>
  <c r="S15" i="2"/>
  <c r="S16" i="2" s="1"/>
  <c r="R15" i="2"/>
  <c r="R16" i="2" s="1"/>
  <c r="S17" i="2" s="1"/>
  <c r="M15" i="2"/>
  <c r="E15" i="2"/>
  <c r="D15" i="2"/>
  <c r="C15" i="2"/>
  <c r="I14" i="2"/>
  <c r="G13" i="2"/>
  <c r="F13" i="2"/>
  <c r="G12" i="2"/>
  <c r="F12" i="2"/>
  <c r="G11" i="2"/>
  <c r="G15" i="2" s="1"/>
  <c r="F11" i="2"/>
  <c r="M7" i="2"/>
  <c r="G115" i="2" l="1"/>
  <c r="C191" i="2"/>
  <c r="G29" i="2"/>
  <c r="F57" i="2"/>
  <c r="G101" i="2"/>
  <c r="D191" i="2"/>
  <c r="G80" i="2"/>
  <c r="F73" i="2"/>
  <c r="G43" i="2"/>
  <c r="G36" i="2"/>
  <c r="F29" i="2"/>
  <c r="G22" i="2"/>
  <c r="F15" i="2"/>
  <c r="G190" i="2"/>
  <c r="G153" i="2"/>
  <c r="F43" i="2"/>
  <c r="E191" i="2"/>
  <c r="C190" i="1"/>
  <c r="C153" i="1"/>
  <c r="F191" i="2" l="1"/>
  <c r="G191" i="2"/>
  <c r="E29" i="1" l="1"/>
  <c r="F25" i="1"/>
  <c r="F26" i="1"/>
  <c r="F27" i="1"/>
  <c r="D35" i="8" l="1"/>
  <c r="G35" i="8"/>
  <c r="F35" i="8"/>
  <c r="E35" i="8"/>
  <c r="C35" i="8"/>
  <c r="B354" i="14" l="1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C335" i="14"/>
  <c r="C354" i="14" s="1"/>
  <c r="D334" i="14"/>
  <c r="D333" i="14"/>
  <c r="D332" i="14"/>
  <c r="D331" i="14"/>
  <c r="D330" i="14"/>
  <c r="D329" i="14"/>
  <c r="D328" i="14"/>
  <c r="D327" i="14"/>
  <c r="D326" i="14"/>
  <c r="D325" i="14"/>
  <c r="D324" i="14"/>
  <c r="B305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C286" i="14"/>
  <c r="C305" i="14" s="1"/>
  <c r="D285" i="14"/>
  <c r="D284" i="14"/>
  <c r="D283" i="14"/>
  <c r="D282" i="14"/>
  <c r="D281" i="14"/>
  <c r="D280" i="14"/>
  <c r="D279" i="14"/>
  <c r="D278" i="14"/>
  <c r="D277" i="14"/>
  <c r="D276" i="14"/>
  <c r="D275" i="14"/>
  <c r="B256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C237" i="14"/>
  <c r="C256" i="14" s="1"/>
  <c r="D236" i="14"/>
  <c r="D235" i="14"/>
  <c r="D234" i="14"/>
  <c r="D233" i="14"/>
  <c r="D232" i="14"/>
  <c r="D231" i="14"/>
  <c r="D230" i="14"/>
  <c r="D229" i="14"/>
  <c r="D228" i="14"/>
  <c r="D227" i="14"/>
  <c r="D226" i="14"/>
  <c r="F157" i="14"/>
  <c r="C140" i="14"/>
  <c r="D30" i="15"/>
  <c r="D29" i="15"/>
  <c r="D28" i="15"/>
  <c r="D27" i="15"/>
  <c r="D26" i="15"/>
  <c r="D23" i="15"/>
  <c r="D22" i="15"/>
  <c r="D21" i="15"/>
  <c r="C24" i="15"/>
  <c r="D24" i="15" s="1"/>
  <c r="H9" i="18"/>
  <c r="B6" i="18"/>
  <c r="B4" i="18"/>
  <c r="B3" i="18"/>
  <c r="B2" i="18"/>
  <c r="I105" i="17"/>
  <c r="D237" i="14" l="1"/>
  <c r="D335" i="14"/>
  <c r="D354" i="14" s="1"/>
  <c r="D286" i="14"/>
  <c r="D305" i="14" s="1"/>
  <c r="D256" i="14"/>
  <c r="B11" i="18"/>
  <c r="I124" i="17"/>
  <c r="I122" i="17"/>
  <c r="E227" i="17"/>
  <c r="E215" i="17"/>
  <c r="E213" i="17"/>
  <c r="D211" i="17"/>
  <c r="D212" i="17" s="1"/>
  <c r="D213" i="17" s="1"/>
  <c r="E209" i="17"/>
  <c r="I205" i="17"/>
  <c r="L202" i="17"/>
  <c r="L201" i="17"/>
  <c r="E193" i="17"/>
  <c r="E189" i="17"/>
  <c r="C189" i="17"/>
  <c r="D188" i="17"/>
  <c r="F187" i="17"/>
  <c r="D187" i="17"/>
  <c r="G187" i="17" s="1"/>
  <c r="G186" i="17"/>
  <c r="F186" i="17"/>
  <c r="F185" i="17"/>
  <c r="D185" i="17"/>
  <c r="G185" i="17" s="1"/>
  <c r="G184" i="17"/>
  <c r="F184" i="17"/>
  <c r="F183" i="17"/>
  <c r="D183" i="17"/>
  <c r="F182" i="17"/>
  <c r="D182" i="17"/>
  <c r="G182" i="17" s="1"/>
  <c r="F181" i="17"/>
  <c r="D181" i="17"/>
  <c r="G181" i="17" s="1"/>
  <c r="F180" i="17"/>
  <c r="D180" i="17"/>
  <c r="F179" i="17"/>
  <c r="D179" i="17"/>
  <c r="G179" i="17" s="1"/>
  <c r="F178" i="17"/>
  <c r="D178" i="17"/>
  <c r="G178" i="17" s="1"/>
  <c r="G177" i="17"/>
  <c r="F177" i="17"/>
  <c r="I176" i="17"/>
  <c r="G176" i="17"/>
  <c r="F176" i="17"/>
  <c r="G175" i="17"/>
  <c r="F175" i="17"/>
  <c r="I174" i="17"/>
  <c r="F174" i="17"/>
  <c r="D174" i="17"/>
  <c r="D189" i="17" s="1"/>
  <c r="G173" i="17"/>
  <c r="F173" i="17"/>
  <c r="C158" i="17"/>
  <c r="G157" i="17"/>
  <c r="F156" i="17"/>
  <c r="D156" i="17"/>
  <c r="G156" i="17" s="1"/>
  <c r="F155" i="17"/>
  <c r="G154" i="17"/>
  <c r="F154" i="17"/>
  <c r="F153" i="17"/>
  <c r="D153" i="17"/>
  <c r="G153" i="17" s="1"/>
  <c r="F152" i="17"/>
  <c r="D152" i="17"/>
  <c r="G152" i="17" s="1"/>
  <c r="G151" i="17"/>
  <c r="F151" i="17"/>
  <c r="F150" i="17"/>
  <c r="D150" i="17"/>
  <c r="G150" i="17" s="1"/>
  <c r="F149" i="17"/>
  <c r="G148" i="17"/>
  <c r="F148" i="17"/>
  <c r="F147" i="17"/>
  <c r="D147" i="17"/>
  <c r="F146" i="17"/>
  <c r="D146" i="17"/>
  <c r="J145" i="17"/>
  <c r="G145" i="17"/>
  <c r="F145" i="17"/>
  <c r="F144" i="17"/>
  <c r="D144" i="17"/>
  <c r="G144" i="17" s="1"/>
  <c r="F143" i="17"/>
  <c r="D143" i="17"/>
  <c r="F142" i="17"/>
  <c r="D142" i="17"/>
  <c r="G142" i="17" s="1"/>
  <c r="I141" i="17"/>
  <c r="F141" i="17"/>
  <c r="G140" i="17"/>
  <c r="F140" i="17"/>
  <c r="I139" i="17"/>
  <c r="G139" i="17"/>
  <c r="F139" i="17"/>
  <c r="G138" i="17"/>
  <c r="F138" i="17"/>
  <c r="F137" i="17"/>
  <c r="F136" i="17"/>
  <c r="E135" i="17"/>
  <c r="E158" i="17" s="1"/>
  <c r="I134" i="17"/>
  <c r="I135" i="17" s="1"/>
  <c r="F133" i="17"/>
  <c r="F132" i="17"/>
  <c r="F131" i="17"/>
  <c r="D131" i="17"/>
  <c r="F130" i="17"/>
  <c r="D130" i="17"/>
  <c r="F129" i="17"/>
  <c r="D129" i="17"/>
  <c r="F128" i="17"/>
  <c r="D128" i="17"/>
  <c r="G128" i="17" s="1"/>
  <c r="E118" i="17"/>
  <c r="E115" i="17"/>
  <c r="C115" i="17"/>
  <c r="F112" i="17"/>
  <c r="D112" i="17"/>
  <c r="D115" i="17" s="1"/>
  <c r="G111" i="17"/>
  <c r="F111" i="17"/>
  <c r="F115" i="17" s="1"/>
  <c r="E108" i="17"/>
  <c r="C108" i="17"/>
  <c r="F105" i="17"/>
  <c r="D105" i="17"/>
  <c r="G105" i="17" s="1"/>
  <c r="F104" i="17"/>
  <c r="F108" i="17" s="1"/>
  <c r="D104" i="17"/>
  <c r="G104" i="17" s="1"/>
  <c r="G108" i="17" s="1"/>
  <c r="E101" i="17"/>
  <c r="C101" i="17"/>
  <c r="F98" i="17"/>
  <c r="D98" i="17"/>
  <c r="F97" i="17"/>
  <c r="F101" i="17" s="1"/>
  <c r="D97" i="17"/>
  <c r="G97" i="17" s="1"/>
  <c r="E94" i="17"/>
  <c r="C94" i="17"/>
  <c r="F91" i="17"/>
  <c r="D91" i="17"/>
  <c r="G91" i="17" s="1"/>
  <c r="F90" i="17"/>
  <c r="F94" i="17" s="1"/>
  <c r="D90" i="17"/>
  <c r="G90" i="17" s="1"/>
  <c r="G94" i="17" s="1"/>
  <c r="E87" i="17"/>
  <c r="C87" i="17"/>
  <c r="F84" i="17"/>
  <c r="D84" i="17"/>
  <c r="F83" i="17"/>
  <c r="F87" i="17" s="1"/>
  <c r="D83" i="17"/>
  <c r="G83" i="17" s="1"/>
  <c r="E80" i="17"/>
  <c r="C80" i="17"/>
  <c r="F77" i="17"/>
  <c r="D77" i="17"/>
  <c r="G77" i="17" s="1"/>
  <c r="F76" i="17"/>
  <c r="F80" i="17" s="1"/>
  <c r="D76" i="17"/>
  <c r="G76" i="17" s="1"/>
  <c r="G80" i="17" s="1"/>
  <c r="E73" i="17"/>
  <c r="C73" i="17"/>
  <c r="F71" i="17"/>
  <c r="D71" i="17"/>
  <c r="F70" i="17"/>
  <c r="D70" i="17"/>
  <c r="G70" i="17" s="1"/>
  <c r="M69" i="17"/>
  <c r="F69" i="17"/>
  <c r="F73" i="17" s="1"/>
  <c r="D69" i="17"/>
  <c r="G69" i="17" s="1"/>
  <c r="E59" i="17"/>
  <c r="E57" i="17"/>
  <c r="C57" i="17"/>
  <c r="G55" i="17"/>
  <c r="F55" i="17"/>
  <c r="F54" i="17"/>
  <c r="D54" i="17"/>
  <c r="F53" i="17"/>
  <c r="D53" i="17"/>
  <c r="G53" i="17" s="1"/>
  <c r="E50" i="17"/>
  <c r="C50" i="17"/>
  <c r="G48" i="17"/>
  <c r="F48" i="17"/>
  <c r="F47" i="17"/>
  <c r="D47" i="17"/>
  <c r="G47" i="17" s="1"/>
  <c r="F46" i="17"/>
  <c r="D46" i="17"/>
  <c r="D202" i="17" s="1"/>
  <c r="E43" i="17"/>
  <c r="C43" i="17"/>
  <c r="M41" i="17"/>
  <c r="F40" i="17"/>
  <c r="D40" i="17"/>
  <c r="G40" i="17" s="1"/>
  <c r="L39" i="17"/>
  <c r="F39" i="17"/>
  <c r="D39" i="17"/>
  <c r="G39" i="17" s="1"/>
  <c r="G43" i="17" s="1"/>
  <c r="E36" i="17"/>
  <c r="C36" i="17"/>
  <c r="F33" i="17"/>
  <c r="D33" i="17"/>
  <c r="G33" i="17" s="1"/>
  <c r="F32" i="17"/>
  <c r="F36" i="17" s="1"/>
  <c r="D32" i="17"/>
  <c r="G32" i="17" s="1"/>
  <c r="G36" i="17" s="1"/>
  <c r="E29" i="17"/>
  <c r="C29" i="17"/>
  <c r="G27" i="17"/>
  <c r="F27" i="17"/>
  <c r="F26" i="17"/>
  <c r="D26" i="17"/>
  <c r="M25" i="17"/>
  <c r="F25" i="17"/>
  <c r="F29" i="17" s="1"/>
  <c r="D25" i="17"/>
  <c r="G25" i="17" s="1"/>
  <c r="E22" i="17"/>
  <c r="C22" i="17"/>
  <c r="J21" i="17"/>
  <c r="J22" i="17" s="1"/>
  <c r="J23" i="17" s="1"/>
  <c r="J25" i="17" s="1"/>
  <c r="G20" i="17"/>
  <c r="F20" i="17"/>
  <c r="F19" i="17"/>
  <c r="D19" i="17"/>
  <c r="G19" i="17" s="1"/>
  <c r="L18" i="17"/>
  <c r="L19" i="17" s="1"/>
  <c r="F18" i="17"/>
  <c r="F22" i="17" s="1"/>
  <c r="D18" i="17"/>
  <c r="S15" i="17"/>
  <c r="S16" i="17" s="1"/>
  <c r="R15" i="17"/>
  <c r="R16" i="17" s="1"/>
  <c r="M15" i="17"/>
  <c r="E15" i="17"/>
  <c r="C15" i="17"/>
  <c r="I14" i="17"/>
  <c r="G13" i="17"/>
  <c r="F13" i="17"/>
  <c r="F12" i="17"/>
  <c r="D12" i="17"/>
  <c r="G12" i="17" s="1"/>
  <c r="F11" i="17"/>
  <c r="F15" i="17" s="1"/>
  <c r="D11" i="17"/>
  <c r="D15" i="17" s="1"/>
  <c r="M7" i="17"/>
  <c r="F43" i="17" l="1"/>
  <c r="F50" i="17"/>
  <c r="F57" i="17"/>
  <c r="G158" i="17"/>
  <c r="F189" i="17"/>
  <c r="L204" i="17"/>
  <c r="D29" i="17"/>
  <c r="C190" i="17"/>
  <c r="I123" i="17"/>
  <c r="I125" i="17" s="1"/>
  <c r="I126" i="17" s="1"/>
  <c r="D22" i="17"/>
  <c r="D43" i="17"/>
  <c r="D57" i="17"/>
  <c r="D73" i="17"/>
  <c r="D87" i="17"/>
  <c r="D101" i="17"/>
  <c r="E190" i="17"/>
  <c r="E211" i="17" s="1"/>
  <c r="E210" i="17"/>
  <c r="S17" i="17"/>
  <c r="G206" i="17"/>
  <c r="G11" i="17"/>
  <c r="G15" i="17" s="1"/>
  <c r="G18" i="17"/>
  <c r="G22" i="17" s="1"/>
  <c r="D36" i="17"/>
  <c r="D50" i="17"/>
  <c r="D80" i="17"/>
  <c r="D94" i="17"/>
  <c r="D108" i="17"/>
  <c r="G112" i="17"/>
  <c r="G115" i="17" s="1"/>
  <c r="F135" i="17"/>
  <c r="F158" i="17" s="1"/>
  <c r="D158" i="17"/>
  <c r="G174" i="17"/>
  <c r="G189" i="17" s="1"/>
  <c r="D193" i="17"/>
  <c r="G26" i="17"/>
  <c r="G29" i="17" s="1"/>
  <c r="G46" i="17"/>
  <c r="G50" i="17" s="1"/>
  <c r="G54" i="17"/>
  <c r="G57" i="17" s="1"/>
  <c r="G71" i="17"/>
  <c r="G73" i="17" s="1"/>
  <c r="G84" i="17"/>
  <c r="G87" i="17" s="1"/>
  <c r="G98" i="17"/>
  <c r="G101" i="17" s="1"/>
  <c r="F190" i="17" l="1"/>
  <c r="D190" i="17"/>
  <c r="D203" i="17" s="1"/>
  <c r="D209" i="17" s="1"/>
  <c r="G190" i="17"/>
  <c r="G3" i="15" l="1"/>
  <c r="G5" i="15" s="1"/>
  <c r="L198" i="1" l="1"/>
  <c r="I14" i="1" l="1"/>
  <c r="F223" i="16" l="1"/>
  <c r="F219" i="16"/>
  <c r="E218" i="16"/>
  <c r="C207" i="16"/>
  <c r="F205" i="16"/>
  <c r="F204" i="16"/>
  <c r="F203" i="16"/>
  <c r="G202" i="16"/>
  <c r="F202" i="16"/>
  <c r="G201" i="16"/>
  <c r="F201" i="16"/>
  <c r="F200" i="16"/>
  <c r="E200" i="16"/>
  <c r="D200" i="16"/>
  <c r="G200" i="16" s="1"/>
  <c r="G199" i="16"/>
  <c r="F199" i="16"/>
  <c r="G198" i="16"/>
  <c r="F198" i="16"/>
  <c r="G197" i="16"/>
  <c r="F197" i="16"/>
  <c r="E196" i="16"/>
  <c r="I195" i="16"/>
  <c r="F195" i="16"/>
  <c r="D195" i="16"/>
  <c r="G195" i="16" s="1"/>
  <c r="E194" i="16"/>
  <c r="F194" i="16" s="1"/>
  <c r="D194" i="16"/>
  <c r="G193" i="16"/>
  <c r="F193" i="16"/>
  <c r="G192" i="16"/>
  <c r="F192" i="16"/>
  <c r="K191" i="16"/>
  <c r="G191" i="16"/>
  <c r="F191" i="16"/>
  <c r="I190" i="16"/>
  <c r="G190" i="16"/>
  <c r="F190" i="16"/>
  <c r="G189" i="16"/>
  <c r="F189" i="16"/>
  <c r="E188" i="16"/>
  <c r="G188" i="16" s="1"/>
  <c r="E187" i="16"/>
  <c r="D187" i="16"/>
  <c r="E175" i="16"/>
  <c r="F174" i="16"/>
  <c r="D172" i="16"/>
  <c r="C172" i="16"/>
  <c r="G171" i="16"/>
  <c r="E169" i="16"/>
  <c r="F169" i="16" s="1"/>
  <c r="G168" i="16"/>
  <c r="F168" i="16"/>
  <c r="E167" i="16"/>
  <c r="G167" i="16" s="1"/>
  <c r="G166" i="16"/>
  <c r="F166" i="16"/>
  <c r="G165" i="16"/>
  <c r="F165" i="16"/>
  <c r="G164" i="16"/>
  <c r="F164" i="16"/>
  <c r="G163" i="16"/>
  <c r="F163" i="16"/>
  <c r="G162" i="16"/>
  <c r="F162" i="16"/>
  <c r="F161" i="16"/>
  <c r="F160" i="16"/>
  <c r="E160" i="16"/>
  <c r="G160" i="16" s="1"/>
  <c r="G159" i="16"/>
  <c r="F159" i="16"/>
  <c r="I158" i="16"/>
  <c r="G158" i="16"/>
  <c r="F158" i="16"/>
  <c r="E157" i="16"/>
  <c r="G157" i="16" s="1"/>
  <c r="G156" i="16"/>
  <c r="F156" i="16"/>
  <c r="G155" i="16"/>
  <c r="F155" i="16"/>
  <c r="G154" i="16"/>
  <c r="F154" i="16"/>
  <c r="E153" i="16"/>
  <c r="F153" i="16" s="1"/>
  <c r="G152" i="16"/>
  <c r="F152" i="16"/>
  <c r="E151" i="16"/>
  <c r="G151" i="16" s="1"/>
  <c r="G150" i="16"/>
  <c r="F150" i="16"/>
  <c r="E149" i="16"/>
  <c r="F149" i="16" s="1"/>
  <c r="E148" i="16"/>
  <c r="G148" i="16" s="1"/>
  <c r="E147" i="16"/>
  <c r="F147" i="16" s="1"/>
  <c r="G146" i="16"/>
  <c r="F146" i="16"/>
  <c r="F145" i="16"/>
  <c r="E145" i="16"/>
  <c r="G145" i="16" s="1"/>
  <c r="E144" i="16"/>
  <c r="F144" i="16" s="1"/>
  <c r="E143" i="16"/>
  <c r="G143" i="16" s="1"/>
  <c r="E142" i="16"/>
  <c r="G142" i="16" s="1"/>
  <c r="J141" i="16"/>
  <c r="J142" i="16" s="1"/>
  <c r="F141" i="16"/>
  <c r="E141" i="16"/>
  <c r="G141" i="16" s="1"/>
  <c r="G140" i="16"/>
  <c r="F140" i="16"/>
  <c r="L139" i="16"/>
  <c r="J139" i="16"/>
  <c r="E139" i="16"/>
  <c r="F139" i="16" s="1"/>
  <c r="E138" i="16"/>
  <c r="G138" i="16" s="1"/>
  <c r="G137" i="16"/>
  <c r="F137" i="16"/>
  <c r="J136" i="16"/>
  <c r="E136" i="16"/>
  <c r="F136" i="16" s="1"/>
  <c r="L135" i="16"/>
  <c r="L136" i="16" s="1"/>
  <c r="G135" i="16"/>
  <c r="F135" i="16"/>
  <c r="E134" i="16"/>
  <c r="F134" i="16" s="1"/>
  <c r="F133" i="16"/>
  <c r="E133" i="16"/>
  <c r="G133" i="16" s="1"/>
  <c r="E132" i="16"/>
  <c r="F132" i="16" s="1"/>
  <c r="E131" i="16"/>
  <c r="G131" i="16" s="1"/>
  <c r="G130" i="16"/>
  <c r="F130" i="16"/>
  <c r="D117" i="16"/>
  <c r="C117" i="16"/>
  <c r="F114" i="16"/>
  <c r="E114" i="16"/>
  <c r="G114" i="16" s="1"/>
  <c r="G113" i="16"/>
  <c r="G117" i="16" s="1"/>
  <c r="F113" i="16"/>
  <c r="C110" i="16"/>
  <c r="E107" i="16"/>
  <c r="G107" i="16" s="1"/>
  <c r="E106" i="16"/>
  <c r="F106" i="16" s="1"/>
  <c r="D106" i="16"/>
  <c r="D110" i="16" s="1"/>
  <c r="C103" i="16"/>
  <c r="E100" i="16"/>
  <c r="G100" i="16" s="1"/>
  <c r="E99" i="16"/>
  <c r="F99" i="16" s="1"/>
  <c r="D99" i="16"/>
  <c r="D103" i="16" s="1"/>
  <c r="C96" i="16"/>
  <c r="E93" i="16"/>
  <c r="G93" i="16" s="1"/>
  <c r="E92" i="16"/>
  <c r="F92" i="16" s="1"/>
  <c r="D92" i="16"/>
  <c r="D96" i="16" s="1"/>
  <c r="C89" i="16"/>
  <c r="E86" i="16"/>
  <c r="G86" i="16" s="1"/>
  <c r="E85" i="16"/>
  <c r="F85" i="16" s="1"/>
  <c r="D85" i="16"/>
  <c r="D89" i="16" s="1"/>
  <c r="J82" i="16"/>
  <c r="C82" i="16"/>
  <c r="N81" i="16"/>
  <c r="N83" i="16" s="1"/>
  <c r="L81" i="16"/>
  <c r="L83" i="16" s="1"/>
  <c r="J81" i="16"/>
  <c r="J83" i="16" s="1"/>
  <c r="E79" i="16"/>
  <c r="G79" i="16" s="1"/>
  <c r="E78" i="16"/>
  <c r="F78" i="16" s="1"/>
  <c r="D78" i="16"/>
  <c r="D82" i="16" s="1"/>
  <c r="O77" i="16"/>
  <c r="M76" i="16"/>
  <c r="M81" i="16" s="1"/>
  <c r="C75" i="16"/>
  <c r="G73" i="16"/>
  <c r="F73" i="16"/>
  <c r="E72" i="16"/>
  <c r="G72" i="16" s="1"/>
  <c r="E71" i="16"/>
  <c r="F71" i="16" s="1"/>
  <c r="D71" i="16"/>
  <c r="D75" i="16" s="1"/>
  <c r="C57" i="16"/>
  <c r="G55" i="16"/>
  <c r="F55" i="16"/>
  <c r="E54" i="16"/>
  <c r="G54" i="16" s="1"/>
  <c r="E53" i="16"/>
  <c r="F53" i="16" s="1"/>
  <c r="D53" i="16"/>
  <c r="D57" i="16" s="1"/>
  <c r="I51" i="16"/>
  <c r="I53" i="16" s="1"/>
  <c r="C50" i="16"/>
  <c r="G48" i="16"/>
  <c r="F48" i="16"/>
  <c r="E47" i="16"/>
  <c r="F47" i="16" s="1"/>
  <c r="M46" i="16"/>
  <c r="E46" i="16"/>
  <c r="F46" i="16" s="1"/>
  <c r="F50" i="16" s="1"/>
  <c r="D46" i="16"/>
  <c r="C43" i="16"/>
  <c r="M41" i="16"/>
  <c r="I41" i="16"/>
  <c r="E40" i="16"/>
  <c r="F40" i="16" s="1"/>
  <c r="L39" i="16"/>
  <c r="I39" i="16"/>
  <c r="F39" i="16"/>
  <c r="F43" i="16" s="1"/>
  <c r="E39" i="16"/>
  <c r="E43" i="16" s="1"/>
  <c r="D39" i="16"/>
  <c r="G39" i="16" s="1"/>
  <c r="I38" i="16"/>
  <c r="I40" i="16" s="1"/>
  <c r="C36" i="16"/>
  <c r="E33" i="16"/>
  <c r="G33" i="16" s="1"/>
  <c r="E32" i="16"/>
  <c r="F32" i="16" s="1"/>
  <c r="D32" i="16"/>
  <c r="D36" i="16" s="1"/>
  <c r="C29" i="16"/>
  <c r="G27" i="16"/>
  <c r="F27" i="16"/>
  <c r="E26" i="16"/>
  <c r="G26" i="16" s="1"/>
  <c r="M25" i="16"/>
  <c r="E25" i="16"/>
  <c r="F25" i="16" s="1"/>
  <c r="D25" i="16"/>
  <c r="D29" i="16" s="1"/>
  <c r="C22" i="16"/>
  <c r="J21" i="16"/>
  <c r="J22" i="16" s="1"/>
  <c r="J23" i="16" s="1"/>
  <c r="J25" i="16" s="1"/>
  <c r="G20" i="16"/>
  <c r="F20" i="16"/>
  <c r="E19" i="16"/>
  <c r="G19" i="16" s="1"/>
  <c r="L18" i="16"/>
  <c r="L19" i="16" s="1"/>
  <c r="E18" i="16"/>
  <c r="E22" i="16" s="1"/>
  <c r="D18" i="16"/>
  <c r="D22" i="16" s="1"/>
  <c r="S15" i="16"/>
  <c r="S16" i="16" s="1"/>
  <c r="R15" i="16"/>
  <c r="R16" i="16" s="1"/>
  <c r="M15" i="16"/>
  <c r="C15" i="16"/>
  <c r="F13" i="16"/>
  <c r="D13" i="16"/>
  <c r="E12" i="16"/>
  <c r="G12" i="16" s="1"/>
  <c r="E11" i="16"/>
  <c r="D11" i="16"/>
  <c r="M7" i="16"/>
  <c r="D63" i="15"/>
  <c r="D62" i="15"/>
  <c r="D61" i="15"/>
  <c r="D60" i="15"/>
  <c r="B59" i="15"/>
  <c r="D59" i="15" s="1"/>
  <c r="D58" i="15"/>
  <c r="D57" i="15"/>
  <c r="C57" i="15"/>
  <c r="D50" i="15"/>
  <c r="D56" i="15"/>
  <c r="C55" i="15"/>
  <c r="D55" i="15" s="1"/>
  <c r="D54" i="15"/>
  <c r="D53" i="15"/>
  <c r="D52" i="15"/>
  <c r="D51" i="15"/>
  <c r="D49" i="15"/>
  <c r="D48" i="15"/>
  <c r="C47" i="15"/>
  <c r="D47" i="15" s="1"/>
  <c r="G33" i="15"/>
  <c r="I32" i="15"/>
  <c r="D31" i="15"/>
  <c r="D20" i="15"/>
  <c r="G19" i="15"/>
  <c r="G20" i="15" s="1"/>
  <c r="D19" i="15"/>
  <c r="D18" i="15"/>
  <c r="I17" i="15"/>
  <c r="G17" i="15"/>
  <c r="D17" i="15"/>
  <c r="D16" i="15"/>
  <c r="D15" i="15"/>
  <c r="G14" i="15"/>
  <c r="D14" i="15"/>
  <c r="I13" i="15"/>
  <c r="I14" i="15" s="1"/>
  <c r="D12" i="15"/>
  <c r="D11" i="15"/>
  <c r="D10" i="15"/>
  <c r="D9" i="15"/>
  <c r="D8" i="15"/>
  <c r="D214" i="14"/>
  <c r="D210" i="14"/>
  <c r="C209" i="14"/>
  <c r="D197" i="14"/>
  <c r="G196" i="14"/>
  <c r="G197" i="14" s="1"/>
  <c r="D196" i="14"/>
  <c r="D195" i="14"/>
  <c r="F194" i="14"/>
  <c r="D194" i="14"/>
  <c r="D193" i="14"/>
  <c r="C192" i="14"/>
  <c r="G191" i="14"/>
  <c r="G192" i="14" s="1"/>
  <c r="D191" i="14"/>
  <c r="B190" i="14"/>
  <c r="D190" i="14" s="1"/>
  <c r="F189" i="14"/>
  <c r="B189" i="14"/>
  <c r="D189" i="14" s="1"/>
  <c r="C188" i="14"/>
  <c r="C211" i="14" s="1"/>
  <c r="C213" i="14" s="1"/>
  <c r="B188" i="14"/>
  <c r="H187" i="14"/>
  <c r="D187" i="14"/>
  <c r="F186" i="14"/>
  <c r="C186" i="14"/>
  <c r="B186" i="14"/>
  <c r="H185" i="14"/>
  <c r="C185" i="14"/>
  <c r="D184" i="14"/>
  <c r="D183" i="14"/>
  <c r="H182" i="14"/>
  <c r="D182" i="14"/>
  <c r="F181" i="14"/>
  <c r="D181" i="14"/>
  <c r="D180" i="14"/>
  <c r="F179" i="14"/>
  <c r="B179" i="14"/>
  <c r="D179" i="14" s="1"/>
  <c r="B178" i="14"/>
  <c r="G159" i="14"/>
  <c r="I158" i="14"/>
  <c r="D157" i="14"/>
  <c r="D156" i="14"/>
  <c r="D154" i="14"/>
  <c r="D153" i="14"/>
  <c r="D152" i="14"/>
  <c r="D151" i="14"/>
  <c r="D150" i="14"/>
  <c r="D149" i="14"/>
  <c r="D147" i="14"/>
  <c r="D146" i="14"/>
  <c r="D145" i="14"/>
  <c r="D144" i="14"/>
  <c r="D143" i="14"/>
  <c r="D142" i="14"/>
  <c r="D141" i="14"/>
  <c r="G140" i="14"/>
  <c r="G141" i="14" s="1"/>
  <c r="D140" i="14"/>
  <c r="D139" i="14"/>
  <c r="I138" i="14"/>
  <c r="G138" i="14"/>
  <c r="D138" i="14"/>
  <c r="D137" i="14"/>
  <c r="D136" i="14"/>
  <c r="G135" i="14"/>
  <c r="D135" i="14"/>
  <c r="I134" i="14"/>
  <c r="I135" i="14" s="1"/>
  <c r="D133" i="14"/>
  <c r="D132" i="14"/>
  <c r="D131" i="14"/>
  <c r="D130" i="14"/>
  <c r="D129" i="14"/>
  <c r="B117" i="14"/>
  <c r="C114" i="14"/>
  <c r="D113" i="14"/>
  <c r="B108" i="14"/>
  <c r="B110" i="14" s="1"/>
  <c r="D107" i="14"/>
  <c r="C106" i="14"/>
  <c r="B103" i="14"/>
  <c r="D100" i="14"/>
  <c r="C99" i="14"/>
  <c r="B96" i="14"/>
  <c r="D93" i="14"/>
  <c r="C92" i="14"/>
  <c r="C86" i="14"/>
  <c r="C85" i="14"/>
  <c r="B85" i="14"/>
  <c r="G82" i="14"/>
  <c r="K81" i="14"/>
  <c r="K83" i="14" s="1"/>
  <c r="I81" i="14"/>
  <c r="I83" i="14" s="1"/>
  <c r="G81" i="14"/>
  <c r="B79" i="14"/>
  <c r="B82" i="14" s="1"/>
  <c r="C78" i="14"/>
  <c r="C82" i="14" s="1"/>
  <c r="L77" i="14"/>
  <c r="J76" i="14"/>
  <c r="J81" i="14" s="1"/>
  <c r="D73" i="14"/>
  <c r="D72" i="14"/>
  <c r="C71" i="14"/>
  <c r="C75" i="14" s="1"/>
  <c r="B71" i="14"/>
  <c r="B75" i="14" s="1"/>
  <c r="B57" i="14"/>
  <c r="D55" i="14"/>
  <c r="D54" i="14"/>
  <c r="C53" i="14"/>
  <c r="D53" i="14" s="1"/>
  <c r="F51" i="14"/>
  <c r="F53" i="14" s="1"/>
  <c r="D50" i="14"/>
  <c r="B50" i="14"/>
  <c r="J46" i="14"/>
  <c r="C46" i="14"/>
  <c r="C50" i="14" s="1"/>
  <c r="B43" i="14"/>
  <c r="J41" i="14"/>
  <c r="F41" i="14"/>
  <c r="D40" i="14"/>
  <c r="I39" i="14"/>
  <c r="F39" i="14"/>
  <c r="C39" i="14"/>
  <c r="C43" i="14" s="1"/>
  <c r="F38" i="14"/>
  <c r="F40" i="14" s="1"/>
  <c r="D34" i="14"/>
  <c r="D33" i="14"/>
  <c r="C32" i="14"/>
  <c r="C36" i="14" s="1"/>
  <c r="B32" i="14"/>
  <c r="B36" i="14" s="1"/>
  <c r="B29" i="14"/>
  <c r="D27" i="14"/>
  <c r="D26" i="14"/>
  <c r="J25" i="14"/>
  <c r="C25" i="14"/>
  <c r="B22" i="14"/>
  <c r="G21" i="14"/>
  <c r="G22" i="14" s="1"/>
  <c r="G23" i="14" s="1"/>
  <c r="G25" i="14" s="1"/>
  <c r="D20" i="14"/>
  <c r="D19" i="14"/>
  <c r="I18" i="14"/>
  <c r="I19" i="14" s="1"/>
  <c r="C18" i="14"/>
  <c r="C22" i="14" s="1"/>
  <c r="P15" i="14"/>
  <c r="P16" i="14" s="1"/>
  <c r="O15" i="14"/>
  <c r="O16" i="14" s="1"/>
  <c r="J15" i="14"/>
  <c r="B13" i="14"/>
  <c r="C12" i="14"/>
  <c r="B12" i="14"/>
  <c r="C11" i="14"/>
  <c r="C15" i="14" s="1"/>
  <c r="J7" i="14"/>
  <c r="S17" i="16" l="1"/>
  <c r="F18" i="16"/>
  <c r="I42" i="16"/>
  <c r="I43" i="16" s="1"/>
  <c r="F151" i="16"/>
  <c r="F42" i="14"/>
  <c r="F43" i="14" s="1"/>
  <c r="C89" i="14"/>
  <c r="E15" i="16"/>
  <c r="F12" i="16"/>
  <c r="F19" i="16"/>
  <c r="F26" i="16"/>
  <c r="F54" i="16"/>
  <c r="F57" i="16" s="1"/>
  <c r="E57" i="16"/>
  <c r="F72" i="16"/>
  <c r="F75" i="16" s="1"/>
  <c r="F86" i="16"/>
  <c r="F89" i="16" s="1"/>
  <c r="F100" i="16"/>
  <c r="F103" i="16" s="1"/>
  <c r="C208" i="16"/>
  <c r="I188" i="16"/>
  <c r="E220" i="16"/>
  <c r="E222" i="16" s="1"/>
  <c r="E223" i="16" s="1"/>
  <c r="B199" i="14"/>
  <c r="D15" i="16"/>
  <c r="F22" i="16"/>
  <c r="F29" i="16"/>
  <c r="F33" i="16"/>
  <c r="F36" i="16" s="1"/>
  <c r="F79" i="16"/>
  <c r="F82" i="16" s="1"/>
  <c r="F93" i="16"/>
  <c r="F96" i="16" s="1"/>
  <c r="F107" i="16"/>
  <c r="F110" i="16" s="1"/>
  <c r="F117" i="16"/>
  <c r="E117" i="16"/>
  <c r="F131" i="16"/>
  <c r="F138" i="16"/>
  <c r="F142" i="16"/>
  <c r="F143" i="16"/>
  <c r="F148" i="16"/>
  <c r="F157" i="16"/>
  <c r="F167" i="16"/>
  <c r="E207" i="16"/>
  <c r="F188" i="16"/>
  <c r="F196" i="16"/>
  <c r="D12" i="14"/>
  <c r="D57" i="14"/>
  <c r="D85" i="14"/>
  <c r="G11" i="16"/>
  <c r="G13" i="16"/>
  <c r="G25" i="16"/>
  <c r="G29" i="16" s="1"/>
  <c r="E29" i="16"/>
  <c r="G32" i="16"/>
  <c r="G36" i="16" s="1"/>
  <c r="E36" i="16"/>
  <c r="G40" i="16"/>
  <c r="G43" i="16" s="1"/>
  <c r="D43" i="16"/>
  <c r="G46" i="16"/>
  <c r="G47" i="16"/>
  <c r="E50" i="16"/>
  <c r="G71" i="16"/>
  <c r="G75" i="16" s="1"/>
  <c r="E75" i="16"/>
  <c r="G78" i="16"/>
  <c r="G82" i="16" s="1"/>
  <c r="E82" i="16"/>
  <c r="G85" i="16"/>
  <c r="G89" i="16" s="1"/>
  <c r="E89" i="16"/>
  <c r="G92" i="16"/>
  <c r="G96" i="16" s="1"/>
  <c r="E96" i="16"/>
  <c r="G99" i="16"/>
  <c r="G103" i="16" s="1"/>
  <c r="E103" i="16"/>
  <c r="G106" i="16"/>
  <c r="G110" i="16" s="1"/>
  <c r="E110" i="16"/>
  <c r="G132" i="16"/>
  <c r="G134" i="16"/>
  <c r="G136" i="16"/>
  <c r="G139" i="16"/>
  <c r="G144" i="16"/>
  <c r="G147" i="16"/>
  <c r="G149" i="16"/>
  <c r="G153" i="16"/>
  <c r="G169" i="16"/>
  <c r="E172" i="16"/>
  <c r="G187" i="16"/>
  <c r="G194" i="16"/>
  <c r="D207" i="16"/>
  <c r="F11" i="16"/>
  <c r="F15" i="16" s="1"/>
  <c r="G18" i="16"/>
  <c r="G22" i="16" s="1"/>
  <c r="G53" i="16"/>
  <c r="G57" i="16" s="1"/>
  <c r="F187" i="16"/>
  <c r="G196" i="16"/>
  <c r="C64" i="15"/>
  <c r="C33" i="15"/>
  <c r="B64" i="15"/>
  <c r="B69" i="15" s="1"/>
  <c r="D64" i="15"/>
  <c r="D13" i="15"/>
  <c r="D33" i="15" s="1"/>
  <c r="B33" i="15"/>
  <c r="D39" i="14"/>
  <c r="D43" i="14" s="1"/>
  <c r="D18" i="14"/>
  <c r="D22" i="14" s="1"/>
  <c r="C199" i="14"/>
  <c r="D186" i="14"/>
  <c r="D188" i="14"/>
  <c r="D155" i="14"/>
  <c r="D185" i="14"/>
  <c r="G83" i="14"/>
  <c r="B15" i="14"/>
  <c r="D86" i="14"/>
  <c r="D134" i="14"/>
  <c r="D148" i="14"/>
  <c r="D192" i="14"/>
  <c r="P17" i="14"/>
  <c r="C214" i="14"/>
  <c r="G198" i="14"/>
  <c r="D11" i="14"/>
  <c r="D25" i="14"/>
  <c r="D29" i="14" s="1"/>
  <c r="C29" i="14"/>
  <c r="D32" i="14"/>
  <c r="D36" i="14" s="1"/>
  <c r="C57" i="14"/>
  <c r="B89" i="14"/>
  <c r="D92" i="14"/>
  <c r="D96" i="14" s="1"/>
  <c r="C96" i="14"/>
  <c r="D99" i="14"/>
  <c r="D103" i="14" s="1"/>
  <c r="C103" i="14"/>
  <c r="D106" i="14"/>
  <c r="D110" i="14" s="1"/>
  <c r="C110" i="14"/>
  <c r="D114" i="14"/>
  <c r="D117" i="14" s="1"/>
  <c r="C117" i="14"/>
  <c r="B159" i="14"/>
  <c r="C159" i="14"/>
  <c r="D178" i="14"/>
  <c r="D13" i="14"/>
  <c r="D71" i="14"/>
  <c r="D75" i="14" s="1"/>
  <c r="D78" i="14"/>
  <c r="D79" i="14"/>
  <c r="F172" i="16" l="1"/>
  <c r="D89" i="14"/>
  <c r="E208" i="16"/>
  <c r="G50" i="16"/>
  <c r="G15" i="16"/>
  <c r="D199" i="14"/>
  <c r="B200" i="14"/>
  <c r="F207" i="16"/>
  <c r="F208" i="16" s="1"/>
  <c r="D208" i="16"/>
  <c r="G172" i="16"/>
  <c r="G207" i="16"/>
  <c r="D159" i="14"/>
  <c r="D82" i="14"/>
  <c r="C200" i="14"/>
  <c r="D15" i="14"/>
  <c r="G208" i="16" l="1"/>
  <c r="D200" i="14"/>
  <c r="K6" i="8" l="1"/>
  <c r="I5" i="8"/>
  <c r="K9" i="8" l="1"/>
  <c r="D190" i="1"/>
  <c r="D153" i="1"/>
  <c r="D115" i="1"/>
  <c r="D108" i="1"/>
  <c r="D101" i="1"/>
  <c r="D94" i="1"/>
  <c r="D87" i="1"/>
  <c r="D80" i="1"/>
  <c r="D73" i="1"/>
  <c r="D57" i="1"/>
  <c r="D43" i="1"/>
  <c r="D36" i="1"/>
  <c r="D29" i="1"/>
  <c r="D22" i="1"/>
  <c r="D15" i="1"/>
  <c r="D50" i="1" l="1"/>
  <c r="D191" i="1"/>
  <c r="I171" i="1"/>
  <c r="I169" i="1"/>
  <c r="F11" i="1"/>
  <c r="S15" i="1" l="1"/>
  <c r="S16" i="1" s="1"/>
  <c r="R15" i="1"/>
  <c r="R16" i="1" s="1"/>
  <c r="M25" i="1"/>
  <c r="L39" i="1"/>
  <c r="M41" i="1"/>
  <c r="M15" i="1"/>
  <c r="M7" i="1"/>
  <c r="L18" i="1"/>
  <c r="L19" i="1" s="1"/>
  <c r="J21" i="1"/>
  <c r="J22" i="1" s="1"/>
  <c r="J23" i="1" s="1"/>
  <c r="J25" i="1" s="1"/>
  <c r="S17" i="1" l="1"/>
  <c r="G188" i="1" l="1"/>
  <c r="G187" i="1"/>
  <c r="G184" i="1"/>
  <c r="G183" i="1"/>
  <c r="G180" i="1"/>
  <c r="G176" i="1"/>
  <c r="G174" i="1"/>
  <c r="G173" i="1"/>
  <c r="G172" i="1"/>
  <c r="G171" i="1"/>
  <c r="G170" i="1"/>
  <c r="G169" i="1"/>
  <c r="G168" i="1"/>
  <c r="F188" i="1"/>
  <c r="F187" i="1"/>
  <c r="F184" i="1"/>
  <c r="F183" i="1"/>
  <c r="F180" i="1"/>
  <c r="F176" i="1"/>
  <c r="F174" i="1"/>
  <c r="F173" i="1"/>
  <c r="F172" i="1"/>
  <c r="F171" i="1"/>
  <c r="F170" i="1"/>
  <c r="F169" i="1"/>
  <c r="F168" i="1"/>
  <c r="E190" i="1"/>
  <c r="G152" i="1"/>
  <c r="G151" i="1"/>
  <c r="G145" i="1"/>
  <c r="G144" i="1"/>
  <c r="G143" i="1"/>
  <c r="G142" i="1"/>
  <c r="G140" i="1"/>
  <c r="G137" i="1"/>
  <c r="G136" i="1"/>
  <c r="G133" i="1"/>
  <c r="G128" i="1"/>
  <c r="F151" i="1"/>
  <c r="F145" i="1"/>
  <c r="F144" i="1"/>
  <c r="F143" i="1"/>
  <c r="F142" i="1"/>
  <c r="F140" i="1"/>
  <c r="F137" i="1"/>
  <c r="F136" i="1"/>
  <c r="F133" i="1"/>
  <c r="F128" i="1"/>
  <c r="E153" i="1"/>
  <c r="E80" i="1"/>
  <c r="E115" i="1"/>
  <c r="F190" i="1" l="1"/>
  <c r="G190" i="1"/>
  <c r="E158" i="1"/>
  <c r="G153" i="1"/>
  <c r="F153" i="1"/>
  <c r="J137" i="1"/>
  <c r="E108" i="1"/>
  <c r="E101" i="1"/>
  <c r="C115" i="1"/>
  <c r="C108" i="1"/>
  <c r="C101" i="1"/>
  <c r="C94" i="1"/>
  <c r="E94" i="1"/>
  <c r="C87" i="1"/>
  <c r="E87" i="1"/>
  <c r="C80" i="1"/>
  <c r="C73" i="1"/>
  <c r="E73" i="1"/>
  <c r="C57" i="1"/>
  <c r="E57" i="1"/>
  <c r="C50" i="1"/>
  <c r="E50" i="1"/>
  <c r="C43" i="1"/>
  <c r="E43" i="1"/>
  <c r="C36" i="1"/>
  <c r="E36" i="1"/>
  <c r="E22" i="1"/>
  <c r="G112" i="1"/>
  <c r="F112" i="1"/>
  <c r="G111" i="1"/>
  <c r="G115" i="1" s="1"/>
  <c r="F111" i="1"/>
  <c r="G105" i="1"/>
  <c r="F105" i="1"/>
  <c r="G104" i="1"/>
  <c r="F104" i="1"/>
  <c r="G98" i="1"/>
  <c r="F98" i="1"/>
  <c r="G97" i="1"/>
  <c r="G101" i="1" s="1"/>
  <c r="F97" i="1"/>
  <c r="G91" i="1"/>
  <c r="F91" i="1"/>
  <c r="G90" i="1"/>
  <c r="F90" i="1"/>
  <c r="G84" i="1"/>
  <c r="F84" i="1"/>
  <c r="G83" i="1"/>
  <c r="G87" i="1" s="1"/>
  <c r="F83" i="1"/>
  <c r="G77" i="1"/>
  <c r="F77" i="1"/>
  <c r="G76" i="1"/>
  <c r="F76" i="1"/>
  <c r="G71" i="1"/>
  <c r="F71" i="1"/>
  <c r="G70" i="1"/>
  <c r="F70" i="1"/>
  <c r="G69" i="1"/>
  <c r="F69" i="1"/>
  <c r="G55" i="1"/>
  <c r="F55" i="1"/>
  <c r="G54" i="1"/>
  <c r="F54" i="1"/>
  <c r="G53" i="1"/>
  <c r="F53" i="1"/>
  <c r="G48" i="1"/>
  <c r="F48" i="1"/>
  <c r="G47" i="1"/>
  <c r="F47" i="1"/>
  <c r="G46" i="1"/>
  <c r="F46" i="1"/>
  <c r="G40" i="1"/>
  <c r="F40" i="1"/>
  <c r="G39" i="1"/>
  <c r="F39" i="1"/>
  <c r="G33" i="1"/>
  <c r="F33" i="1"/>
  <c r="G32" i="1"/>
  <c r="F32" i="1"/>
  <c r="G27" i="1"/>
  <c r="G26" i="1"/>
  <c r="G25" i="1"/>
  <c r="G20" i="1"/>
  <c r="F20" i="1"/>
  <c r="G19" i="1"/>
  <c r="F19" i="1"/>
  <c r="G18" i="1"/>
  <c r="F18" i="1"/>
  <c r="C29" i="1"/>
  <c r="E15" i="1"/>
  <c r="C22" i="1"/>
  <c r="C15" i="1"/>
  <c r="G13" i="1"/>
  <c r="G11" i="1"/>
  <c r="F13" i="1"/>
  <c r="F12" i="1"/>
  <c r="C191" i="1" l="1"/>
  <c r="F101" i="1"/>
  <c r="G43" i="1"/>
  <c r="F80" i="1"/>
  <c r="F108" i="1"/>
  <c r="F87" i="1"/>
  <c r="G108" i="1"/>
  <c r="G94" i="1"/>
  <c r="G36" i="1"/>
  <c r="G80" i="1"/>
  <c r="E191" i="1"/>
  <c r="F94" i="1"/>
  <c r="F115" i="1"/>
  <c r="F43" i="1"/>
  <c r="F36" i="1"/>
  <c r="G22" i="1"/>
  <c r="G29" i="1"/>
  <c r="G57" i="1"/>
  <c r="G73" i="1"/>
  <c r="F22" i="1"/>
  <c r="F29" i="1"/>
  <c r="F50" i="1"/>
  <c r="F57" i="1"/>
  <c r="F73" i="1"/>
  <c r="G50" i="1"/>
  <c r="F15" i="1"/>
  <c r="G12" i="1"/>
  <c r="G15" i="1" s="1"/>
  <c r="G191" i="1" l="1"/>
  <c r="F191" i="1"/>
</calcChain>
</file>

<file path=xl/sharedStrings.xml><?xml version="1.0" encoding="utf-8"?>
<sst xmlns="http://schemas.openxmlformats.org/spreadsheetml/2006/main" count="3661" uniqueCount="276">
  <si>
    <t>Local Government Unit-Tolosa, Leyte</t>
  </si>
  <si>
    <t>STATEMENT OF APPROPRIATIONS, ALLOTMENTS, OBLIGATIONS AND BALANCES</t>
  </si>
  <si>
    <t>GENERAL FUND</t>
  </si>
  <si>
    <t>CODE</t>
  </si>
  <si>
    <t>FUNCTION/PROGRAM/PROJECT</t>
  </si>
  <si>
    <t>APPROPRIATIONS</t>
  </si>
  <si>
    <t>ALLOTMENTS</t>
  </si>
  <si>
    <t xml:space="preserve">OBLIGATIONS </t>
  </si>
  <si>
    <t>BALANCES OF</t>
  </si>
  <si>
    <t>GENERAL PUBLIC SERVICES</t>
  </si>
  <si>
    <t>Office of the Municipal Mayor</t>
  </si>
  <si>
    <t>Personal Services</t>
  </si>
  <si>
    <t>Maintenance and Other Operating Expenses</t>
  </si>
  <si>
    <t xml:space="preserve">Capital Outlay </t>
  </si>
  <si>
    <t>Financial Expenses</t>
  </si>
  <si>
    <t>Office of the Municipal Planning &amp; Development Coordinator</t>
  </si>
  <si>
    <t>Office of the Municipal Registrar</t>
  </si>
  <si>
    <t>Office of the Municipal Budget Officer</t>
  </si>
  <si>
    <t>Office of the Municipal Accountant</t>
  </si>
  <si>
    <t>Office of the Municipal Treasurer</t>
  </si>
  <si>
    <t>Office of the Municipal Assessor</t>
  </si>
  <si>
    <t>General Services Office</t>
  </si>
  <si>
    <t>Office of the Municipal Health Officer</t>
  </si>
  <si>
    <t>Municipal Social Welfare and Development Office</t>
  </si>
  <si>
    <t>Office of the Municipal Agriculturist</t>
  </si>
  <si>
    <t>Office of the Municipal Engineer</t>
  </si>
  <si>
    <t>Municipal Business Enterprise</t>
  </si>
  <si>
    <t>Total</t>
  </si>
  <si>
    <t>Office of the Sangguniang Bayan</t>
  </si>
  <si>
    <t>20% DF</t>
  </si>
  <si>
    <t>Maintenance of Gymnasium</t>
  </si>
  <si>
    <t>Tourism and Other Cultural Activities</t>
  </si>
  <si>
    <t>Clean and Green Program</t>
  </si>
  <si>
    <t>Sports Development</t>
  </si>
  <si>
    <t>Maintenance of Peace and Order</t>
  </si>
  <si>
    <t>Municipal Volunteer Program</t>
  </si>
  <si>
    <t>Support to GTZ Programs</t>
  </si>
  <si>
    <t>Local Product Promotion</t>
  </si>
  <si>
    <t>MDC Operation</t>
  </si>
  <si>
    <t>Revision of CLUP</t>
  </si>
  <si>
    <t>BIDANI (BMIS/CBMS)</t>
  </si>
  <si>
    <t>Support to Brgy. Health Programs</t>
  </si>
  <si>
    <t>Nutrition Program</t>
  </si>
  <si>
    <t>Population Program</t>
  </si>
  <si>
    <t>Bloodletting</t>
  </si>
  <si>
    <t>Support to Day Care Program</t>
  </si>
  <si>
    <t>Capability Building for DCWs</t>
  </si>
  <si>
    <t>Other Mandated Social Services Programs</t>
  </si>
  <si>
    <t>Livelihood Skills Training</t>
  </si>
  <si>
    <t>Drainage Maintenance for Barangays</t>
  </si>
  <si>
    <t>Agricultural Extension Program (Cap. Bldg.)</t>
  </si>
  <si>
    <t>Coastal Fishery Resource Mgt. Program</t>
  </si>
  <si>
    <t>Support to Fishery Alliance</t>
  </si>
  <si>
    <t>Non-Office Expenditures</t>
  </si>
  <si>
    <t>5% Calamity Fund</t>
  </si>
  <si>
    <t>Aid to Barangays</t>
  </si>
  <si>
    <t>Death Indemnity</t>
  </si>
  <si>
    <t>GAD</t>
  </si>
  <si>
    <t>Monetization of Leave Credits (Lumpsum)</t>
  </si>
  <si>
    <t>Other Personnel Benefits (Lumpsum)</t>
  </si>
  <si>
    <t>PHILHEALTH Pang Masa</t>
  </si>
  <si>
    <t>Volunteerism Program</t>
  </si>
  <si>
    <t>Equity for the Construction of</t>
  </si>
  <si>
    <t>Administrative Building</t>
  </si>
  <si>
    <t>Grand Total</t>
  </si>
  <si>
    <t>Prepared by:</t>
  </si>
  <si>
    <t>LOIDA A. PALANA</t>
  </si>
  <si>
    <t>Municipal Budget Officer</t>
  </si>
  <si>
    <t>LGU</t>
  </si>
  <si>
    <t>Provincial Aid</t>
  </si>
  <si>
    <t>Tindas</t>
  </si>
  <si>
    <t>20,000 Provincial Aid</t>
  </si>
  <si>
    <t>34,000 solicitation</t>
  </si>
  <si>
    <t>Mayor</t>
  </si>
  <si>
    <t>Food</t>
  </si>
  <si>
    <t>sounds and lights</t>
  </si>
  <si>
    <t>Rowena</t>
  </si>
  <si>
    <t>trust solicitation</t>
  </si>
  <si>
    <t>subsidy candidates and honorarium</t>
  </si>
  <si>
    <t>music and mix</t>
  </si>
  <si>
    <t>men in stripes</t>
  </si>
  <si>
    <t>Harana</t>
  </si>
  <si>
    <t>Kelly</t>
  </si>
  <si>
    <t>boquet</t>
  </si>
  <si>
    <t>honorarium de paz</t>
  </si>
  <si>
    <t>Repair &amp; Maint. of Municipal Vehicles &amp; Equip</t>
  </si>
  <si>
    <t>Maintenance of Mun. Dumpsite</t>
  </si>
  <si>
    <t>Counterpart Fund for Dev. Undertakings/ARcp2</t>
  </si>
  <si>
    <t>Barangayan/Gui-os Brangay</t>
  </si>
  <si>
    <t>LUB-BDP Updating</t>
  </si>
  <si>
    <t>Development of ICT &amp; Cec Operation</t>
  </si>
  <si>
    <t>Const. of Municipal Bldg.</t>
  </si>
  <si>
    <t>Counterpart Fund for Brgy. Priority P/P/As</t>
  </si>
  <si>
    <t>Assessment - Gen. Revision</t>
  </si>
  <si>
    <t>Animal Health Care Management</t>
  </si>
  <si>
    <t>Equity Fund for Dev. Undertakings/Irrigation</t>
  </si>
  <si>
    <t>Infres-Loan Payment</t>
  </si>
  <si>
    <t>Purchase of Medicines and Medical Supplies</t>
  </si>
  <si>
    <t>Capability Building for BHWs</t>
  </si>
  <si>
    <t>Health Reform/Family Health Book</t>
  </si>
  <si>
    <t>Gender and Development</t>
  </si>
  <si>
    <t>Maintenance of Parks and Plaza</t>
  </si>
  <si>
    <t>Maintenance of Mun. /Brgy. Roads</t>
  </si>
  <si>
    <t>BAC Operations</t>
  </si>
  <si>
    <t>Municipal/Brgy. Road Maintenance</t>
  </si>
  <si>
    <t>Municipal Vehicle Maintenance</t>
  </si>
  <si>
    <t>Municipal Gym Rehabilitation</t>
  </si>
  <si>
    <t>Purchase of Jetmatic Pumps</t>
  </si>
  <si>
    <t>Purchase of Multicab (Additional Fund)</t>
  </si>
  <si>
    <t>Purchase of Transformer 50KW</t>
  </si>
  <si>
    <t>mun. bldg. maint.</t>
  </si>
  <si>
    <t>const. of mun. bldg.</t>
  </si>
  <si>
    <t>non-office</t>
  </si>
  <si>
    <t>gym rehab</t>
  </si>
  <si>
    <t>September 2011</t>
  </si>
  <si>
    <t>Terminal Leave Benefits</t>
  </si>
  <si>
    <t>Road M.</t>
  </si>
  <si>
    <t>GTZ</t>
  </si>
  <si>
    <t>mmo</t>
  </si>
  <si>
    <t>mho</t>
  </si>
  <si>
    <t>non-vol</t>
  </si>
  <si>
    <t>Non-bldg.</t>
  </si>
  <si>
    <t>GAD 20%</t>
  </si>
  <si>
    <t>GAD -Non</t>
  </si>
  <si>
    <t>EXPENDITURES</t>
  </si>
  <si>
    <t>ENGR. BEATRIZ B. TANGPUZ</t>
  </si>
  <si>
    <t>Planning Officer 1</t>
  </si>
  <si>
    <t>Noted:</t>
  </si>
  <si>
    <t>ERWIN C. OCANA</t>
  </si>
  <si>
    <t>Municipal Mayor</t>
  </si>
  <si>
    <t>Purchase of 1 set Computer w/ Printer (MSWDO)</t>
  </si>
  <si>
    <t>MHO</t>
  </si>
  <si>
    <t>MSWDO</t>
  </si>
  <si>
    <t>OMA</t>
  </si>
  <si>
    <t>DILG</t>
  </si>
  <si>
    <t>TOTAL</t>
  </si>
  <si>
    <t>SPECIAL EDUCATION  FUND</t>
  </si>
  <si>
    <t>December 2011</t>
  </si>
  <si>
    <t>Tolosa Day</t>
  </si>
  <si>
    <t>Tolo-usa Festival</t>
  </si>
  <si>
    <t>Signal Day</t>
  </si>
  <si>
    <t>Christmas Festival</t>
  </si>
  <si>
    <t>Support to GTZ-NRG</t>
  </si>
  <si>
    <t>Development Planning-NRG</t>
  </si>
  <si>
    <t>Support to Barangay Health Programs</t>
  </si>
  <si>
    <t>Agri/Fisheries Development &amp; Livelihood Projects</t>
  </si>
  <si>
    <t>Agri Extention Program (Cap Bldg.)</t>
  </si>
  <si>
    <t>Product Promotion</t>
  </si>
  <si>
    <t xml:space="preserve"> </t>
  </si>
  <si>
    <t>Counterpart Funds for Infra Projects</t>
  </si>
  <si>
    <t>ps</t>
  </si>
  <si>
    <t>mooe</t>
  </si>
  <si>
    <t>Appropriation</t>
  </si>
  <si>
    <t>Expenditures</t>
  </si>
  <si>
    <t>JANUARY 2012</t>
  </si>
  <si>
    <t>5% GENDER AND DEVELOPMENT UTILIZATION</t>
  </si>
  <si>
    <t>Women's Welfare Program</t>
  </si>
  <si>
    <t>Youth Welfare Program</t>
  </si>
  <si>
    <t>YOLANDA F. CANTOS</t>
  </si>
  <si>
    <t>Social Welfare Assistant</t>
  </si>
  <si>
    <t>5% GAD</t>
  </si>
  <si>
    <t>1% Senior Citizen/PWD</t>
  </si>
  <si>
    <t>1% Local Council for the Protection of Children</t>
  </si>
  <si>
    <t>Election Expenses</t>
  </si>
  <si>
    <t>IEC-Information, Education Campaign</t>
  </si>
  <si>
    <t>Construction of Common Service Facility</t>
  </si>
  <si>
    <t>Search for Outstanding Barangay</t>
  </si>
  <si>
    <t>SWMP-Garbage Collection</t>
  </si>
  <si>
    <t>non 0ffice</t>
  </si>
  <si>
    <t>August 2013</t>
  </si>
  <si>
    <t>BDR</t>
  </si>
  <si>
    <t>Senior</t>
  </si>
  <si>
    <t>PS</t>
  </si>
  <si>
    <t>MOOE</t>
  </si>
  <si>
    <t>SB</t>
  </si>
  <si>
    <t>MACCO</t>
  </si>
  <si>
    <t>Plaza M.</t>
  </si>
  <si>
    <t>FY-2013</t>
  </si>
  <si>
    <t>20% of IRA COMPONENT UTILIZATION (Fourth Quarter)</t>
  </si>
  <si>
    <t>Tourism and other Cultural Activities</t>
  </si>
  <si>
    <t>Development - NRG</t>
  </si>
  <si>
    <t>IEC (Information, Education Campaign</t>
  </si>
  <si>
    <t>Maintenance of Mun./Brgy. Roads</t>
  </si>
  <si>
    <t>InfRES Loan Payment</t>
  </si>
  <si>
    <t>Instructional Materials/Daycare Subsidiy</t>
  </si>
  <si>
    <t>Pantawid Pamilyang Pilipino Program (4Ps)</t>
  </si>
  <si>
    <t>Alternative Learning System/eSkwela</t>
  </si>
  <si>
    <t>Establishment of database (MSWD/MPDO)</t>
  </si>
  <si>
    <t>Database Operation and maintenance</t>
  </si>
  <si>
    <t>Family Week Celebration</t>
  </si>
  <si>
    <t>Medicines for community health &amp; family planning</t>
  </si>
  <si>
    <t>Training of Community Health Team and</t>
  </si>
  <si>
    <t>Brgy. Health Workers</t>
  </si>
  <si>
    <t>Family Health Book</t>
  </si>
  <si>
    <t>Responsible Parenting / seminar</t>
  </si>
  <si>
    <t>BSPO motivators</t>
  </si>
  <si>
    <t>Pre-marriage Counselling/tree planting</t>
  </si>
  <si>
    <t>Assistance of Individuals in Crisis Situtations</t>
  </si>
  <si>
    <t>Capability Building for vegetable production &amp;</t>
  </si>
  <si>
    <t>Nursery Management</t>
  </si>
  <si>
    <t>Survey of Farming Households-participation of women in farming</t>
  </si>
  <si>
    <t>Survey of Fishing Households-role swapping of male and female in fishing</t>
  </si>
  <si>
    <t>Capability Building for farm household mgt.</t>
  </si>
  <si>
    <t>Solid Waste Management Program/MRF/IEC</t>
  </si>
  <si>
    <t>GAD Orientation, Planning and Workshop</t>
  </si>
  <si>
    <t>FY-2013 (Fourth Quarter)</t>
  </si>
  <si>
    <t>June 2014</t>
  </si>
  <si>
    <t>PALMA C. SUYOM</t>
  </si>
  <si>
    <t>Municipal Bookkeeper</t>
  </si>
  <si>
    <t>Rehabilitation of Brgy. Road</t>
  </si>
  <si>
    <t>Tourism Promotion &amp; Development</t>
  </si>
  <si>
    <t>Construction of Tourism/SME Bldg.</t>
  </si>
  <si>
    <t>Local Poverty Reduction Program</t>
  </si>
  <si>
    <t>Solid Waste Management Program</t>
  </si>
  <si>
    <t>Clean &amp; Green Program</t>
  </si>
  <si>
    <t>Drainage Maintenance</t>
  </si>
  <si>
    <t>Counterpart Fund for LPRAP P/P/As</t>
  </si>
  <si>
    <t>CECILIO C. MARILLA</t>
  </si>
  <si>
    <t>MPDC, MDC Secretary</t>
  </si>
  <si>
    <t>Recommending Approval:</t>
  </si>
  <si>
    <t>Chairman, MDC</t>
  </si>
  <si>
    <t>PROPOSED 2015 AIP</t>
  </si>
  <si>
    <t>January 2014</t>
  </si>
  <si>
    <t>Rehabilition of Brgy. Road</t>
  </si>
  <si>
    <t>Tourisim Promotion &amp; Development</t>
  </si>
  <si>
    <t xml:space="preserve">Financial Assistance for Implementation of </t>
  </si>
  <si>
    <t>Kararungan Pambarangay</t>
  </si>
  <si>
    <t>Surveillance of AIDS</t>
  </si>
  <si>
    <t>Legal Services</t>
  </si>
  <si>
    <t>Maintenance of Municipal Building</t>
  </si>
  <si>
    <t>Tourism and Livelihood Building</t>
  </si>
  <si>
    <t>Furnitures and Fixtures for the New</t>
  </si>
  <si>
    <t>Building</t>
  </si>
  <si>
    <t>Construction of PNP Garage</t>
  </si>
  <si>
    <t>February 2014</t>
  </si>
  <si>
    <t>March 2014</t>
  </si>
  <si>
    <t>April 2014</t>
  </si>
  <si>
    <t>May 2014</t>
  </si>
  <si>
    <t>July 2014</t>
  </si>
  <si>
    <t>August 2014</t>
  </si>
  <si>
    <t>September 2014</t>
  </si>
  <si>
    <t>Repair of Malbog Day Care Center</t>
  </si>
  <si>
    <t>Community-Based Monitoring System</t>
  </si>
  <si>
    <t>Rehabilitaion of San Roque Drainage System</t>
  </si>
  <si>
    <t>Purchase of Municipal Vehicle (additional)</t>
  </si>
  <si>
    <t>Processing of documents of the purchase of lot</t>
  </si>
  <si>
    <t>Rehabilitation of San Roque Drainage System</t>
  </si>
  <si>
    <t>December  2014</t>
  </si>
  <si>
    <t>Balance:</t>
  </si>
  <si>
    <t>Non-Office</t>
  </si>
  <si>
    <t xml:space="preserve">Total </t>
  </si>
  <si>
    <t xml:space="preserve">                  </t>
  </si>
  <si>
    <t>October 2014</t>
  </si>
  <si>
    <t>November 2014</t>
  </si>
  <si>
    <t>Infra Development Projects</t>
  </si>
  <si>
    <t>FY-2014</t>
  </si>
  <si>
    <t>As of December  2014</t>
  </si>
  <si>
    <t>I-</t>
  </si>
  <si>
    <t>CURRENT YEAR APPROPRIATIONS</t>
  </si>
  <si>
    <t>SOCIAL SERVICES</t>
  </si>
  <si>
    <t>ECONOMIC DEVELOPMENT</t>
  </si>
  <si>
    <t>OTHER SERVICES</t>
  </si>
  <si>
    <t xml:space="preserve">ENVIRONMENT DEVELOPMENT </t>
  </si>
  <si>
    <t>Republic of the Philippine</t>
  </si>
  <si>
    <t>PROVINCE OF LEYTE</t>
  </si>
  <si>
    <t>GRAND TOTAL</t>
  </si>
  <si>
    <t>Total Current Year Appropriations</t>
  </si>
  <si>
    <t>Total Continuing Appropriations</t>
  </si>
  <si>
    <t>Annex D-2</t>
  </si>
  <si>
    <t>ELEMENTARY SCHOOLS</t>
  </si>
  <si>
    <t>SECONDARY SCHOOLS</t>
  </si>
  <si>
    <t>CONTINUING APPROPRIATIONS</t>
  </si>
  <si>
    <t>iI-</t>
  </si>
  <si>
    <t xml:space="preserve"> TOTAL</t>
  </si>
  <si>
    <t xml:space="preserve">STATUS OF APPROPRIATIONS, ALLOTMENTS AND OBLIGATIONS </t>
  </si>
  <si>
    <t>SPECIAL EDUCATION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</si>
</sst>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[Red]\(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Bookman Old Style"/>
      <family val="1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43" fontId="0" fillId="0" borderId="0" xfId="1" applyFont="1"/>
    <xf numFmtId="43" fontId="0" fillId="0" borderId="4" xfId="1" applyFont="1" applyFill="1" applyBorder="1"/>
    <xf numFmtId="43" fontId="0" fillId="0" borderId="0" xfId="0" applyNumberFormat="1"/>
    <xf numFmtId="0" fontId="0" fillId="0" borderId="4" xfId="0" applyFill="1" applyBorder="1" applyAlignment="1">
      <alignment horizontal="left" indent="3"/>
    </xf>
    <xf numFmtId="0" fontId="0" fillId="0" borderId="4" xfId="0" applyFill="1" applyBorder="1" applyAlignment="1">
      <alignment horizontal="left" indent="5"/>
    </xf>
    <xf numFmtId="43" fontId="0" fillId="0" borderId="3" xfId="1" applyFont="1" applyFill="1" applyBorder="1"/>
    <xf numFmtId="43" fontId="0" fillId="0" borderId="8" xfId="1" applyFont="1" applyFill="1" applyBorder="1"/>
    <xf numFmtId="43" fontId="0" fillId="0" borderId="1" xfId="1" applyFont="1" applyFill="1" applyBorder="1"/>
    <xf numFmtId="43" fontId="0" fillId="0" borderId="6" xfId="1" applyFont="1" applyFill="1" applyBorder="1"/>
    <xf numFmtId="43" fontId="0" fillId="0" borderId="0" xfId="1" applyFont="1" applyFill="1" applyBorder="1"/>
    <xf numFmtId="43" fontId="0" fillId="2" borderId="4" xfId="1" applyFont="1" applyFill="1" applyBorder="1"/>
    <xf numFmtId="43" fontId="0" fillId="0" borderId="0" xfId="1" applyFont="1" applyFill="1"/>
    <xf numFmtId="0" fontId="0" fillId="0" borderId="0" xfId="0" applyFill="1"/>
    <xf numFmtId="43" fontId="0" fillId="0" borderId="0" xfId="0" applyNumberForma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0" fontId="0" fillId="0" borderId="4" xfId="0" applyFill="1" applyBorder="1"/>
    <xf numFmtId="43" fontId="0" fillId="0" borderId="2" xfId="1" applyFont="1" applyFill="1" applyBorder="1"/>
    <xf numFmtId="43" fontId="0" fillId="0" borderId="9" xfId="1" applyFont="1" applyFill="1" applyBorder="1"/>
    <xf numFmtId="43" fontId="0" fillId="0" borderId="10" xfId="1" applyFont="1" applyFill="1" applyBorder="1"/>
    <xf numFmtId="49" fontId="0" fillId="0" borderId="0" xfId="0" applyNumberFormat="1" applyFill="1"/>
    <xf numFmtId="43" fontId="0" fillId="0" borderId="11" xfId="1" applyFont="1" applyFill="1" applyBorder="1"/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" fillId="0" borderId="4" xfId="0" applyFont="1" applyFill="1" applyBorder="1"/>
    <xf numFmtId="0" fontId="0" fillId="0" borderId="4" xfId="0" applyFill="1" applyBorder="1" applyAlignment="1">
      <alignment horizontal="left" indent="1"/>
    </xf>
    <xf numFmtId="0" fontId="2" fillId="0" borderId="1" xfId="0" applyFont="1" applyFill="1" applyBorder="1" applyAlignment="1">
      <alignment horizontal="left" indent="3"/>
    </xf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2" fillId="0" borderId="6" xfId="0" applyFont="1" applyFill="1" applyBorder="1" applyAlignment="1">
      <alignment horizontal="left" indent="3"/>
    </xf>
    <xf numFmtId="43" fontId="0" fillId="0" borderId="7" xfId="1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indent="3"/>
    </xf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left" indent="4"/>
    </xf>
    <xf numFmtId="0" fontId="0" fillId="0" borderId="9" xfId="0" applyFill="1" applyBorder="1"/>
    <xf numFmtId="0" fontId="2" fillId="0" borderId="9" xfId="0" applyFont="1" applyFill="1" applyBorder="1" applyAlignment="1">
      <alignment horizontal="left" indent="5"/>
    </xf>
    <xf numFmtId="0" fontId="2" fillId="0" borderId="0" xfId="0" applyFont="1" applyFill="1"/>
    <xf numFmtId="0" fontId="0" fillId="0" borderId="0" xfId="0" applyFill="1" applyBorder="1"/>
    <xf numFmtId="0" fontId="0" fillId="0" borderId="0" xfId="0" applyFill="1" applyAlignment="1">
      <alignment horizontal="left" indent="3"/>
    </xf>
    <xf numFmtId="0" fontId="0" fillId="3" borderId="4" xfId="0" applyFill="1" applyBorder="1"/>
    <xf numFmtId="43" fontId="0" fillId="3" borderId="4" xfId="1" applyFont="1" applyFill="1" applyBorder="1"/>
    <xf numFmtId="43" fontId="0" fillId="4" borderId="4" xfId="1" applyFont="1" applyFill="1" applyBorder="1"/>
    <xf numFmtId="39" fontId="0" fillId="0" borderId="4" xfId="1" applyNumberFormat="1" applyFont="1" applyFill="1" applyBorder="1"/>
    <xf numFmtId="39" fontId="0" fillId="4" borderId="4" xfId="1" applyNumberFormat="1" applyFont="1" applyFill="1" applyBorder="1"/>
    <xf numFmtId="0" fontId="0" fillId="2" borderId="4" xfId="0" applyFill="1" applyBorder="1"/>
    <xf numFmtId="0" fontId="0" fillId="5" borderId="4" xfId="0" applyFill="1" applyBorder="1"/>
    <xf numFmtId="43" fontId="0" fillId="5" borderId="4" xfId="1" applyFont="1" applyFill="1" applyBorder="1"/>
    <xf numFmtId="9" fontId="0" fillId="0" borderId="0" xfId="1" applyNumberFormat="1" applyFont="1" applyFill="1"/>
    <xf numFmtId="9" fontId="0" fillId="0" borderId="0" xfId="0" applyNumberFormat="1" applyFill="1"/>
    <xf numFmtId="0" fontId="5" fillId="0" borderId="4" xfId="0" applyFont="1" applyFill="1" applyBorder="1" applyAlignment="1">
      <alignment horizontal="left" indent="3"/>
    </xf>
    <xf numFmtId="40" fontId="0" fillId="0" borderId="4" xfId="1" applyNumberFormat="1" applyFont="1" applyFill="1" applyBorder="1"/>
    <xf numFmtId="40" fontId="0" fillId="0" borderId="1" xfId="1" applyNumberFormat="1" applyFont="1" applyFill="1" applyBorder="1"/>
    <xf numFmtId="40" fontId="0" fillId="0" borderId="7" xfId="1" applyNumberFormat="1" applyFont="1" applyFill="1" applyBorder="1"/>
    <xf numFmtId="164" fontId="0" fillId="0" borderId="4" xfId="0" applyNumberFormat="1" applyFill="1" applyBorder="1"/>
    <xf numFmtId="164" fontId="0" fillId="0" borderId="4" xfId="1" applyNumberFormat="1" applyFont="1" applyFill="1" applyBorder="1"/>
    <xf numFmtId="0" fontId="4" fillId="0" borderId="2" xfId="0" applyFont="1" applyFill="1" applyBorder="1"/>
    <xf numFmtId="43" fontId="4" fillId="0" borderId="2" xfId="1" applyFont="1" applyFill="1" applyBorder="1"/>
    <xf numFmtId="0" fontId="4" fillId="0" borderId="4" xfId="0" applyFont="1" applyFill="1" applyBorder="1"/>
    <xf numFmtId="43" fontId="4" fillId="0" borderId="4" xfId="1" applyFont="1" applyFill="1" applyBorder="1"/>
    <xf numFmtId="0" fontId="4" fillId="0" borderId="4" xfId="0" applyFont="1" applyFill="1" applyBorder="1" applyAlignment="1">
      <alignment horizontal="left" indent="2"/>
    </xf>
    <xf numFmtId="0" fontId="4" fillId="0" borderId="4" xfId="0" applyFont="1" applyFill="1" applyBorder="1" applyAlignment="1">
      <alignment horizontal="left"/>
    </xf>
    <xf numFmtId="0" fontId="4" fillId="0" borderId="3" xfId="0" applyFont="1" applyFill="1" applyBorder="1"/>
    <xf numFmtId="43" fontId="4" fillId="0" borderId="3" xfId="1" applyFont="1" applyFill="1" applyBorder="1"/>
    <xf numFmtId="0" fontId="4" fillId="0" borderId="1" xfId="0" applyFont="1" applyFill="1" applyBorder="1"/>
    <xf numFmtId="0" fontId="6" fillId="0" borderId="1" xfId="0" applyFont="1" applyFill="1" applyBorder="1" applyAlignment="1">
      <alignment horizontal="left" indent="3"/>
    </xf>
    <xf numFmtId="43" fontId="4" fillId="0" borderId="1" xfId="1" applyFont="1" applyFill="1" applyBorder="1"/>
    <xf numFmtId="0" fontId="4" fillId="0" borderId="0" xfId="0" applyFont="1"/>
    <xf numFmtId="43" fontId="4" fillId="0" borderId="0" xfId="1" applyFont="1"/>
    <xf numFmtId="43" fontId="7" fillId="0" borderId="0" xfId="1" applyFont="1" applyFill="1"/>
    <xf numFmtId="43" fontId="4" fillId="0" borderId="6" xfId="1" applyFont="1" applyBorder="1"/>
    <xf numFmtId="0" fontId="8" fillId="0" borderId="4" xfId="0" applyFont="1" applyFill="1" applyBorder="1" applyAlignment="1">
      <alignment horizontal="left" indent="1"/>
    </xf>
    <xf numFmtId="43" fontId="0" fillId="6" borderId="4" xfId="1" applyFont="1" applyFill="1" applyBorder="1"/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6"/>
    </xf>
    <xf numFmtId="0" fontId="5" fillId="0" borderId="4" xfId="0" applyFont="1" applyFill="1" applyBorder="1" applyAlignment="1">
      <alignment horizontal="left" indent="5"/>
    </xf>
    <xf numFmtId="0" fontId="0" fillId="0" borderId="4" xfId="0" applyFill="1" applyBorder="1" applyAlignment="1">
      <alignment horizontal="left" indent="4"/>
    </xf>
    <xf numFmtId="0" fontId="10" fillId="0" borderId="4" xfId="0" applyFont="1" applyFill="1" applyBorder="1"/>
    <xf numFmtId="43" fontId="10" fillId="0" borderId="4" xfId="1" applyFont="1" applyFill="1" applyBorder="1"/>
    <xf numFmtId="0" fontId="11" fillId="0" borderId="4" xfId="0" applyFont="1" applyFill="1" applyBorder="1"/>
    <xf numFmtId="43" fontId="11" fillId="0" borderId="4" xfId="1" applyFont="1" applyFill="1" applyBorder="1"/>
    <xf numFmtId="0" fontId="10" fillId="0" borderId="4" xfId="0" applyFont="1" applyFill="1" applyBorder="1" applyAlignment="1">
      <alignment horizontal="left" indent="3"/>
    </xf>
    <xf numFmtId="0" fontId="10" fillId="0" borderId="4" xfId="0" applyFont="1" applyFill="1" applyBorder="1" applyAlignment="1">
      <alignment horizontal="left" indent="4"/>
    </xf>
    <xf numFmtId="0" fontId="11" fillId="0" borderId="4" xfId="0" applyFont="1" applyFill="1" applyBorder="1" applyAlignment="1">
      <alignment horizontal="left"/>
    </xf>
    <xf numFmtId="43" fontId="4" fillId="0" borderId="0" xfId="1" applyFont="1" applyFill="1"/>
    <xf numFmtId="43" fontId="4" fillId="0" borderId="11" xfId="1" applyFont="1" applyFill="1" applyBorder="1"/>
    <xf numFmtId="0" fontId="0" fillId="7" borderId="0" xfId="0" applyFill="1"/>
    <xf numFmtId="0" fontId="0" fillId="7" borderId="2" xfId="0" applyFill="1" applyBorder="1"/>
    <xf numFmtId="0" fontId="0" fillId="7" borderId="4" xfId="0" applyFill="1" applyBorder="1"/>
    <xf numFmtId="43" fontId="0" fillId="7" borderId="4" xfId="1" applyFont="1" applyFill="1" applyBorder="1"/>
    <xf numFmtId="43" fontId="0" fillId="7" borderId="1" xfId="1" applyFont="1" applyFill="1" applyBorder="1"/>
    <xf numFmtId="43" fontId="0" fillId="7" borderId="6" xfId="1" applyFont="1" applyFill="1" applyBorder="1"/>
    <xf numFmtId="43" fontId="0" fillId="7" borderId="0" xfId="1" applyFont="1" applyFill="1" applyBorder="1"/>
    <xf numFmtId="43" fontId="0" fillId="7" borderId="2" xfId="1" applyFont="1" applyFill="1" applyBorder="1"/>
    <xf numFmtId="43" fontId="0" fillId="7" borderId="0" xfId="1" applyFont="1" applyFill="1"/>
    <xf numFmtId="43" fontId="0" fillId="7" borderId="3" xfId="1" applyFont="1" applyFill="1" applyBorder="1"/>
    <xf numFmtId="43" fontId="0" fillId="7" borderId="0" xfId="0" applyNumberFormat="1" applyFill="1"/>
    <xf numFmtId="43" fontId="0" fillId="7" borderId="9" xfId="1" applyFont="1" applyFill="1" applyBorder="1"/>
    <xf numFmtId="0" fontId="2" fillId="0" borderId="4" xfId="0" applyFont="1" applyFill="1" applyBorder="1" applyAlignment="1">
      <alignment horizontal="left" indent="3"/>
    </xf>
    <xf numFmtId="0" fontId="0" fillId="0" borderId="14" xfId="0" applyFill="1" applyBorder="1" applyAlignment="1">
      <alignment horizontal="left"/>
    </xf>
    <xf numFmtId="0" fontId="2" fillId="0" borderId="14" xfId="0" applyFont="1" applyFill="1" applyBorder="1" applyAlignment="1">
      <alignment horizontal="left" indent="3"/>
    </xf>
    <xf numFmtId="43" fontId="0" fillId="0" borderId="14" xfId="1" applyFont="1" applyFill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 indent="1"/>
    </xf>
    <xf numFmtId="0" fontId="0" fillId="0" borderId="15" xfId="0" applyFill="1" applyBorder="1"/>
    <xf numFmtId="0" fontId="2" fillId="0" borderId="15" xfId="0" applyFont="1" applyFill="1" applyBorder="1" applyAlignment="1">
      <alignment horizontal="left" indent="1"/>
    </xf>
    <xf numFmtId="43" fontId="0" fillId="0" borderId="15" xfId="0" applyNumberFormat="1" applyFill="1" applyBorder="1"/>
    <xf numFmtId="49" fontId="0" fillId="0" borderId="0" xfId="1" applyNumberFormat="1" applyFont="1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1485901</xdr:colOff>
      <xdr:row>2</xdr:row>
      <xdr:rowOff>28575</xdr:rowOff>
    </xdr:from>
    <xdr:to>
      <xdr:col>1</xdr:col>
      <xdr:colOff>2384115</xdr:colOff>
      <xdr:row>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409575"/>
          <a:ext cx="898214" cy="86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1485901</xdr:colOff>
      <xdr:row>112</xdr:row>
      <xdr:rowOff>28575</xdr:rowOff>
    </xdr:from>
    <xdr:to>
      <xdr:col>1</xdr:col>
      <xdr:colOff>2384115</xdr:colOff>
      <xdr:row>116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409575"/>
          <a:ext cx="898214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zoomScale="140" zoomScaleNormal="140" workbookViewId="0">
      <selection activeCell="C14" sqref="C14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4.5703125" style="13" bestFit="1" customWidth="1"/>
    <col min="6" max="6" width="16.28515625" style="13" customWidth="1"/>
    <col min="7" max="7" width="14.2851562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222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/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f>C11/4</f>
        <v>434596.76</v>
      </c>
      <c r="E11" s="2">
        <v>137223.35999999999</v>
      </c>
      <c r="F11" s="2">
        <f>C11-E11</f>
        <v>1601163.6800000002</v>
      </c>
      <c r="G11" s="2">
        <f>D11-E11</f>
        <v>297373.40000000002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f>C12/4</f>
        <v>303780.8175</v>
      </c>
      <c r="E12" s="2"/>
      <c r="F12" s="2">
        <f t="shared" ref="F12:F13" si="0">C12-E12</f>
        <v>1215123.27</v>
      </c>
      <c r="G12" s="2">
        <f t="shared" ref="G12:G13" si="1">D12-E12</f>
        <v>303780.8175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f>C13/4</f>
        <v>37500</v>
      </c>
      <c r="E13" s="2"/>
      <c r="F13" s="2">
        <f t="shared" si="0"/>
        <v>150000</v>
      </c>
      <c r="G13" s="2">
        <f t="shared" si="1"/>
        <v>37500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775877.57750000001</v>
      </c>
      <c r="E15" s="8">
        <f>SUM(E11:E14)</f>
        <v>137223.35999999999</v>
      </c>
      <c r="F15" s="8">
        <f>SUM(F11:F14)</f>
        <v>2966286.95</v>
      </c>
      <c r="G15" s="8">
        <f>SUM(G11:G14)</f>
        <v>638654.21750000003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f>C18/4</f>
        <v>2146273.29</v>
      </c>
      <c r="E18" s="2">
        <v>603278.41</v>
      </c>
      <c r="F18" s="2">
        <f>C18-E18</f>
        <v>7981814.75</v>
      </c>
      <c r="G18" s="2">
        <f>D18-E18</f>
        <v>1542994.88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f>C19/4</f>
        <v>295234.09000000003</v>
      </c>
      <c r="E19" s="2"/>
      <c r="F19" s="2">
        <f>C19-E19</f>
        <v>1180936.3600000001</v>
      </c>
      <c r="G19" s="2">
        <f>D19-E19</f>
        <v>295234.09000000003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f>C20/4</f>
        <v>30000</v>
      </c>
      <c r="E20" s="2"/>
      <c r="F20" s="2">
        <f>C20-E20</f>
        <v>120000</v>
      </c>
      <c r="G20" s="2">
        <f>D20-E20</f>
        <v>30000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2471507.38</v>
      </c>
      <c r="E22" s="8">
        <f>SUM(E18:E21)</f>
        <v>603278.41</v>
      </c>
      <c r="F22" s="8">
        <f>SUM(F18:F21)</f>
        <v>9282751.1099999994</v>
      </c>
      <c r="G22" s="8">
        <f>SUM(G18:G21)</f>
        <v>1868228.97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f>C25/4</f>
        <v>270017.08</v>
      </c>
      <c r="E25" s="2">
        <v>81375.149999999994</v>
      </c>
      <c r="F25" s="2">
        <f>C25-E25</f>
        <v>998693.17</v>
      </c>
      <c r="G25" s="2">
        <f>D25-E25</f>
        <v>188641.93000000002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f>C26/4</f>
        <v>37821.362500000003</v>
      </c>
      <c r="E26" s="2"/>
      <c r="F26" s="2">
        <f>C26-E26</f>
        <v>151285.45000000001</v>
      </c>
      <c r="G26" s="2">
        <f>D26-E26</f>
        <v>37821.362500000003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f>C27/4</f>
        <v>7500</v>
      </c>
      <c r="E27" s="2"/>
      <c r="F27" s="2">
        <f>C27-E27</f>
        <v>30000</v>
      </c>
      <c r="G27" s="2">
        <f>D27-E27</f>
        <v>7500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315338.4425</v>
      </c>
      <c r="E29" s="8">
        <f>SUM(E25:E28)</f>
        <v>81375.149999999994</v>
      </c>
      <c r="F29" s="8">
        <f>SUM(F25:F28)</f>
        <v>1179978.6200000001</v>
      </c>
      <c r="G29" s="8">
        <f>SUM(G25:G28)</f>
        <v>233963.29250000004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f>C32/4</f>
        <v>208402.99</v>
      </c>
      <c r="E32" s="2">
        <v>63327.47</v>
      </c>
      <c r="F32" s="2">
        <f>C32-E32</f>
        <v>770284.49</v>
      </c>
      <c r="G32" s="2">
        <f>D32-E32</f>
        <v>145075.51999999999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f>C33/4</f>
        <v>29741.55</v>
      </c>
      <c r="E33" s="2"/>
      <c r="F33" s="2">
        <f>C33-E33</f>
        <v>118966.2</v>
      </c>
      <c r="G33" s="2">
        <f>D33-E33</f>
        <v>29741.55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f>C34/4</f>
        <v>6250</v>
      </c>
      <c r="E34" s="2"/>
      <c r="F34" s="2">
        <f>C34-E34</f>
        <v>25000</v>
      </c>
      <c r="G34" s="2">
        <f>D34-E34</f>
        <v>6250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244394.53999999998</v>
      </c>
      <c r="E36" s="8">
        <f>SUM(E32:E35)</f>
        <v>63327.47</v>
      </c>
      <c r="F36" s="8">
        <f>SUM(F32:F35)</f>
        <v>914250.69</v>
      </c>
      <c r="G36" s="8">
        <f>SUM(G32:G35)</f>
        <v>181067.06999999998</v>
      </c>
      <c r="L36" s="12"/>
    </row>
    <row r="37" spans="1:13" x14ac:dyDescent="0.25">
      <c r="A37" s="25"/>
      <c r="B37" s="18"/>
      <c r="C37" s="2"/>
      <c r="D37" s="2"/>
      <c r="E37" s="2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f>C39/4</f>
        <v>171660.45</v>
      </c>
      <c r="E39" s="2">
        <v>53003.9</v>
      </c>
      <c r="F39" s="2">
        <f>C39-E39</f>
        <v>633637.9</v>
      </c>
      <c r="G39" s="2">
        <f>D39-E39</f>
        <v>118656.55000000002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f>C40/4</f>
        <v>28735.962500000001</v>
      </c>
      <c r="E40" s="2"/>
      <c r="F40" s="2">
        <f>C40-E40</f>
        <v>114943.85</v>
      </c>
      <c r="G40" s="2">
        <f>D40-E40</f>
        <v>28735.962500000001</v>
      </c>
    </row>
    <row r="41" spans="1:13" x14ac:dyDescent="0.25">
      <c r="A41" s="25"/>
      <c r="B41" s="27" t="s">
        <v>13</v>
      </c>
      <c r="C41" s="2">
        <v>35000</v>
      </c>
      <c r="D41" s="2">
        <f>C41/4</f>
        <v>8750</v>
      </c>
      <c r="E41" s="2"/>
      <c r="F41" s="2">
        <f>C41-E41</f>
        <v>35000</v>
      </c>
      <c r="G41" s="2">
        <f>D41-E41</f>
        <v>8750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209146.41250000001</v>
      </c>
      <c r="E43" s="8">
        <f>SUM(E39:E42)</f>
        <v>53003.9</v>
      </c>
      <c r="F43" s="8">
        <f>SUM(F39:F42)</f>
        <v>783581.75</v>
      </c>
      <c r="G43" s="8">
        <f>SUM(G39:G42)</f>
        <v>156142.51250000001</v>
      </c>
    </row>
    <row r="44" spans="1:13" x14ac:dyDescent="0.25">
      <c r="A44" s="25"/>
      <c r="B44" s="18"/>
      <c r="C44" s="2"/>
      <c r="D44" s="2"/>
      <c r="E44" s="2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f>C46/4</f>
        <v>292633.01</v>
      </c>
      <c r="E46" s="2">
        <v>46303.17</v>
      </c>
      <c r="F46" s="2">
        <f>C46-E46</f>
        <v>1124228.8700000001</v>
      </c>
      <c r="G46" s="2">
        <f>D46-E46</f>
        <v>246329.84000000003</v>
      </c>
    </row>
    <row r="47" spans="1:13" x14ac:dyDescent="0.25">
      <c r="A47" s="25"/>
      <c r="B47" s="27" t="s">
        <v>12</v>
      </c>
      <c r="C47" s="2">
        <v>225508</v>
      </c>
      <c r="D47" s="2">
        <f>C47/4</f>
        <v>56377</v>
      </c>
      <c r="E47" s="2"/>
      <c r="F47" s="2">
        <f>C47-E47</f>
        <v>225508</v>
      </c>
      <c r="G47" s="2">
        <f>D47-E47</f>
        <v>56377</v>
      </c>
    </row>
    <row r="48" spans="1:13" x14ac:dyDescent="0.25">
      <c r="A48" s="25"/>
      <c r="B48" s="27" t="s">
        <v>13</v>
      </c>
      <c r="C48" s="2">
        <v>25000</v>
      </c>
      <c r="D48" s="2">
        <f>C48/4</f>
        <v>6250</v>
      </c>
      <c r="E48" s="2"/>
      <c r="F48" s="2">
        <f>C48-E48</f>
        <v>25000</v>
      </c>
      <c r="G48" s="2">
        <f>D48-E48</f>
        <v>6250</v>
      </c>
      <c r="H48" s="12"/>
    </row>
    <row r="49" spans="1:8" x14ac:dyDescent="0.25">
      <c r="A49" s="25"/>
      <c r="B49" s="27" t="s">
        <v>14</v>
      </c>
      <c r="C49" s="2"/>
      <c r="D49" s="2"/>
      <c r="E49" s="2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355260.01</v>
      </c>
      <c r="E50" s="8">
        <f>SUM(E46:E49)</f>
        <v>46303.17</v>
      </c>
      <c r="F50" s="8">
        <f>SUM(F46:F49)</f>
        <v>1374736.87</v>
      </c>
      <c r="G50" s="8">
        <f>SUM(G46:G49)</f>
        <v>308956.84000000003</v>
      </c>
      <c r="H50" s="12"/>
    </row>
    <row r="51" spans="1:8" x14ac:dyDescent="0.25">
      <c r="A51" s="25"/>
      <c r="B51" s="18"/>
      <c r="C51" s="2"/>
      <c r="D51" s="2"/>
      <c r="E51" s="2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2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f t="shared" ref="D53:D55" si="2">C53/4</f>
        <v>431640.74</v>
      </c>
      <c r="E53" s="2">
        <v>127589.33</v>
      </c>
      <c r="F53" s="2">
        <f>C53-E53</f>
        <v>1598973.63</v>
      </c>
      <c r="G53" s="2">
        <f>D53-E53</f>
        <v>304051.40999999997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f t="shared" si="2"/>
        <v>95218.012499999997</v>
      </c>
      <c r="E54" s="2">
        <v>7700</v>
      </c>
      <c r="F54" s="2">
        <f>C54-E54</f>
        <v>373172.05</v>
      </c>
      <c r="G54" s="2">
        <f>D54-E54</f>
        <v>87518.012499999997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f t="shared" si="2"/>
        <v>15000</v>
      </c>
      <c r="E55" s="2"/>
      <c r="F55" s="2">
        <f>C55-E55</f>
        <v>60000</v>
      </c>
      <c r="G55" s="2">
        <f>D55-E55</f>
        <v>15000</v>
      </c>
      <c r="H55" s="12"/>
    </row>
    <row r="56" spans="1:8" x14ac:dyDescent="0.25">
      <c r="A56" s="25"/>
      <c r="B56" s="27" t="s">
        <v>14</v>
      </c>
      <c r="C56" s="2"/>
      <c r="D56" s="2"/>
      <c r="E56" s="2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541858.75249999994</v>
      </c>
      <c r="E57" s="8">
        <f>SUM(E53:E56)</f>
        <v>135289.33000000002</v>
      </c>
      <c r="F57" s="8">
        <f>SUM(F53:F56)</f>
        <v>2032145.68</v>
      </c>
      <c r="G57" s="8">
        <f>SUM(G53:G56)</f>
        <v>406569.42249999999</v>
      </c>
      <c r="H57" s="12"/>
    </row>
    <row r="58" spans="1:8" ht="4.5" customHeight="1" thickBot="1" x14ac:dyDescent="0.3">
      <c r="A58" s="30"/>
      <c r="B58" s="31"/>
      <c r="C58" s="9"/>
      <c r="D58" s="9"/>
      <c r="E58" s="9"/>
      <c r="F58" s="9"/>
      <c r="G58" s="32"/>
      <c r="H58" s="12"/>
    </row>
    <row r="59" spans="1:8" x14ac:dyDescent="0.25">
      <c r="A59" s="33"/>
      <c r="B59" s="34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10"/>
      <c r="F62" s="10"/>
      <c r="G62" s="10"/>
      <c r="H62" s="12"/>
    </row>
    <row r="63" spans="1:8" x14ac:dyDescent="0.25">
      <c r="A63" s="22" t="s">
        <v>222</v>
      </c>
      <c r="B63" s="34"/>
      <c r="C63" s="10"/>
      <c r="D63" s="10"/>
      <c r="E63" s="10"/>
      <c r="F63" s="10"/>
      <c r="G63" s="10"/>
      <c r="H63" s="12"/>
    </row>
    <row r="64" spans="1:8" x14ac:dyDescent="0.25">
      <c r="A64" s="33"/>
      <c r="B64" s="34"/>
      <c r="C64" s="10"/>
      <c r="D64" s="10"/>
      <c r="E64" s="10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5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6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9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2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f t="shared" ref="D69:D71" si="3">C69/4</f>
        <v>214596.48000000001</v>
      </c>
      <c r="E69" s="2">
        <v>65251.06</v>
      </c>
      <c r="F69" s="2">
        <f>C69-E69</f>
        <v>793134.8600000001</v>
      </c>
      <c r="G69" s="2">
        <f>D69-E69</f>
        <v>149345.42000000001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f t="shared" si="3"/>
        <v>30858.237499999999</v>
      </c>
      <c r="E70" s="2"/>
      <c r="F70" s="2">
        <f>C70-E70</f>
        <v>123432.95</v>
      </c>
      <c r="G70" s="2">
        <f>D70-E70</f>
        <v>30858.237499999999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f t="shared" si="3"/>
        <v>7500</v>
      </c>
      <c r="E71" s="2"/>
      <c r="F71" s="2">
        <f>C71-E71</f>
        <v>30000</v>
      </c>
      <c r="G71" s="2">
        <f>D71-E71</f>
        <v>7500</v>
      </c>
      <c r="H71" s="12"/>
    </row>
    <row r="72" spans="1:8" x14ac:dyDescent="0.25">
      <c r="A72" s="25"/>
      <c r="B72" s="27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252954.7175</v>
      </c>
      <c r="E73" s="8">
        <f>SUM(E69:E72)</f>
        <v>65251.06</v>
      </c>
      <c r="F73" s="8">
        <f>SUM(F69:F72)</f>
        <v>946567.81</v>
      </c>
      <c r="G73" s="8">
        <f>SUM(G69:G72)</f>
        <v>187703.6575</v>
      </c>
      <c r="H73" s="12"/>
    </row>
    <row r="74" spans="1:8" x14ac:dyDescent="0.25">
      <c r="A74" s="25"/>
      <c r="B74" s="18"/>
      <c r="C74" s="2"/>
      <c r="D74" s="2"/>
      <c r="E74" s="2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2"/>
      <c r="E75" s="2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f t="shared" ref="D76:D77" si="4">C76/4</f>
        <v>299895.74</v>
      </c>
      <c r="E76" s="2">
        <v>43617.35</v>
      </c>
      <c r="F76" s="2">
        <f>C76-E76</f>
        <v>1155965.6099999999</v>
      </c>
      <c r="G76" s="2">
        <f>D76-E76</f>
        <v>256278.38999999998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f t="shared" si="4"/>
        <v>206002.19750000001</v>
      </c>
      <c r="E77" s="2">
        <v>65119.58</v>
      </c>
      <c r="F77" s="2">
        <f>C77-E77</f>
        <v>758889.21000000008</v>
      </c>
      <c r="G77" s="2">
        <f>D77-E77</f>
        <v>140882.61749999999</v>
      </c>
      <c r="H77" s="12"/>
    </row>
    <row r="78" spans="1:8" x14ac:dyDescent="0.25">
      <c r="A78" s="25"/>
      <c r="B78" s="27" t="s">
        <v>13</v>
      </c>
      <c r="C78" s="2"/>
      <c r="D78" s="2"/>
      <c r="E78" s="2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2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505897.9375</v>
      </c>
      <c r="E80" s="8">
        <f>SUM(E76:E79)</f>
        <v>108736.93</v>
      </c>
      <c r="F80" s="8">
        <f>SUM(F76:F79)</f>
        <v>1914854.8199999998</v>
      </c>
      <c r="G80" s="8">
        <f>SUM(G76:G79)</f>
        <v>397161.00749999995</v>
      </c>
      <c r="H80" s="12"/>
    </row>
    <row r="81" spans="1:8" x14ac:dyDescent="0.25">
      <c r="A81" s="25"/>
      <c r="B81" s="18"/>
      <c r="C81" s="2"/>
      <c r="D81" s="2"/>
      <c r="E81" s="2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2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f t="shared" ref="D83:D84" si="5">C83/4</f>
        <v>792467.3</v>
      </c>
      <c r="E83" s="2">
        <v>238901.81</v>
      </c>
      <c r="F83" s="2">
        <f>C83-E83</f>
        <v>2930967.39</v>
      </c>
      <c r="G83" s="2">
        <f>D83-E83</f>
        <v>553565.49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f t="shared" si="5"/>
        <v>48097</v>
      </c>
      <c r="E84" s="2"/>
      <c r="F84" s="2">
        <f>C84-E84</f>
        <v>192388</v>
      </c>
      <c r="G84" s="2">
        <f>D84-E84</f>
        <v>48097</v>
      </c>
      <c r="H84" s="12"/>
    </row>
    <row r="85" spans="1:8" x14ac:dyDescent="0.25">
      <c r="A85" s="25"/>
      <c r="B85" s="27" t="s">
        <v>13</v>
      </c>
      <c r="C85" s="2"/>
      <c r="D85" s="2"/>
      <c r="E85" s="2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2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840564.3</v>
      </c>
      <c r="E87" s="8">
        <f>SUM(E83:E86)</f>
        <v>238901.81</v>
      </c>
      <c r="F87" s="8">
        <f>SUM(F83:F86)</f>
        <v>3123355.39</v>
      </c>
      <c r="G87" s="8">
        <f>SUM(G83:G86)</f>
        <v>601662.49</v>
      </c>
      <c r="H87" s="12"/>
    </row>
    <row r="88" spans="1:8" x14ac:dyDescent="0.25">
      <c r="A88" s="25"/>
      <c r="B88" s="18"/>
      <c r="C88" s="2"/>
      <c r="D88" s="2"/>
      <c r="E88" s="2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2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f t="shared" ref="D90:D92" si="6">C90/4</f>
        <v>306223.42</v>
      </c>
      <c r="E90" s="2">
        <v>82617.570000000007</v>
      </c>
      <c r="F90" s="2">
        <f>C90-E90</f>
        <v>1142276.1099999999</v>
      </c>
      <c r="G90" s="2">
        <f>D90-E90</f>
        <v>223605.84999999998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f t="shared" si="6"/>
        <v>52242</v>
      </c>
      <c r="E91" s="2"/>
      <c r="F91" s="2">
        <f>C91-E91</f>
        <v>208968</v>
      </c>
      <c r="G91" s="2">
        <f>D91-E91</f>
        <v>52242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f t="shared" si="6"/>
        <v>7500</v>
      </c>
      <c r="E92" s="2"/>
      <c r="F92" s="2">
        <f>C92-E92</f>
        <v>30000</v>
      </c>
      <c r="G92" s="2">
        <f>D92-E92</f>
        <v>7500</v>
      </c>
      <c r="H92" s="12"/>
    </row>
    <row r="93" spans="1:8" x14ac:dyDescent="0.25">
      <c r="A93" s="25"/>
      <c r="B93" s="27" t="s">
        <v>14</v>
      </c>
      <c r="C93" s="2"/>
      <c r="D93" s="2"/>
      <c r="E93" s="2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365965.42</v>
      </c>
      <c r="E94" s="8">
        <f>SUM(E90:E93)</f>
        <v>82617.570000000007</v>
      </c>
      <c r="F94" s="8">
        <f>SUM(F90:F93)</f>
        <v>1381244.1099999999</v>
      </c>
      <c r="G94" s="8">
        <f>SUM(G90:G93)</f>
        <v>283347.84999999998</v>
      </c>
      <c r="H94" s="12"/>
    </row>
    <row r="95" spans="1:8" x14ac:dyDescent="0.25">
      <c r="A95" s="25"/>
      <c r="B95" s="18"/>
      <c r="C95" s="2"/>
      <c r="D95" s="2"/>
      <c r="E95" s="2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2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f t="shared" ref="D97:D98" si="7">C97/4</f>
        <v>231917.26</v>
      </c>
      <c r="E97" s="2">
        <v>63960.58</v>
      </c>
      <c r="F97" s="2">
        <f>C97-E97</f>
        <v>863708.46000000008</v>
      </c>
      <c r="G97" s="2">
        <f>D97-E97</f>
        <v>167956.68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f t="shared" si="7"/>
        <v>25880</v>
      </c>
      <c r="E98" s="2"/>
      <c r="F98" s="2">
        <f>C98-E98</f>
        <v>103520</v>
      </c>
      <c r="G98" s="2">
        <f>D98-E98</f>
        <v>25880</v>
      </c>
      <c r="H98" s="12"/>
    </row>
    <row r="99" spans="1:8" x14ac:dyDescent="0.25">
      <c r="A99" s="25"/>
      <c r="B99" s="27" t="s">
        <v>13</v>
      </c>
      <c r="C99" s="2"/>
      <c r="D99" s="2"/>
      <c r="E99" s="2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257797.26</v>
      </c>
      <c r="E101" s="8">
        <f>SUM(E97:E100)</f>
        <v>63960.58</v>
      </c>
      <c r="F101" s="8">
        <f>SUM(F97:F100)</f>
        <v>967228.46000000008</v>
      </c>
      <c r="G101" s="8">
        <f>SUM(G97:G100)</f>
        <v>193836.68</v>
      </c>
      <c r="H101" s="12"/>
    </row>
    <row r="102" spans="1:8" x14ac:dyDescent="0.25">
      <c r="A102" s="25"/>
      <c r="B102" s="18"/>
      <c r="C102" s="2"/>
      <c r="D102" s="2"/>
      <c r="E102" s="2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f t="shared" ref="D104:D105" si="8">C104/4</f>
        <v>283680.12</v>
      </c>
      <c r="E104" s="2">
        <v>84930</v>
      </c>
      <c r="F104" s="2">
        <f>C104-E104</f>
        <v>1049790.48</v>
      </c>
      <c r="G104" s="2">
        <f>D104-E104</f>
        <v>198750.12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f t="shared" si="8"/>
        <v>16850.762500000001</v>
      </c>
      <c r="E105" s="2"/>
      <c r="F105" s="2">
        <f>C105-E105</f>
        <v>67403.05</v>
      </c>
      <c r="G105" s="2">
        <f>D105-E105</f>
        <v>16850.762500000001</v>
      </c>
      <c r="H105" s="12"/>
    </row>
    <row r="106" spans="1:8" x14ac:dyDescent="0.25">
      <c r="A106" s="25"/>
      <c r="B106" s="27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300530.88250000001</v>
      </c>
      <c r="E108" s="8">
        <f>SUM(E104:E107)</f>
        <v>84930</v>
      </c>
      <c r="F108" s="8">
        <f>SUM(F104:F107)</f>
        <v>1117193.53</v>
      </c>
      <c r="G108" s="8">
        <f>SUM(G104:G107)</f>
        <v>215600.88250000001</v>
      </c>
      <c r="H108" s="12"/>
    </row>
    <row r="109" spans="1:8" x14ac:dyDescent="0.25">
      <c r="A109" s="25"/>
      <c r="B109" s="18"/>
      <c r="C109" s="2"/>
      <c r="D109" s="2"/>
      <c r="E109" s="2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f>C112/4</f>
        <v>32500</v>
      </c>
      <c r="E112" s="2"/>
      <c r="F112" s="2">
        <f>C112-E112</f>
        <v>130000</v>
      </c>
      <c r="G112" s="2">
        <f>D112-E112</f>
        <v>32500</v>
      </c>
      <c r="H112" s="12"/>
    </row>
    <row r="113" spans="1:8" x14ac:dyDescent="0.25">
      <c r="A113" s="25"/>
      <c r="B113" s="27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32500</v>
      </c>
      <c r="E115" s="8">
        <f>SUM(E111:E114)</f>
        <v>0</v>
      </c>
      <c r="F115" s="8">
        <f>SUM(F111:F114)</f>
        <v>130000</v>
      </c>
      <c r="G115" s="8">
        <f>SUM(G111:G114)</f>
        <v>32500</v>
      </c>
      <c r="H115" s="12"/>
    </row>
    <row r="116" spans="1:8" ht="3.75" customHeight="1" thickBot="1" x14ac:dyDescent="0.3">
      <c r="A116" s="35"/>
      <c r="B116" s="36"/>
      <c r="C116" s="9"/>
      <c r="D116" s="9"/>
      <c r="E116" s="9"/>
      <c r="F116" s="9"/>
      <c r="G116" s="3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/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10"/>
      <c r="F122" s="10"/>
      <c r="G122" s="10"/>
      <c r="H122" s="12"/>
    </row>
    <row r="123" spans="1:8" x14ac:dyDescent="0.25">
      <c r="A123" s="22" t="s">
        <v>222</v>
      </c>
      <c r="B123" s="34"/>
      <c r="C123" s="10"/>
      <c r="D123" s="10"/>
      <c r="E123" s="10"/>
      <c r="F123" s="10"/>
      <c r="G123" s="10"/>
      <c r="H123" s="12"/>
    </row>
    <row r="124" spans="1:8" x14ac:dyDescent="0.25">
      <c r="A124" s="33"/>
      <c r="B124" s="34"/>
      <c r="C124" s="10"/>
      <c r="D124" s="10"/>
      <c r="E124" s="10"/>
      <c r="F124" s="10"/>
      <c r="G124" s="10"/>
      <c r="H124" s="12"/>
    </row>
    <row r="125" spans="1:8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5" t="s">
        <v>7</v>
      </c>
      <c r="F125" s="15" t="s">
        <v>8</v>
      </c>
      <c r="G125" s="15" t="s">
        <v>8</v>
      </c>
      <c r="H125" s="12"/>
    </row>
    <row r="126" spans="1:8" x14ac:dyDescent="0.25">
      <c r="A126" s="116"/>
      <c r="B126" s="116"/>
      <c r="C126" s="116"/>
      <c r="D126" s="116"/>
      <c r="E126" s="116"/>
      <c r="F126" s="16" t="s">
        <v>5</v>
      </c>
      <c r="G126" s="16" t="s">
        <v>6</v>
      </c>
      <c r="H126" s="12"/>
    </row>
    <row r="127" spans="1:8" ht="6.75" customHeight="1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f t="shared" ref="D128:D151" si="9">C128/4</f>
        <v>9649</v>
      </c>
      <c r="E128" s="2"/>
      <c r="F128" s="2">
        <f t="shared" ref="F128:F151" si="10">C128-E128</f>
        <v>38596</v>
      </c>
      <c r="G128" s="2">
        <f t="shared" ref="G128:G152" si="11">D128-E128</f>
        <v>9649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f t="shared" si="9"/>
        <v>107500</v>
      </c>
      <c r="E129" s="2"/>
      <c r="F129" s="2">
        <f t="shared" si="10"/>
        <v>430000</v>
      </c>
      <c r="G129" s="2">
        <f t="shared" si="11"/>
        <v>107500</v>
      </c>
      <c r="H129" s="12"/>
    </row>
    <row r="130" spans="1:10" x14ac:dyDescent="0.25">
      <c r="A130" s="18"/>
      <c r="B130" s="18" t="s">
        <v>88</v>
      </c>
      <c r="C130" s="2">
        <v>120000</v>
      </c>
      <c r="D130" s="2">
        <f t="shared" si="9"/>
        <v>30000</v>
      </c>
      <c r="E130" s="2"/>
      <c r="F130" s="2">
        <f t="shared" si="10"/>
        <v>120000</v>
      </c>
      <c r="G130" s="2">
        <f t="shared" si="11"/>
        <v>30000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f t="shared" si="9"/>
        <v>75000</v>
      </c>
      <c r="E131" s="2"/>
      <c r="F131" s="2">
        <f t="shared" si="10"/>
        <v>300000</v>
      </c>
      <c r="G131" s="2">
        <f t="shared" si="11"/>
        <v>75000</v>
      </c>
      <c r="H131" s="12"/>
    </row>
    <row r="132" spans="1:10" x14ac:dyDescent="0.25">
      <c r="A132" s="18"/>
      <c r="B132" s="18" t="s">
        <v>166</v>
      </c>
      <c r="C132" s="2">
        <v>200000</v>
      </c>
      <c r="D132" s="2">
        <f t="shared" si="9"/>
        <v>50000</v>
      </c>
      <c r="E132" s="2"/>
      <c r="F132" s="2">
        <f t="shared" si="10"/>
        <v>200000</v>
      </c>
      <c r="G132" s="2">
        <f t="shared" si="11"/>
        <v>50000</v>
      </c>
      <c r="H132" s="12"/>
    </row>
    <row r="133" spans="1:10" x14ac:dyDescent="0.25">
      <c r="A133" s="18"/>
      <c r="B133" s="18" t="s">
        <v>143</v>
      </c>
      <c r="C133" s="2">
        <v>145000</v>
      </c>
      <c r="D133" s="2">
        <f t="shared" si="9"/>
        <v>36250</v>
      </c>
      <c r="E133" s="2"/>
      <c r="F133" s="2">
        <f t="shared" si="10"/>
        <v>145000</v>
      </c>
      <c r="G133" s="2">
        <f t="shared" si="11"/>
        <v>36250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f t="shared" si="9"/>
        <v>30000</v>
      </c>
      <c r="E134" s="2"/>
      <c r="F134" s="2">
        <f t="shared" si="10"/>
        <v>120000</v>
      </c>
      <c r="G134" s="2">
        <f t="shared" si="11"/>
        <v>30000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f t="shared" si="9"/>
        <v>18750</v>
      </c>
      <c r="E135" s="2"/>
      <c r="F135" s="2">
        <f t="shared" si="10"/>
        <v>75000</v>
      </c>
      <c r="G135" s="2">
        <f t="shared" si="11"/>
        <v>18750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f t="shared" si="9"/>
        <v>375000</v>
      </c>
      <c r="E136" s="2">
        <v>214375</v>
      </c>
      <c r="F136" s="2">
        <f t="shared" si="10"/>
        <v>1285625</v>
      </c>
      <c r="G136" s="2">
        <f t="shared" si="11"/>
        <v>160625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f t="shared" si="9"/>
        <v>25000</v>
      </c>
      <c r="E137" s="2"/>
      <c r="F137" s="2">
        <f t="shared" si="10"/>
        <v>100000</v>
      </c>
      <c r="G137" s="2">
        <f t="shared" si="11"/>
        <v>25000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v>150000</v>
      </c>
      <c r="D138" s="2">
        <f t="shared" si="9"/>
        <v>37500</v>
      </c>
      <c r="E138" s="2"/>
      <c r="F138" s="2">
        <f t="shared" si="10"/>
        <v>150000</v>
      </c>
      <c r="G138" s="2">
        <f t="shared" si="11"/>
        <v>37500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f t="shared" si="9"/>
        <v>17500</v>
      </c>
      <c r="E139" s="2"/>
      <c r="F139" s="2">
        <f t="shared" si="10"/>
        <v>70000</v>
      </c>
      <c r="G139" s="2">
        <f t="shared" si="11"/>
        <v>17500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f t="shared" si="9"/>
        <v>75000</v>
      </c>
      <c r="E140" s="2"/>
      <c r="F140" s="2">
        <f t="shared" si="10"/>
        <v>300000</v>
      </c>
      <c r="G140" s="2">
        <f t="shared" si="11"/>
        <v>75000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f t="shared" si="9"/>
        <v>5000</v>
      </c>
      <c r="E141" s="2"/>
      <c r="F141" s="2">
        <f>C141-E141</f>
        <v>20000</v>
      </c>
      <c r="G141" s="2">
        <f>D141-E141</f>
        <v>5000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f t="shared" si="9"/>
        <v>3750</v>
      </c>
      <c r="E142" s="2"/>
      <c r="F142" s="2">
        <f t="shared" si="10"/>
        <v>15000</v>
      </c>
      <c r="G142" s="2">
        <f t="shared" si="11"/>
        <v>3750</v>
      </c>
      <c r="J142" s="12"/>
    </row>
    <row r="143" spans="1:10" x14ac:dyDescent="0.25">
      <c r="A143" s="18"/>
      <c r="B143" s="18" t="s">
        <v>51</v>
      </c>
      <c r="C143" s="2">
        <v>750000</v>
      </c>
      <c r="D143" s="2">
        <f t="shared" si="9"/>
        <v>187500</v>
      </c>
      <c r="E143" s="2"/>
      <c r="F143" s="2">
        <f t="shared" si="10"/>
        <v>750000</v>
      </c>
      <c r="G143" s="2">
        <f t="shared" si="11"/>
        <v>187500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f t="shared" si="9"/>
        <v>12500</v>
      </c>
      <c r="E144" s="2"/>
      <c r="F144" s="2">
        <f t="shared" si="10"/>
        <v>50000</v>
      </c>
      <c r="G144" s="2">
        <f t="shared" si="11"/>
        <v>12500</v>
      </c>
    </row>
    <row r="145" spans="1:7" x14ac:dyDescent="0.25">
      <c r="A145" s="18"/>
      <c r="B145" s="18" t="s">
        <v>223</v>
      </c>
      <c r="C145" s="2">
        <v>455427.6</v>
      </c>
      <c r="D145" s="2">
        <f t="shared" si="9"/>
        <v>113856.9</v>
      </c>
      <c r="E145" s="2"/>
      <c r="F145" s="2">
        <f t="shared" si="10"/>
        <v>455427.6</v>
      </c>
      <c r="G145" s="2">
        <f t="shared" si="11"/>
        <v>113856.9</v>
      </c>
    </row>
    <row r="146" spans="1:7" x14ac:dyDescent="0.25">
      <c r="A146" s="18"/>
      <c r="B146" s="18" t="s">
        <v>224</v>
      </c>
      <c r="C146" s="2">
        <v>1200000</v>
      </c>
      <c r="D146" s="2">
        <f t="shared" si="9"/>
        <v>300000</v>
      </c>
      <c r="E146" s="2"/>
      <c r="F146" s="2">
        <f>C146-E146</f>
        <v>1200000</v>
      </c>
      <c r="G146" s="2">
        <f>D146-E146</f>
        <v>300000</v>
      </c>
    </row>
    <row r="147" spans="1:7" x14ac:dyDescent="0.25">
      <c r="A147" s="18"/>
      <c r="B147" s="18" t="s">
        <v>211</v>
      </c>
      <c r="C147" s="2">
        <v>500000</v>
      </c>
      <c r="D147" s="2">
        <f t="shared" si="9"/>
        <v>125000</v>
      </c>
      <c r="E147" s="2"/>
      <c r="F147" s="2">
        <f t="shared" ref="F147:F150" si="12">C147-E147</f>
        <v>500000</v>
      </c>
      <c r="G147" s="2">
        <f t="shared" ref="G147:G150" si="13">D147-E147</f>
        <v>125000</v>
      </c>
    </row>
    <row r="148" spans="1:7" x14ac:dyDescent="0.25">
      <c r="A148" s="18"/>
      <c r="B148" s="18" t="s">
        <v>212</v>
      </c>
      <c r="C148" s="2">
        <v>300000</v>
      </c>
      <c r="D148" s="2">
        <f t="shared" si="9"/>
        <v>75000</v>
      </c>
      <c r="E148" s="2"/>
      <c r="F148" s="2">
        <f t="shared" si="12"/>
        <v>300000</v>
      </c>
      <c r="G148" s="2">
        <f t="shared" si="13"/>
        <v>75000</v>
      </c>
    </row>
    <row r="149" spans="1:7" x14ac:dyDescent="0.25">
      <c r="A149" s="18"/>
      <c r="B149" s="18" t="s">
        <v>213</v>
      </c>
      <c r="C149" s="2">
        <v>375000</v>
      </c>
      <c r="D149" s="2">
        <f t="shared" si="9"/>
        <v>93750</v>
      </c>
      <c r="E149" s="2"/>
      <c r="F149" s="2">
        <f t="shared" si="12"/>
        <v>375000</v>
      </c>
      <c r="G149" s="2">
        <f t="shared" si="13"/>
        <v>93750</v>
      </c>
    </row>
    <row r="150" spans="1:7" x14ac:dyDescent="0.25">
      <c r="A150" s="18"/>
      <c r="B150" s="18" t="s">
        <v>32</v>
      </c>
      <c r="C150" s="2">
        <v>250000</v>
      </c>
      <c r="D150" s="2">
        <f t="shared" si="9"/>
        <v>62500</v>
      </c>
      <c r="E150" s="2"/>
      <c r="F150" s="2">
        <f t="shared" si="12"/>
        <v>250000</v>
      </c>
      <c r="G150" s="2">
        <f t="shared" si="13"/>
        <v>62500</v>
      </c>
    </row>
    <row r="151" spans="1:7" x14ac:dyDescent="0.25">
      <c r="A151" s="18"/>
      <c r="B151" s="18" t="s">
        <v>96</v>
      </c>
      <c r="C151" s="2">
        <v>776404</v>
      </c>
      <c r="D151" s="2">
        <f t="shared" si="9"/>
        <v>194101</v>
      </c>
      <c r="E151" s="2"/>
      <c r="F151" s="2">
        <f t="shared" si="10"/>
        <v>776404</v>
      </c>
      <c r="G151" s="2">
        <f t="shared" si="11"/>
        <v>194101</v>
      </c>
    </row>
    <row r="152" spans="1:7" x14ac:dyDescent="0.25">
      <c r="A152" s="37"/>
      <c r="B152" s="37"/>
      <c r="C152" s="6"/>
      <c r="D152" s="6"/>
      <c r="E152" s="6"/>
      <c r="F152" s="2"/>
      <c r="G152" s="2">
        <f t="shared" si="11"/>
        <v>0</v>
      </c>
    </row>
    <row r="153" spans="1:7" x14ac:dyDescent="0.25">
      <c r="A153" s="38"/>
      <c r="B153" s="28" t="s">
        <v>27</v>
      </c>
      <c r="C153" s="8">
        <f>SUM(C128:C152)</f>
        <v>8240427.5999999996</v>
      </c>
      <c r="D153" s="8">
        <f>SUM(D128:D152)</f>
        <v>2060106.9</v>
      </c>
      <c r="E153" s="8">
        <f>SUM(E128:E152)</f>
        <v>214375</v>
      </c>
      <c r="F153" s="8">
        <f>SUM(F128:F152)</f>
        <v>8026052.5999999996</v>
      </c>
      <c r="G153" s="8">
        <f>SUM(G128:G152)</f>
        <v>1845731.9</v>
      </c>
    </row>
    <row r="154" spans="1:7" x14ac:dyDescent="0.25">
      <c r="C154" s="7"/>
    </row>
    <row r="155" spans="1:7" x14ac:dyDescent="0.25">
      <c r="C155" s="14"/>
      <c r="E155" s="14"/>
    </row>
    <row r="156" spans="1:7" x14ac:dyDescent="0.25">
      <c r="C156" s="14"/>
    </row>
    <row r="158" spans="1:7" x14ac:dyDescent="0.25">
      <c r="A158" s="13" t="s">
        <v>0</v>
      </c>
      <c r="B158" s="34"/>
      <c r="C158" s="10"/>
      <c r="D158" s="10"/>
      <c r="E158" s="10">
        <f>E155-E157</f>
        <v>0</v>
      </c>
      <c r="F158" s="10"/>
      <c r="G158" s="10"/>
    </row>
    <row r="159" spans="1:7" x14ac:dyDescent="0.25">
      <c r="A159" s="13" t="s">
        <v>1</v>
      </c>
      <c r="B159" s="34"/>
      <c r="C159" s="10"/>
      <c r="D159" s="10"/>
      <c r="E159" s="10"/>
      <c r="F159" s="10"/>
      <c r="G159" s="10"/>
    </row>
    <row r="160" spans="1:7" x14ac:dyDescent="0.25">
      <c r="A160" s="13" t="s">
        <v>2</v>
      </c>
      <c r="B160" s="34"/>
      <c r="C160" s="10"/>
      <c r="D160" s="10"/>
      <c r="E160" s="10"/>
      <c r="F160" s="10"/>
      <c r="G160" s="10"/>
    </row>
    <row r="161" spans="1:9" x14ac:dyDescent="0.25">
      <c r="A161" s="22" t="s">
        <v>222</v>
      </c>
      <c r="B161" s="34"/>
      <c r="C161" s="10"/>
      <c r="D161" s="10"/>
      <c r="E161" s="10"/>
      <c r="F161" s="10"/>
      <c r="G161" s="10"/>
    </row>
    <row r="162" spans="1:9" x14ac:dyDescent="0.25">
      <c r="A162" s="33"/>
      <c r="B162" s="34"/>
      <c r="C162" s="10"/>
      <c r="D162" s="10"/>
      <c r="E162" s="10"/>
      <c r="F162" s="10"/>
      <c r="G162" s="10"/>
    </row>
    <row r="163" spans="1:9" x14ac:dyDescent="0.25">
      <c r="A163" s="115" t="s">
        <v>3</v>
      </c>
      <c r="B163" s="115" t="s">
        <v>4</v>
      </c>
      <c r="C163" s="115" t="s">
        <v>5</v>
      </c>
      <c r="D163" s="115" t="s">
        <v>6</v>
      </c>
      <c r="E163" s="115" t="s">
        <v>7</v>
      </c>
      <c r="F163" s="15" t="s">
        <v>8</v>
      </c>
      <c r="G163" s="15" t="s">
        <v>8</v>
      </c>
    </row>
    <row r="164" spans="1:9" x14ac:dyDescent="0.25">
      <c r="A164" s="116"/>
      <c r="B164" s="116"/>
      <c r="C164" s="116"/>
      <c r="D164" s="116"/>
      <c r="E164" s="116"/>
      <c r="F164" s="16" t="s">
        <v>5</v>
      </c>
      <c r="G164" s="16" t="s">
        <v>6</v>
      </c>
    </row>
    <row r="165" spans="1:9" x14ac:dyDescent="0.25">
      <c r="A165" s="17"/>
      <c r="B165" s="17"/>
      <c r="C165" s="17"/>
      <c r="D165" s="17"/>
      <c r="E165" s="17"/>
      <c r="F165" s="17"/>
      <c r="G165" s="17"/>
    </row>
    <row r="166" spans="1:9" x14ac:dyDescent="0.25">
      <c r="A166" s="18"/>
      <c r="B166" s="26" t="s">
        <v>53</v>
      </c>
      <c r="C166" s="18"/>
      <c r="D166" s="18"/>
      <c r="E166" s="18"/>
      <c r="F166" s="18"/>
      <c r="G166" s="18"/>
    </row>
    <row r="167" spans="1:9" x14ac:dyDescent="0.25">
      <c r="A167" s="18"/>
      <c r="B167" s="27" t="s">
        <v>11</v>
      </c>
      <c r="C167" s="2"/>
      <c r="D167" s="2"/>
      <c r="E167" s="2"/>
      <c r="F167" s="2"/>
      <c r="G167" s="2"/>
    </row>
    <row r="168" spans="1:9" x14ac:dyDescent="0.25">
      <c r="A168" s="18"/>
      <c r="B168" s="4" t="s">
        <v>58</v>
      </c>
      <c r="C168" s="2">
        <v>320000</v>
      </c>
      <c r="D168" s="2">
        <f t="shared" ref="D168:D169" si="14">C168/4</f>
        <v>80000</v>
      </c>
      <c r="E168" s="2"/>
      <c r="F168" s="2">
        <f t="shared" ref="F168:F188" si="15">C168-E168</f>
        <v>320000</v>
      </c>
      <c r="G168" s="2">
        <f t="shared" ref="G168:G188" si="16">D168-E168</f>
        <v>80000</v>
      </c>
    </row>
    <row r="169" spans="1:9" x14ac:dyDescent="0.25">
      <c r="A169" s="18"/>
      <c r="B169" s="4" t="s">
        <v>59</v>
      </c>
      <c r="C169" s="2">
        <v>1000000</v>
      </c>
      <c r="D169" s="2">
        <f t="shared" si="14"/>
        <v>250000</v>
      </c>
      <c r="E169" s="2">
        <v>122000</v>
      </c>
      <c r="F169" s="2">
        <f t="shared" si="15"/>
        <v>878000</v>
      </c>
      <c r="G169" s="2">
        <f t="shared" si="16"/>
        <v>128000</v>
      </c>
      <c r="I169" s="14">
        <f>E169*12</f>
        <v>1464000</v>
      </c>
    </row>
    <row r="170" spans="1:9" x14ac:dyDescent="0.25">
      <c r="A170" s="18"/>
      <c r="B170" s="27" t="s">
        <v>12</v>
      </c>
      <c r="C170" s="2"/>
      <c r="D170" s="2"/>
      <c r="E170" s="2"/>
      <c r="F170" s="2">
        <f t="shared" si="15"/>
        <v>0</v>
      </c>
      <c r="G170" s="2">
        <f t="shared" si="16"/>
        <v>0</v>
      </c>
    </row>
    <row r="171" spans="1:9" x14ac:dyDescent="0.25">
      <c r="A171" s="18"/>
      <c r="B171" s="4" t="s">
        <v>54</v>
      </c>
      <c r="C171" s="2">
        <v>2419990.09</v>
      </c>
      <c r="D171" s="2">
        <f t="shared" ref="D171:D176" si="17">C171/4</f>
        <v>604997.52249999996</v>
      </c>
      <c r="E171" s="2"/>
      <c r="F171" s="2">
        <f t="shared" si="15"/>
        <v>2419990.09</v>
      </c>
      <c r="G171" s="2">
        <f t="shared" si="16"/>
        <v>604997.52249999996</v>
      </c>
      <c r="I171" s="14">
        <f>C171/4</f>
        <v>604997.52249999996</v>
      </c>
    </row>
    <row r="172" spans="1:9" x14ac:dyDescent="0.25">
      <c r="A172" s="18"/>
      <c r="B172" s="4" t="s">
        <v>55</v>
      </c>
      <c r="C172" s="2">
        <v>15000</v>
      </c>
      <c r="D172" s="2">
        <f t="shared" si="17"/>
        <v>3750</v>
      </c>
      <c r="E172" s="2"/>
      <c r="F172" s="2">
        <f t="shared" si="15"/>
        <v>15000</v>
      </c>
      <c r="G172" s="2">
        <f t="shared" si="16"/>
        <v>3750</v>
      </c>
    </row>
    <row r="173" spans="1:9" x14ac:dyDescent="0.25">
      <c r="A173" s="18"/>
      <c r="B173" s="4" t="s">
        <v>56</v>
      </c>
      <c r="C173" s="2">
        <v>20000</v>
      </c>
      <c r="D173" s="2">
        <f t="shared" si="17"/>
        <v>5000</v>
      </c>
      <c r="E173" s="2"/>
      <c r="F173" s="2">
        <f t="shared" si="15"/>
        <v>20000</v>
      </c>
      <c r="G173" s="2">
        <f t="shared" si="16"/>
        <v>5000</v>
      </c>
    </row>
    <row r="174" spans="1:9" x14ac:dyDescent="0.25">
      <c r="A174" s="18"/>
      <c r="B174" s="4" t="s">
        <v>160</v>
      </c>
      <c r="C174" s="2">
        <v>2419990.09</v>
      </c>
      <c r="D174" s="2">
        <f t="shared" si="17"/>
        <v>604997.52249999996</v>
      </c>
      <c r="E174" s="2"/>
      <c r="F174" s="2">
        <f t="shared" si="15"/>
        <v>2419990.09</v>
      </c>
      <c r="G174" s="2">
        <f t="shared" si="16"/>
        <v>604997.52249999996</v>
      </c>
    </row>
    <row r="175" spans="1:9" x14ac:dyDescent="0.25">
      <c r="A175" s="18"/>
      <c r="B175" s="4" t="s">
        <v>161</v>
      </c>
      <c r="C175" s="2">
        <v>483998.02</v>
      </c>
      <c r="D175" s="2">
        <f t="shared" si="17"/>
        <v>120999.505</v>
      </c>
      <c r="E175" s="2"/>
      <c r="F175" s="2">
        <f>C175-E175</f>
        <v>483998.02</v>
      </c>
      <c r="G175" s="2">
        <f>D175-E175</f>
        <v>120999.505</v>
      </c>
    </row>
    <row r="176" spans="1:9" x14ac:dyDescent="0.25">
      <c r="A176" s="18"/>
      <c r="B176" s="55" t="s">
        <v>162</v>
      </c>
      <c r="C176" s="2">
        <v>412021.38</v>
      </c>
      <c r="D176" s="2">
        <f t="shared" si="17"/>
        <v>103005.345</v>
      </c>
      <c r="E176" s="2"/>
      <c r="F176" s="2">
        <f t="shared" si="15"/>
        <v>412021.38</v>
      </c>
      <c r="G176" s="2">
        <f t="shared" si="16"/>
        <v>103005.345</v>
      </c>
    </row>
    <row r="177" spans="1:7" x14ac:dyDescent="0.25">
      <c r="A177" s="18"/>
      <c r="B177" s="55" t="s">
        <v>225</v>
      </c>
      <c r="C177" s="2"/>
      <c r="D177" s="2"/>
      <c r="E177" s="2"/>
      <c r="F177" s="2"/>
      <c r="G177" s="2"/>
    </row>
    <row r="178" spans="1:7" x14ac:dyDescent="0.25">
      <c r="A178" s="18"/>
      <c r="B178" s="82" t="s">
        <v>226</v>
      </c>
      <c r="C178" s="2">
        <v>10000</v>
      </c>
      <c r="D178" s="2">
        <f t="shared" ref="D178:D182" si="18">C178/4</f>
        <v>2500</v>
      </c>
      <c r="E178" s="2"/>
      <c r="F178" s="2">
        <f t="shared" ref="F178:F179" si="19">C178-E178</f>
        <v>10000</v>
      </c>
      <c r="G178" s="2">
        <f t="shared" ref="G178:G179" si="20">D178-E178</f>
        <v>2500</v>
      </c>
    </row>
    <row r="179" spans="1:7" x14ac:dyDescent="0.25">
      <c r="A179" s="18"/>
      <c r="B179" s="55" t="s">
        <v>227</v>
      </c>
      <c r="C179" s="2">
        <v>10000</v>
      </c>
      <c r="D179" s="2">
        <f t="shared" si="18"/>
        <v>2500</v>
      </c>
      <c r="E179" s="2"/>
      <c r="F179" s="2">
        <f t="shared" si="19"/>
        <v>10000</v>
      </c>
      <c r="G179" s="2">
        <f t="shared" si="20"/>
        <v>2500</v>
      </c>
    </row>
    <row r="180" spans="1:7" x14ac:dyDescent="0.25">
      <c r="A180" s="18"/>
      <c r="B180" s="4" t="s">
        <v>228</v>
      </c>
      <c r="C180" s="2">
        <v>100000</v>
      </c>
      <c r="D180" s="2">
        <f t="shared" si="18"/>
        <v>25000</v>
      </c>
      <c r="E180" s="2"/>
      <c r="F180" s="2">
        <f t="shared" si="15"/>
        <v>100000</v>
      </c>
      <c r="G180" s="2">
        <f t="shared" si="16"/>
        <v>25000</v>
      </c>
    </row>
    <row r="181" spans="1:7" x14ac:dyDescent="0.25">
      <c r="A181" s="18"/>
      <c r="B181" s="4" t="s">
        <v>229</v>
      </c>
      <c r="C181" s="2">
        <v>300000</v>
      </c>
      <c r="D181" s="2">
        <f t="shared" si="18"/>
        <v>75000</v>
      </c>
      <c r="E181" s="2"/>
      <c r="F181" s="2">
        <f t="shared" si="15"/>
        <v>300000</v>
      </c>
      <c r="G181" s="2">
        <f t="shared" si="16"/>
        <v>75000</v>
      </c>
    </row>
    <row r="182" spans="1:7" x14ac:dyDescent="0.25">
      <c r="A182" s="18"/>
      <c r="B182" s="4" t="s">
        <v>105</v>
      </c>
      <c r="C182" s="2">
        <v>150000</v>
      </c>
      <c r="D182" s="2">
        <f t="shared" si="18"/>
        <v>37500</v>
      </c>
      <c r="E182" s="2"/>
      <c r="F182" s="2">
        <f t="shared" si="15"/>
        <v>150000</v>
      </c>
      <c r="G182" s="2">
        <f t="shared" si="16"/>
        <v>37500</v>
      </c>
    </row>
    <row r="183" spans="1:7" x14ac:dyDescent="0.25">
      <c r="A183" s="18"/>
      <c r="B183" s="27" t="s">
        <v>13</v>
      </c>
      <c r="C183" s="2"/>
      <c r="D183" s="2"/>
      <c r="E183" s="2"/>
      <c r="F183" s="2">
        <f t="shared" si="15"/>
        <v>0</v>
      </c>
      <c r="G183" s="2">
        <f t="shared" si="16"/>
        <v>0</v>
      </c>
    </row>
    <row r="184" spans="1:7" x14ac:dyDescent="0.25">
      <c r="A184" s="18"/>
      <c r="B184" s="4" t="s">
        <v>62</v>
      </c>
      <c r="C184" s="2"/>
      <c r="D184" s="2"/>
      <c r="E184" s="2"/>
      <c r="F184" s="2">
        <f t="shared" si="15"/>
        <v>0</v>
      </c>
      <c r="G184" s="2">
        <f t="shared" si="16"/>
        <v>0</v>
      </c>
    </row>
    <row r="185" spans="1:7" x14ac:dyDescent="0.25">
      <c r="A185" s="18"/>
      <c r="B185" s="83" t="s">
        <v>230</v>
      </c>
      <c r="C185" s="2">
        <v>500000</v>
      </c>
      <c r="D185" s="2">
        <f>C185/4</f>
        <v>125000</v>
      </c>
      <c r="E185" s="2"/>
      <c r="F185" s="2">
        <f>C185-E185</f>
        <v>500000</v>
      </c>
      <c r="G185" s="2">
        <f>D185-E185</f>
        <v>125000</v>
      </c>
    </row>
    <row r="186" spans="1:7" x14ac:dyDescent="0.25">
      <c r="A186" s="18"/>
      <c r="B186" s="4" t="s">
        <v>231</v>
      </c>
      <c r="C186" s="2"/>
      <c r="D186" s="2"/>
      <c r="E186" s="2"/>
      <c r="F186" s="2"/>
      <c r="G186" s="2"/>
    </row>
    <row r="187" spans="1:7" x14ac:dyDescent="0.25">
      <c r="A187" s="18"/>
      <c r="B187" s="83" t="s">
        <v>232</v>
      </c>
      <c r="C187" s="2">
        <v>2000000</v>
      </c>
      <c r="D187" s="2">
        <f t="shared" ref="D187:D188" si="21">C187/4</f>
        <v>500000</v>
      </c>
      <c r="E187" s="2"/>
      <c r="F187" s="2">
        <f t="shared" si="15"/>
        <v>2000000</v>
      </c>
      <c r="G187" s="2">
        <f t="shared" si="16"/>
        <v>500000</v>
      </c>
    </row>
    <row r="188" spans="1:7" x14ac:dyDescent="0.25">
      <c r="A188" s="18"/>
      <c r="B188" s="4" t="s">
        <v>233</v>
      </c>
      <c r="C188" s="2">
        <v>120000</v>
      </c>
      <c r="D188" s="2">
        <f t="shared" si="21"/>
        <v>30000</v>
      </c>
      <c r="E188" s="2"/>
      <c r="F188" s="2">
        <f t="shared" si="15"/>
        <v>120000</v>
      </c>
      <c r="G188" s="2">
        <f t="shared" si="16"/>
        <v>30000</v>
      </c>
    </row>
    <row r="189" spans="1:7" x14ac:dyDescent="0.25">
      <c r="A189" s="18"/>
      <c r="B189" s="4"/>
      <c r="C189" s="2"/>
      <c r="D189" s="2"/>
      <c r="E189" s="2"/>
      <c r="F189" s="2"/>
      <c r="G189" s="2"/>
    </row>
    <row r="190" spans="1:7" x14ac:dyDescent="0.25">
      <c r="A190" s="18"/>
      <c r="B190" s="39" t="s">
        <v>27</v>
      </c>
      <c r="C190" s="8">
        <f>SUM(C168:C189)</f>
        <v>10280999.579999998</v>
      </c>
      <c r="D190" s="8">
        <f>SUM(D168:D189)</f>
        <v>2570249.8949999996</v>
      </c>
      <c r="E190" s="8">
        <f>SUM(E168:E189)</f>
        <v>122000</v>
      </c>
      <c r="F190" s="8">
        <f>SUM(F168:F189)</f>
        <v>10158999.579999998</v>
      </c>
      <c r="G190" s="8">
        <f>SUM(G168:G189)</f>
        <v>2448249.8949999996</v>
      </c>
    </row>
    <row r="191" spans="1:7" ht="15.75" thickBot="1" x14ac:dyDescent="0.3">
      <c r="A191" s="40"/>
      <c r="B191" s="41" t="s">
        <v>64</v>
      </c>
      <c r="C191" s="20">
        <f>C190+C153+C115+C108+C101+C94+C87+C80+C73+C57+C50+C43+C36+C29+C22+C15</f>
        <v>48399801.709999993</v>
      </c>
      <c r="D191" s="20">
        <f>D190+D153+D115+D108+D101+D94+D87+D80+D73+D57+D50+D43+D36+D29+D22+D15</f>
        <v>12099950.427499998</v>
      </c>
      <c r="E191" s="20">
        <f>E190+E153+E115+E108+E101+E94+E87+E80+E73+E57+E50+E43+E36+E29+E22+E15</f>
        <v>2100573.7399999998</v>
      </c>
      <c r="F191" s="20">
        <f>F190+F153+F115+F108+F101+F94+F87+F80+F73+F57+F50+F43+F36+F29+F22+F15</f>
        <v>46299227.970000006</v>
      </c>
      <c r="G191" s="20">
        <f>G190+G153+G115+G108+G101+G94+G87+G80+G73+G57+G50+G43+G36+G29+G22+G15</f>
        <v>9999376.6875</v>
      </c>
    </row>
    <row r="192" spans="1:7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"/>
      <c r="F193" s="12"/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C195" s="12"/>
      <c r="D195" s="12"/>
      <c r="E195" s="12"/>
      <c r="F195" s="12"/>
      <c r="G195" s="12"/>
    </row>
    <row r="196" spans="2:12" x14ac:dyDescent="0.25">
      <c r="B196" s="42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</row>
    <row r="198" spans="2:12" x14ac:dyDescent="0.25">
      <c r="L198" s="13">
        <f>20*20</f>
        <v>400</v>
      </c>
    </row>
    <row r="201" spans="2:12" x14ac:dyDescent="0.25">
      <c r="C201" s="12"/>
      <c r="D201" s="114"/>
      <c r="E201" s="114"/>
      <c r="F201" s="12"/>
      <c r="G201" s="12"/>
    </row>
    <row r="202" spans="2:12" x14ac:dyDescent="0.25">
      <c r="C202" s="12"/>
      <c r="D202" s="12"/>
      <c r="E202" s="12"/>
      <c r="F202" s="12"/>
      <c r="G202" s="12"/>
      <c r="H202" s="54"/>
      <c r="I202" s="12"/>
    </row>
    <row r="203" spans="2:12" x14ac:dyDescent="0.25">
      <c r="C203" s="12"/>
      <c r="D203" s="12"/>
      <c r="E203" s="12"/>
      <c r="F203" s="12"/>
      <c r="G203" s="12"/>
      <c r="H203" s="54"/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53"/>
      <c r="D205" s="12"/>
      <c r="E205" s="12"/>
      <c r="F205" s="12"/>
      <c r="G205" s="12"/>
      <c r="I205" s="12"/>
    </row>
    <row r="206" spans="2:12" x14ac:dyDescent="0.25">
      <c r="C206" s="53"/>
      <c r="D206" s="12"/>
      <c r="E206" s="12"/>
      <c r="F206" s="12"/>
      <c r="G206" s="12"/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E208" s="12"/>
      <c r="F208" s="12"/>
      <c r="G208" s="12"/>
      <c r="I208" s="12"/>
    </row>
    <row r="209" spans="3:9" x14ac:dyDescent="0.25">
      <c r="C209" s="12"/>
      <c r="D209" s="12"/>
      <c r="E209" s="12"/>
      <c r="F209" s="12"/>
      <c r="G209" s="12"/>
      <c r="I209" s="12"/>
    </row>
    <row r="210" spans="3:9" x14ac:dyDescent="0.25">
      <c r="C210" s="12"/>
      <c r="D210" s="12"/>
      <c r="E210" s="12"/>
      <c r="F210" s="12"/>
      <c r="G210" s="12"/>
      <c r="I210" s="12"/>
    </row>
    <row r="211" spans="3:9" x14ac:dyDescent="0.25">
      <c r="C211" s="12"/>
      <c r="D211" s="12"/>
      <c r="E211" s="12"/>
      <c r="F211" s="12"/>
      <c r="G211" s="12"/>
      <c r="I211" s="12"/>
    </row>
    <row r="212" spans="3:9" x14ac:dyDescent="0.25">
      <c r="C212" s="12"/>
      <c r="D212" s="12"/>
      <c r="E212" s="12"/>
      <c r="F212" s="12"/>
      <c r="G212" s="12"/>
      <c r="I212" s="12"/>
    </row>
    <row r="213" spans="3:9" x14ac:dyDescent="0.25">
      <c r="C213" s="12"/>
      <c r="D213" s="12"/>
      <c r="E213" s="12"/>
      <c r="F213" s="12"/>
      <c r="G213" s="12"/>
    </row>
    <row r="214" spans="3:9" x14ac:dyDescent="0.25">
      <c r="C214" s="12"/>
      <c r="D214" s="12"/>
      <c r="E214" s="12"/>
      <c r="F214" s="12"/>
      <c r="G214" s="12"/>
    </row>
    <row r="215" spans="3:9" x14ac:dyDescent="0.25">
      <c r="C215" s="12"/>
      <c r="D215" s="12"/>
      <c r="E215" s="12"/>
      <c r="F215" s="12"/>
      <c r="G215" s="12"/>
    </row>
    <row r="216" spans="3:9" x14ac:dyDescent="0.25">
      <c r="C216" s="12"/>
      <c r="D216" s="12"/>
      <c r="E216" s="12"/>
      <c r="F216" s="12"/>
      <c r="G216" s="12"/>
    </row>
    <row r="217" spans="3:9" x14ac:dyDescent="0.25">
      <c r="C217" s="12"/>
      <c r="D217" s="12"/>
      <c r="E217" s="12"/>
      <c r="F217" s="12"/>
      <c r="G217" s="12"/>
    </row>
    <row r="218" spans="3:9" x14ac:dyDescent="0.25">
      <c r="C218" s="12"/>
      <c r="D218" s="12"/>
      <c r="E218" s="12"/>
      <c r="F218" s="12"/>
      <c r="G218" s="12"/>
    </row>
    <row r="219" spans="3:9" x14ac:dyDescent="0.25">
      <c r="C219" s="12"/>
      <c r="D219" s="12"/>
      <c r="E219" s="12"/>
      <c r="F219" s="12"/>
      <c r="G219" s="12"/>
    </row>
    <row r="220" spans="3:9" x14ac:dyDescent="0.25">
      <c r="C220" s="12"/>
      <c r="D220" s="12"/>
      <c r="E220" s="12"/>
      <c r="F220" s="12"/>
      <c r="G220" s="12"/>
    </row>
    <row r="221" spans="3:9" x14ac:dyDescent="0.25">
      <c r="C221" s="12"/>
      <c r="D221" s="12"/>
      <c r="E221" s="12"/>
      <c r="F221" s="12"/>
      <c r="G221" s="12"/>
    </row>
    <row r="222" spans="3:9" x14ac:dyDescent="0.25">
      <c r="C222" s="12"/>
      <c r="D222" s="12"/>
      <c r="E222" s="12"/>
      <c r="F222" s="12"/>
      <c r="G222" s="12"/>
    </row>
    <row r="223" spans="3:9" x14ac:dyDescent="0.25">
      <c r="C223" s="12"/>
      <c r="D223" s="12"/>
      <c r="E223" s="12"/>
      <c r="F223" s="12"/>
      <c r="G223" s="12"/>
    </row>
    <row r="224" spans="3:9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  <mergeCell ref="D201:E201"/>
    <mergeCell ref="A125:A126"/>
    <mergeCell ref="B125:B126"/>
    <mergeCell ref="C125:C126"/>
    <mergeCell ref="D125:D126"/>
    <mergeCell ref="E125:E126"/>
    <mergeCell ref="A163:A164"/>
    <mergeCell ref="B163:B164"/>
    <mergeCell ref="C163:C164"/>
    <mergeCell ref="D163:D164"/>
    <mergeCell ref="E163:E164"/>
  </mergeCells>
  <pageMargins left="0.16" right="0.11" top="0.4" bottom="0.31" header="0.3" footer="0.3"/>
  <pageSetup scale="83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3"/>
  <sheetViews>
    <sheetView topLeftCell="A127" zoomScale="140" zoomScaleNormal="140" workbookViewId="0">
      <selection activeCell="E129" sqref="E129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5" style="93" customWidth="1"/>
    <col min="6" max="6" width="16.28515625" style="13" customWidth="1"/>
    <col min="7" max="7" width="15.71093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252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7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8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94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95"/>
      <c r="F9" s="18"/>
      <c r="G9" s="18"/>
      <c r="I9" s="12">
        <f>8428.54/6</f>
        <v>1404.7566666666669</v>
      </c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96"/>
      <c r="F10" s="2"/>
      <c r="G10" s="2"/>
      <c r="I10" s="12">
        <f>14568.64/9</f>
        <v>1618.7377777777776</v>
      </c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v>1738387.04</v>
      </c>
      <c r="E11" s="96">
        <f>137223.36+167223.36+137223.36+157223.36+189811.36+137223.36+137223.36+138222.36+138222.36+138222.36</f>
        <v>1477818.5999999996</v>
      </c>
      <c r="F11" s="2">
        <f>C11-E11</f>
        <v>260568.44000000041</v>
      </c>
      <c r="G11" s="2">
        <f>D11-E11</f>
        <v>260568.44000000041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v>1215123.27</v>
      </c>
      <c r="E12" s="96">
        <f>68133.9+66346.33+10000+43240.91+52836.91+112317.5+214312+88720.39+398667.38+108260.56</f>
        <v>1162835.8800000001</v>
      </c>
      <c r="F12" s="2">
        <f t="shared" ref="F12:F13" si="0">C12-E12</f>
        <v>52287.389999999898</v>
      </c>
      <c r="G12" s="2">
        <f t="shared" ref="G12:G13" si="1">D12-E12</f>
        <v>52287.389999999898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v>150000</v>
      </c>
      <c r="E13" s="96"/>
      <c r="F13" s="2">
        <f t="shared" si="0"/>
        <v>150000</v>
      </c>
      <c r="G13" s="2">
        <f t="shared" si="1"/>
        <v>150000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96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3103510.31</v>
      </c>
      <c r="E15" s="97">
        <f>SUM(E11:E14)</f>
        <v>2640654.4799999995</v>
      </c>
      <c r="F15" s="8">
        <f>SUM(F11:F14)</f>
        <v>462855.83000000031</v>
      </c>
      <c r="G15" s="8">
        <f>SUM(G11:G14)</f>
        <v>462855.83000000031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96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96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v>8585093.1600000001</v>
      </c>
      <c r="E18" s="96">
        <f>603278.41+936306.35+603278.41+623357.41+843407.41+603357.41+603357.41+603368.68+603368.68+603368.68</f>
        <v>6626448.8499999996</v>
      </c>
      <c r="F18" s="2">
        <f>C18-E18</f>
        <v>1958644.3100000005</v>
      </c>
      <c r="G18" s="2">
        <f>D18-E18</f>
        <v>1958644.3100000005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v>1180936.3600000001</v>
      </c>
      <c r="E19" s="96">
        <f>119020+28460+11000+12060+116756+32818+133520+33877+167130</f>
        <v>654641</v>
      </c>
      <c r="F19" s="2">
        <f>C19-E19</f>
        <v>526295.3600000001</v>
      </c>
      <c r="G19" s="2">
        <f>D19-E19</f>
        <v>526295.3600000001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v>120000</v>
      </c>
      <c r="E20" s="96"/>
      <c r="F20" s="2">
        <f>C20-E20</f>
        <v>120000</v>
      </c>
      <c r="G20" s="2">
        <f>D20-E20</f>
        <v>120000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96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9886029.5199999996</v>
      </c>
      <c r="E22" s="97">
        <f>SUM(E18:E21)</f>
        <v>7281089.8499999996</v>
      </c>
      <c r="F22" s="8">
        <f>SUM(F18:F21)</f>
        <v>2604939.6700000009</v>
      </c>
      <c r="G22" s="8">
        <f>SUM(G18:G21)</f>
        <v>2604939.6700000009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96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96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v>1080068.32</v>
      </c>
      <c r="E25" s="96">
        <f>81375.15+96375.15+81375.15+96524.11+117488.61+81524.11+81524.11+81524.11+81524.11+81524.11</f>
        <v>880758.72</v>
      </c>
      <c r="F25" s="2">
        <f>C25-E25</f>
        <v>199309.60000000009</v>
      </c>
      <c r="G25" s="2">
        <f>D25-E25</f>
        <v>199309.60000000009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v>151285.45000000001</v>
      </c>
      <c r="E26" s="96">
        <f>4140+6862+7000+17697</f>
        <v>35699</v>
      </c>
      <c r="F26" s="2">
        <f>C26-E26</f>
        <v>115586.45000000001</v>
      </c>
      <c r="G26" s="2">
        <f>D26-E26</f>
        <v>115586.45000000001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v>30000</v>
      </c>
      <c r="E27" s="96"/>
      <c r="F27" s="2">
        <f>C27-E27</f>
        <v>30000</v>
      </c>
      <c r="G27" s="2">
        <f>D27-E27</f>
        <v>30000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96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1261353.77</v>
      </c>
      <c r="E29" s="97">
        <f>SUM(E25:E28)</f>
        <v>916457.72</v>
      </c>
      <c r="F29" s="8">
        <f>SUM(F25:F28)</f>
        <v>344896.0500000001</v>
      </c>
      <c r="G29" s="8">
        <f>SUM(G25:G28)</f>
        <v>344896.0500000001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96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96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v>833611.96</v>
      </c>
      <c r="E32" s="96">
        <f>63327.47+73327.47+63327.47+73327.47+89719.47+63374.55+63327.47+63327.47+63327.47+63408.11</f>
        <v>679794.41999999993</v>
      </c>
      <c r="F32" s="2">
        <f>C32-E32</f>
        <v>153817.54000000004</v>
      </c>
      <c r="G32" s="2">
        <f>D32-E32</f>
        <v>153817.54000000004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v>118966.2</v>
      </c>
      <c r="E33" s="96">
        <f>2000+2930+6487+4000+46007+2000+840</f>
        <v>64264</v>
      </c>
      <c r="F33" s="2">
        <f>C33-E33</f>
        <v>54702.2</v>
      </c>
      <c r="G33" s="2">
        <f>D33-E33</f>
        <v>54702.2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v>25000</v>
      </c>
      <c r="E34" s="96"/>
      <c r="F34" s="2">
        <f>C34-E34</f>
        <v>25000</v>
      </c>
      <c r="G34" s="2">
        <f>D34-E34</f>
        <v>25000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96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977578.15999999992</v>
      </c>
      <c r="E36" s="97">
        <f>SUM(E32:E35)</f>
        <v>744058.41999999993</v>
      </c>
      <c r="F36" s="8">
        <f>SUM(F32:F35)</f>
        <v>233519.74000000005</v>
      </c>
      <c r="G36" s="8">
        <f>SUM(G32:G35)</f>
        <v>233519.74000000005</v>
      </c>
      <c r="L36" s="12"/>
    </row>
    <row r="37" spans="1:13" x14ac:dyDescent="0.25">
      <c r="A37" s="25"/>
      <c r="B37" s="18"/>
      <c r="C37" s="2"/>
      <c r="D37" s="2"/>
      <c r="E37" s="96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96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v>686641.8</v>
      </c>
      <c r="E39" s="96">
        <f>53003.9+58003.9+53003.9+58003.9+73301.4+53003.9+53003.9+53003.9+53003.9+53003.9</f>
        <v>560336.50000000012</v>
      </c>
      <c r="F39" s="2">
        <f>C39-E39</f>
        <v>126305.29999999993</v>
      </c>
      <c r="G39" s="2">
        <f>D39-E39</f>
        <v>126305.29999999993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v>114943.85</v>
      </c>
      <c r="E40" s="96">
        <f>2000+5200+4218+24350+19795+6723.5</f>
        <v>62286.5</v>
      </c>
      <c r="F40" s="2">
        <f>C40-E40</f>
        <v>52657.350000000006</v>
      </c>
      <c r="G40" s="2">
        <f>D40-E40</f>
        <v>52657.350000000006</v>
      </c>
    </row>
    <row r="41" spans="1:13" x14ac:dyDescent="0.25">
      <c r="A41" s="25"/>
      <c r="B41" s="27" t="s">
        <v>13</v>
      </c>
      <c r="C41" s="2">
        <v>35000</v>
      </c>
      <c r="D41" s="2">
        <v>35000</v>
      </c>
      <c r="E41" s="96"/>
      <c r="F41" s="2">
        <f>C41-E41</f>
        <v>35000</v>
      </c>
      <c r="G41" s="2">
        <f>D41-E41</f>
        <v>35000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96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836585.65</v>
      </c>
      <c r="E43" s="97">
        <f>SUM(E39:E42)</f>
        <v>622623.00000000012</v>
      </c>
      <c r="F43" s="8">
        <f>SUM(F39:F42)</f>
        <v>213962.64999999994</v>
      </c>
      <c r="G43" s="8">
        <f>SUM(G39:G42)</f>
        <v>213962.64999999994</v>
      </c>
    </row>
    <row r="44" spans="1:13" x14ac:dyDescent="0.25">
      <c r="A44" s="25"/>
      <c r="B44" s="18"/>
      <c r="C44" s="2"/>
      <c r="D44" s="2"/>
      <c r="E44" s="96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96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v>1170532.04</v>
      </c>
      <c r="E46" s="96">
        <f>46303.17+61303.17+46303.17+61303.17+66713.67+46303.17+46303.17+46303.17+46303.17+46303.17</f>
        <v>513442.1999999999</v>
      </c>
      <c r="F46" s="2">
        <f>C46-E46</f>
        <v>657089.84000000008</v>
      </c>
      <c r="G46" s="2">
        <f>D46-E46</f>
        <v>657089.84000000008</v>
      </c>
    </row>
    <row r="47" spans="1:13" x14ac:dyDescent="0.25">
      <c r="A47" s="25"/>
      <c r="B47" s="27" t="s">
        <v>12</v>
      </c>
      <c r="C47" s="2">
        <v>225508</v>
      </c>
      <c r="D47" s="2">
        <v>225508</v>
      </c>
      <c r="E47" s="96">
        <f>9700+1000+1000+1000+36061+41748.75+4080+1000+5700</f>
        <v>101289.75</v>
      </c>
      <c r="F47" s="2">
        <f>C47-E47</f>
        <v>124218.25</v>
      </c>
      <c r="G47" s="2">
        <f>D47-E47</f>
        <v>124218.25</v>
      </c>
    </row>
    <row r="48" spans="1:13" x14ac:dyDescent="0.25">
      <c r="A48" s="25"/>
      <c r="B48" s="27" t="s">
        <v>13</v>
      </c>
      <c r="C48" s="2">
        <v>25000</v>
      </c>
      <c r="D48" s="2">
        <v>25000</v>
      </c>
      <c r="E48" s="96"/>
      <c r="F48" s="2">
        <f>C48-E48</f>
        <v>25000</v>
      </c>
      <c r="G48" s="2">
        <f>D48-E48</f>
        <v>25000</v>
      </c>
      <c r="H48" s="12"/>
    </row>
    <row r="49" spans="1:8" x14ac:dyDescent="0.25">
      <c r="A49" s="25"/>
      <c r="B49" s="27" t="s">
        <v>14</v>
      </c>
      <c r="C49" s="2"/>
      <c r="D49" s="2"/>
      <c r="E49" s="96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1421040.04</v>
      </c>
      <c r="E50" s="97">
        <f>SUM(E46:E49)</f>
        <v>614731.94999999995</v>
      </c>
      <c r="F50" s="8">
        <f>SUM(F46:F49)</f>
        <v>806308.09000000008</v>
      </c>
      <c r="G50" s="8">
        <f>SUM(G46:G49)</f>
        <v>806308.09000000008</v>
      </c>
      <c r="H50" s="12"/>
    </row>
    <row r="51" spans="1:8" x14ac:dyDescent="0.25">
      <c r="A51" s="25"/>
      <c r="B51" s="18"/>
      <c r="C51" s="2"/>
      <c r="D51" s="2"/>
      <c r="E51" s="96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96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v>1726562.96</v>
      </c>
      <c r="E53" s="96">
        <f>127589.33+162589.33+127589.33+162589.33+190014.83+127589.33+127589.33+127589.33+127589.33+127661.01</f>
        <v>1408390.48</v>
      </c>
      <c r="F53" s="2">
        <f>C53-E53</f>
        <v>318172.48</v>
      </c>
      <c r="G53" s="2">
        <f>D53-E53</f>
        <v>318172.48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v>380872.05</v>
      </c>
      <c r="E54" s="96">
        <f>7700+17777+1200+20827.9+18450+78025.44+62720.5+26159+22255+27733</f>
        <v>282847.83999999997</v>
      </c>
      <c r="F54" s="2">
        <f>C54-E54</f>
        <v>98024.210000000021</v>
      </c>
      <c r="G54" s="2">
        <f>D54-E54</f>
        <v>98024.210000000021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v>60000</v>
      </c>
      <c r="E55" s="96"/>
      <c r="F55" s="2">
        <f>C55-E55</f>
        <v>60000</v>
      </c>
      <c r="G55" s="2">
        <f>D55-E55</f>
        <v>60000</v>
      </c>
      <c r="H55" s="12"/>
    </row>
    <row r="56" spans="1:8" x14ac:dyDescent="0.25">
      <c r="A56" s="25"/>
      <c r="B56" s="27" t="s">
        <v>14</v>
      </c>
      <c r="C56" s="2"/>
      <c r="D56" s="2"/>
      <c r="E56" s="96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2167435.0099999998</v>
      </c>
      <c r="E57" s="97">
        <f>SUM(E53:E56)</f>
        <v>1691238.3199999998</v>
      </c>
      <c r="F57" s="8">
        <f>SUM(F53:F56)</f>
        <v>476196.69</v>
      </c>
      <c r="G57" s="8">
        <f>SUM(G53:G56)</f>
        <v>476196.69</v>
      </c>
      <c r="H57" s="12"/>
    </row>
    <row r="58" spans="1:8" ht="15.75" thickBot="1" x14ac:dyDescent="0.3">
      <c r="A58" s="30"/>
      <c r="B58" s="31"/>
      <c r="C58" s="9"/>
      <c r="D58" s="9"/>
      <c r="E58" s="98"/>
      <c r="F58" s="9"/>
      <c r="G58" s="32"/>
      <c r="H58" s="12"/>
    </row>
    <row r="59" spans="1:8" x14ac:dyDescent="0.25">
      <c r="A59" s="33"/>
      <c r="B59" s="34"/>
      <c r="C59" s="10"/>
      <c r="D59" s="10"/>
      <c r="E59" s="99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99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99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99"/>
      <c r="F62" s="10"/>
      <c r="G62" s="10"/>
      <c r="H62" s="12"/>
    </row>
    <row r="63" spans="1:8" x14ac:dyDescent="0.25">
      <c r="A63" s="22" t="s">
        <v>252</v>
      </c>
      <c r="B63" s="34"/>
      <c r="C63" s="10"/>
      <c r="D63" s="10"/>
      <c r="E63" s="99"/>
      <c r="F63" s="10"/>
      <c r="G63" s="10"/>
      <c r="H63" s="12"/>
    </row>
    <row r="64" spans="1:8" x14ac:dyDescent="0.25">
      <c r="A64" s="33"/>
      <c r="B64" s="34"/>
      <c r="C64" s="10"/>
      <c r="D64" s="10"/>
      <c r="E64" s="99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7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8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00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96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v>858385.92000000004</v>
      </c>
      <c r="E69" s="96">
        <f>65251.06+75251.06+65251.06+75251.06+92503.06+65251.06+65314.76+65251.06+65251.06+65251.06</f>
        <v>699826.3</v>
      </c>
      <c r="F69" s="2">
        <f>C69-E69</f>
        <v>158559.62</v>
      </c>
      <c r="G69" s="2">
        <f>D69-E69</f>
        <v>158559.62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v>123432.95</v>
      </c>
      <c r="E70" s="96">
        <f>2000+5300+2000+23853+34197+5971+3496+25452</f>
        <v>102269</v>
      </c>
      <c r="F70" s="2">
        <f>C70-E70</f>
        <v>21163.949999999997</v>
      </c>
      <c r="G70" s="2">
        <f>D70-E70</f>
        <v>21163.949999999997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v>30000</v>
      </c>
      <c r="E71" s="96"/>
      <c r="F71" s="2">
        <f>C71-E71</f>
        <v>30000</v>
      </c>
      <c r="G71" s="2">
        <f>D71-E71</f>
        <v>30000</v>
      </c>
      <c r="H71" s="12"/>
    </row>
    <row r="72" spans="1:8" x14ac:dyDescent="0.25">
      <c r="A72" s="25"/>
      <c r="B72" s="27" t="s">
        <v>14</v>
      </c>
      <c r="C72" s="2"/>
      <c r="D72" s="2"/>
      <c r="E72" s="96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1011818.87</v>
      </c>
      <c r="E73" s="97">
        <f>SUM(E69:E72)</f>
        <v>802095.3</v>
      </c>
      <c r="F73" s="8">
        <f>SUM(F69:F72)</f>
        <v>209723.57</v>
      </c>
      <c r="G73" s="8">
        <f>SUM(G69:G72)</f>
        <v>209723.57</v>
      </c>
      <c r="H73" s="12"/>
    </row>
    <row r="74" spans="1:8" x14ac:dyDescent="0.25">
      <c r="A74" s="25"/>
      <c r="B74" s="18"/>
      <c r="C74" s="2"/>
      <c r="D74" s="2"/>
      <c r="E74" s="96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18"/>
      <c r="E75" s="96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v>1199582.96</v>
      </c>
      <c r="E76" s="96">
        <f>43617.35+89117.35+43617.35+67471.91+52508.45+55487.21+44524.59+44524.59+44524.59+44524.59</f>
        <v>529917.98</v>
      </c>
      <c r="F76" s="2">
        <f>C76-E76</f>
        <v>669664.98</v>
      </c>
      <c r="G76" s="2">
        <f>D76-E76</f>
        <v>669664.98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v>824008.79</v>
      </c>
      <c r="E77" s="96">
        <f>65119.58+36394.25+745.65+23126.19+7219.48+320382.17+60826.33+59042.04+42133.39</f>
        <v>614989.07999999996</v>
      </c>
      <c r="F77" s="2">
        <f>C77-E77</f>
        <v>209019.71000000008</v>
      </c>
      <c r="G77" s="2">
        <f>D77-E77</f>
        <v>209019.71000000008</v>
      </c>
      <c r="H77" s="12"/>
    </row>
    <row r="78" spans="1:8" x14ac:dyDescent="0.25">
      <c r="A78" s="25"/>
      <c r="B78" s="27" t="s">
        <v>13</v>
      </c>
      <c r="C78" s="2"/>
      <c r="D78" s="2"/>
      <c r="E78" s="96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96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2023591.75</v>
      </c>
      <c r="E80" s="97">
        <f>SUM(E76:E79)</f>
        <v>1144907.06</v>
      </c>
      <c r="F80" s="8">
        <f>SUM(F76:F79)</f>
        <v>878684.69000000006</v>
      </c>
      <c r="G80" s="8">
        <f>SUM(G76:G79)</f>
        <v>878684.69000000006</v>
      </c>
      <c r="H80" s="12"/>
    </row>
    <row r="81" spans="1:8" x14ac:dyDescent="0.25">
      <c r="A81" s="25"/>
      <c r="B81" s="18"/>
      <c r="C81" s="2"/>
      <c r="D81" s="2"/>
      <c r="E81" s="96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18"/>
      <c r="E82" s="96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v>3169869.2</v>
      </c>
      <c r="E83" s="96">
        <f>238901.81+278901.81+238901.81+278901.81+344605.81+237251.81+237251.81+237251.81+237251.81+237858.85</f>
        <v>2567079.14</v>
      </c>
      <c r="F83" s="2">
        <f>C83-E83</f>
        <v>602790.06000000006</v>
      </c>
      <c r="G83" s="2">
        <f>D83-E83</f>
        <v>602790.06000000006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v>192388</v>
      </c>
      <c r="E84" s="96">
        <f>23860+10876.16+18548.32+55650+27930+6989+16668</f>
        <v>160521.48000000001</v>
      </c>
      <c r="F84" s="2">
        <f>C84-E84</f>
        <v>31866.51999999999</v>
      </c>
      <c r="G84" s="2">
        <f>D84-E84</f>
        <v>31866.51999999999</v>
      </c>
      <c r="H84" s="12"/>
    </row>
    <row r="85" spans="1:8" x14ac:dyDescent="0.25">
      <c r="A85" s="25"/>
      <c r="B85" s="27" t="s">
        <v>13</v>
      </c>
      <c r="C85" s="2"/>
      <c r="D85" s="2"/>
      <c r="E85" s="96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96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3362257.2</v>
      </c>
      <c r="E87" s="97">
        <f>SUM(E83:E86)</f>
        <v>2727600.62</v>
      </c>
      <c r="F87" s="8">
        <f>SUM(F83:F86)</f>
        <v>634656.58000000007</v>
      </c>
      <c r="G87" s="8">
        <f>SUM(G83:G86)</f>
        <v>634656.58000000007</v>
      </c>
      <c r="H87" s="12"/>
    </row>
    <row r="88" spans="1:8" x14ac:dyDescent="0.25">
      <c r="A88" s="25"/>
      <c r="B88" s="18"/>
      <c r="C88" s="2"/>
      <c r="D88" s="2"/>
      <c r="E88" s="96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96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v>1224893.68</v>
      </c>
      <c r="E90" s="96">
        <f>82617.57+102617.57+82617.57+102617.57+124557.57+82617.57+82617.57+82617.57+82617.57+82617.57</f>
        <v>908115.70000000019</v>
      </c>
      <c r="F90" s="2">
        <f>C90-E90</f>
        <v>316777.97999999975</v>
      </c>
      <c r="G90" s="2">
        <f>D90-E90</f>
        <v>316777.97999999975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v>208968</v>
      </c>
      <c r="E91" s="96">
        <f>6000+5454+2500+36480+12246+13690+9400</f>
        <v>85770</v>
      </c>
      <c r="F91" s="2">
        <f>C91-E91</f>
        <v>123198</v>
      </c>
      <c r="G91" s="2">
        <f>D91-E91</f>
        <v>123198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v>30000</v>
      </c>
      <c r="E92" s="96"/>
      <c r="F92" s="2">
        <f>C92-E92</f>
        <v>30000</v>
      </c>
      <c r="G92" s="2">
        <f>D92-E92</f>
        <v>30000</v>
      </c>
      <c r="H92" s="12"/>
    </row>
    <row r="93" spans="1:8" x14ac:dyDescent="0.25">
      <c r="A93" s="25"/>
      <c r="B93" s="27" t="s">
        <v>14</v>
      </c>
      <c r="C93" s="2"/>
      <c r="D93" s="2"/>
      <c r="E93" s="96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1463861.68</v>
      </c>
      <c r="E94" s="97">
        <f>SUM(E90:E93)</f>
        <v>993885.70000000019</v>
      </c>
      <c r="F94" s="8">
        <f>SUM(F90:F93)</f>
        <v>469975.97999999975</v>
      </c>
      <c r="G94" s="8">
        <f>SUM(G90:G93)</f>
        <v>469975.97999999975</v>
      </c>
      <c r="H94" s="12"/>
    </row>
    <row r="95" spans="1:8" x14ac:dyDescent="0.25">
      <c r="A95" s="25"/>
      <c r="B95" s="18"/>
      <c r="C95" s="2"/>
      <c r="D95" s="2"/>
      <c r="E95" s="96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96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v>927669.04</v>
      </c>
      <c r="E97" s="96">
        <f>63960.58+78960.58+123960.58+64700.76+121993.43+54700.76+52700.76+52700.76+52700.76+52700.76</f>
        <v>719079.73</v>
      </c>
      <c r="F97" s="2">
        <f>C97-E97</f>
        <v>208589.31000000006</v>
      </c>
      <c r="G97" s="2">
        <f>D97-E97</f>
        <v>208589.31000000006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v>103520</v>
      </c>
      <c r="E98" s="96">
        <f>3000+9240+27855+3030+8002+2024</f>
        <v>53151</v>
      </c>
      <c r="F98" s="2">
        <f>C98-E98</f>
        <v>50369</v>
      </c>
      <c r="G98" s="2">
        <f>D98-E98</f>
        <v>50369</v>
      </c>
      <c r="H98" s="12"/>
    </row>
    <row r="99" spans="1:8" x14ac:dyDescent="0.25">
      <c r="A99" s="25"/>
      <c r="B99" s="27" t="s">
        <v>13</v>
      </c>
      <c r="C99" s="2"/>
      <c r="D99" s="2"/>
      <c r="E99" s="96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96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1031189.04</v>
      </c>
      <c r="E101" s="97">
        <f>SUM(E97:E100)</f>
        <v>772230.73</v>
      </c>
      <c r="F101" s="8">
        <f>SUM(F97:F100)</f>
        <v>258958.31000000006</v>
      </c>
      <c r="G101" s="8">
        <f>SUM(G97:G100)</f>
        <v>258958.31000000006</v>
      </c>
      <c r="H101" s="12"/>
    </row>
    <row r="102" spans="1:8" x14ac:dyDescent="0.25">
      <c r="A102" s="25"/>
      <c r="B102" s="18"/>
      <c r="C102" s="2"/>
      <c r="D102" s="2"/>
      <c r="E102" s="96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96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v>1134720.48</v>
      </c>
      <c r="E104" s="96">
        <f>84930+99930+85263.57+99930+123055+84930+84930+87535.18+85754.62+85754.62</f>
        <v>922012.99</v>
      </c>
      <c r="F104" s="2">
        <f>C104-E104</f>
        <v>212707.49</v>
      </c>
      <c r="G104" s="2">
        <f>D104-E104</f>
        <v>212707.49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v>67403.05</v>
      </c>
      <c r="E105" s="96">
        <f>515+12069+23850+8400</f>
        <v>44834</v>
      </c>
      <c r="F105" s="2">
        <f>C105-E105</f>
        <v>22569.050000000003</v>
      </c>
      <c r="G105" s="2">
        <f>D105-E105</f>
        <v>22569.050000000003</v>
      </c>
      <c r="H105" s="12"/>
    </row>
    <row r="106" spans="1:8" x14ac:dyDescent="0.25">
      <c r="A106" s="25"/>
      <c r="B106" s="27" t="s">
        <v>13</v>
      </c>
      <c r="C106" s="2"/>
      <c r="D106" s="2"/>
      <c r="E106" s="96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96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1202123.53</v>
      </c>
      <c r="E108" s="97">
        <f>SUM(E104:E107)</f>
        <v>966846.99</v>
      </c>
      <c r="F108" s="8">
        <f>SUM(F104:F107)</f>
        <v>235276.53999999998</v>
      </c>
      <c r="G108" s="8">
        <f>SUM(G104:G107)</f>
        <v>235276.53999999998</v>
      </c>
      <c r="H108" s="12"/>
    </row>
    <row r="109" spans="1:8" x14ac:dyDescent="0.25">
      <c r="A109" s="25"/>
      <c r="B109" s="18"/>
      <c r="C109" s="2"/>
      <c r="D109" s="2"/>
      <c r="E109" s="96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96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96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v>130000</v>
      </c>
      <c r="E112" s="96"/>
      <c r="F112" s="2">
        <f>C112-E112</f>
        <v>130000</v>
      </c>
      <c r="G112" s="2">
        <f>D112-E112</f>
        <v>130000</v>
      </c>
      <c r="H112" s="12"/>
    </row>
    <row r="113" spans="1:8" x14ac:dyDescent="0.25">
      <c r="A113" s="25"/>
      <c r="B113" s="27" t="s">
        <v>13</v>
      </c>
      <c r="C113" s="2"/>
      <c r="D113" s="2"/>
      <c r="E113" s="96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96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130000</v>
      </c>
      <c r="E115" s="97">
        <f>SUM(E111:E114)</f>
        <v>0</v>
      </c>
      <c r="F115" s="8">
        <f>SUM(F111:F114)</f>
        <v>130000</v>
      </c>
      <c r="G115" s="8">
        <f>SUM(G111:G114)</f>
        <v>130000</v>
      </c>
      <c r="H115" s="12"/>
    </row>
    <row r="116" spans="1:8" ht="15.75" thickBot="1" x14ac:dyDescent="0.3">
      <c r="A116" s="35"/>
      <c r="B116" s="36"/>
      <c r="C116" s="9"/>
      <c r="D116" s="9"/>
      <c r="E116" s="98"/>
      <c r="F116" s="9"/>
      <c r="G116" s="32"/>
      <c r="H116" s="12"/>
    </row>
    <row r="117" spans="1:8" x14ac:dyDescent="0.25">
      <c r="C117" s="12"/>
      <c r="D117" s="12"/>
      <c r="E117" s="101"/>
      <c r="F117" s="12"/>
      <c r="G117" s="12"/>
      <c r="H117" s="12"/>
    </row>
    <row r="118" spans="1:8" x14ac:dyDescent="0.25">
      <c r="C118" s="12"/>
      <c r="D118" s="12"/>
      <c r="E118" s="101">
        <f>E15+E22+E29+E36+E43+E50+E57+E73+E80+E87+E94+E101+E108+E115+E172+E173</f>
        <v>23216223.399999999</v>
      </c>
      <c r="F118" s="12"/>
      <c r="G118" s="12"/>
      <c r="H118" s="12"/>
    </row>
    <row r="119" spans="1:8" x14ac:dyDescent="0.25">
      <c r="C119" s="12"/>
      <c r="D119" s="12"/>
      <c r="E119" s="101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99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99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99"/>
      <c r="F122" s="10"/>
      <c r="G122" s="10"/>
      <c r="H122" s="12"/>
    </row>
    <row r="123" spans="1:8" x14ac:dyDescent="0.25">
      <c r="A123" s="22" t="s">
        <v>252</v>
      </c>
      <c r="B123" s="34"/>
      <c r="C123" s="10"/>
      <c r="D123" s="10"/>
      <c r="E123" s="99"/>
      <c r="F123" s="10"/>
      <c r="G123" s="10"/>
      <c r="H123" s="12"/>
    </row>
    <row r="124" spans="1:8" x14ac:dyDescent="0.25">
      <c r="A124" s="33"/>
      <c r="B124" s="34"/>
      <c r="C124" s="10"/>
      <c r="D124" s="10"/>
      <c r="E124" s="99"/>
      <c r="F124" s="10"/>
      <c r="G124" s="10"/>
      <c r="H124" s="12"/>
    </row>
    <row r="125" spans="1:8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7" t="s">
        <v>7</v>
      </c>
      <c r="F125" s="15" t="s">
        <v>8</v>
      </c>
      <c r="G125" s="15" t="s">
        <v>8</v>
      </c>
      <c r="H125" s="12"/>
    </row>
    <row r="126" spans="1:8" x14ac:dyDescent="0.25">
      <c r="A126" s="116"/>
      <c r="B126" s="116"/>
      <c r="C126" s="116"/>
      <c r="D126" s="116"/>
      <c r="E126" s="118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00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v>38596</v>
      </c>
      <c r="E128" s="96"/>
      <c r="F128" s="2">
        <f t="shared" ref="F128:F155" si="2">C128-E128</f>
        <v>38596</v>
      </c>
      <c r="G128" s="2">
        <f t="shared" ref="G128:G156" si="3">D128-E128</f>
        <v>38596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v>430000</v>
      </c>
      <c r="E129" s="96">
        <f>19047.59+5400+3600+6000+20575+6975</f>
        <v>61597.59</v>
      </c>
      <c r="F129" s="2">
        <f t="shared" si="2"/>
        <v>368402.41000000003</v>
      </c>
      <c r="G129" s="2">
        <f t="shared" si="3"/>
        <v>368402.41000000003</v>
      </c>
      <c r="H129" s="12"/>
    </row>
    <row r="130" spans="1:10" x14ac:dyDescent="0.25">
      <c r="A130" s="18"/>
      <c r="B130" s="84" t="s">
        <v>88</v>
      </c>
      <c r="C130" s="85">
        <v>20000</v>
      </c>
      <c r="D130" s="85">
        <v>20000</v>
      </c>
      <c r="E130" s="96">
        <f>30000+19849+25142.05</f>
        <v>74991.05</v>
      </c>
      <c r="F130" s="2">
        <f t="shared" si="2"/>
        <v>-54991.05</v>
      </c>
      <c r="G130" s="2">
        <f t="shared" si="3"/>
        <v>-54991.05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v>300000</v>
      </c>
      <c r="E131" s="96"/>
      <c r="F131" s="2">
        <f t="shared" si="2"/>
        <v>300000</v>
      </c>
      <c r="G131" s="2">
        <f t="shared" si="3"/>
        <v>300000</v>
      </c>
      <c r="H131" s="12"/>
    </row>
    <row r="132" spans="1:10" x14ac:dyDescent="0.25">
      <c r="A132" s="18"/>
      <c r="B132" s="84" t="s">
        <v>166</v>
      </c>
      <c r="C132" s="85">
        <v>0</v>
      </c>
      <c r="D132" s="85">
        <v>0</v>
      </c>
      <c r="E132" s="96"/>
      <c r="F132" s="2"/>
      <c r="G132" s="2"/>
      <c r="H132" s="12"/>
    </row>
    <row r="133" spans="1:10" x14ac:dyDescent="0.25">
      <c r="A133" s="18"/>
      <c r="B133" s="18" t="s">
        <v>143</v>
      </c>
      <c r="C133" s="2">
        <v>145000</v>
      </c>
      <c r="D133" s="2">
        <v>145000</v>
      </c>
      <c r="E133" s="96">
        <f>3000+3990+38040+43508</f>
        <v>88538</v>
      </c>
      <c r="F133" s="2">
        <f t="shared" si="2"/>
        <v>56462</v>
      </c>
      <c r="G133" s="2">
        <f t="shared" si="3"/>
        <v>56462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v>120000</v>
      </c>
      <c r="E134" s="96">
        <v>3450</v>
      </c>
      <c r="F134" s="2">
        <f t="shared" si="2"/>
        <v>116550</v>
      </c>
      <c r="G134" s="2">
        <f t="shared" si="3"/>
        <v>116550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v>75000</v>
      </c>
      <c r="E135" s="96">
        <f>1775</f>
        <v>1775</v>
      </c>
      <c r="F135" s="2">
        <f t="shared" si="2"/>
        <v>73225</v>
      </c>
      <c r="G135" s="2">
        <f t="shared" si="3"/>
        <v>73225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v>1500000</v>
      </c>
      <c r="E136" s="96">
        <f>214375+103410+218450+95575+191615+108890+193970+288520+81940+103755</f>
        <v>1600500</v>
      </c>
      <c r="F136" s="2">
        <f t="shared" si="2"/>
        <v>-100500</v>
      </c>
      <c r="G136" s="2">
        <f t="shared" si="3"/>
        <v>-100500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v>100000</v>
      </c>
      <c r="E137" s="96"/>
      <c r="F137" s="2">
        <f t="shared" si="2"/>
        <v>100000</v>
      </c>
      <c r="G137" s="2">
        <f t="shared" si="3"/>
        <v>100000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f>150000-100000</f>
        <v>50000</v>
      </c>
      <c r="D138" s="2">
        <f>150000-100000</f>
        <v>50000</v>
      </c>
      <c r="E138" s="96"/>
      <c r="F138" s="2">
        <f t="shared" si="2"/>
        <v>50000</v>
      </c>
      <c r="G138" s="2">
        <f t="shared" si="3"/>
        <v>50000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v>70000</v>
      </c>
      <c r="E139" s="96"/>
      <c r="F139" s="2">
        <f t="shared" si="2"/>
        <v>70000</v>
      </c>
      <c r="G139" s="2">
        <f t="shared" si="3"/>
        <v>70000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v>300000</v>
      </c>
      <c r="E140" s="96">
        <f>1160+28831+300+600</f>
        <v>30891</v>
      </c>
      <c r="F140" s="2">
        <f t="shared" si="2"/>
        <v>269109</v>
      </c>
      <c r="G140" s="2">
        <f t="shared" si="3"/>
        <v>269109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v>20000</v>
      </c>
      <c r="E141" s="96">
        <f>3550+900</f>
        <v>4450</v>
      </c>
      <c r="F141" s="2">
        <f>C141-E141</f>
        <v>15550</v>
      </c>
      <c r="G141" s="2">
        <f>D141-E141</f>
        <v>15550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v>15000</v>
      </c>
      <c r="E142" s="96"/>
      <c r="F142" s="2">
        <f t="shared" si="2"/>
        <v>15000</v>
      </c>
      <c r="G142" s="2">
        <f t="shared" si="3"/>
        <v>15000</v>
      </c>
      <c r="J142" s="12"/>
    </row>
    <row r="143" spans="1:10" x14ac:dyDescent="0.25">
      <c r="A143" s="18"/>
      <c r="B143" s="84" t="s">
        <v>51</v>
      </c>
      <c r="C143" s="85">
        <f>750000-300000</f>
        <v>450000</v>
      </c>
      <c r="D143" s="85">
        <f>750000-300000</f>
        <v>450000</v>
      </c>
      <c r="E143" s="96">
        <f>14250+40863.89+16600+33570.54+8900+4725</f>
        <v>118909.43</v>
      </c>
      <c r="F143" s="2">
        <f t="shared" si="2"/>
        <v>331090.57</v>
      </c>
      <c r="G143" s="2">
        <f t="shared" si="3"/>
        <v>331090.57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v>50000</v>
      </c>
      <c r="E144" s="96">
        <v>8500</v>
      </c>
      <c r="F144" s="2">
        <f t="shared" si="2"/>
        <v>41500</v>
      </c>
      <c r="G144" s="2">
        <f t="shared" si="3"/>
        <v>41500</v>
      </c>
    </row>
    <row r="145" spans="1:7" x14ac:dyDescent="0.25">
      <c r="A145" s="18"/>
      <c r="B145" s="18" t="s">
        <v>223</v>
      </c>
      <c r="C145" s="2">
        <v>455427.6</v>
      </c>
      <c r="D145" s="2">
        <v>455427.6</v>
      </c>
      <c r="E145" s="96"/>
      <c r="F145" s="2">
        <f t="shared" si="2"/>
        <v>455427.6</v>
      </c>
      <c r="G145" s="2">
        <f t="shared" si="3"/>
        <v>455427.6</v>
      </c>
    </row>
    <row r="146" spans="1:7" x14ac:dyDescent="0.25">
      <c r="A146" s="18"/>
      <c r="B146" s="84" t="s">
        <v>210</v>
      </c>
      <c r="C146" s="85">
        <f>1200000-700000</f>
        <v>500000</v>
      </c>
      <c r="D146" s="85">
        <f>1200000-700000</f>
        <v>500000</v>
      </c>
      <c r="E146" s="96">
        <f>2200+25000+152824+30000+1200+28060</f>
        <v>239284</v>
      </c>
      <c r="F146" s="2">
        <f t="shared" si="2"/>
        <v>260716</v>
      </c>
      <c r="G146" s="2">
        <f t="shared" si="3"/>
        <v>260716</v>
      </c>
    </row>
    <row r="147" spans="1:7" x14ac:dyDescent="0.25">
      <c r="A147" s="18"/>
      <c r="B147" s="18" t="s">
        <v>211</v>
      </c>
      <c r="C147" s="2">
        <v>500000</v>
      </c>
      <c r="D147" s="2">
        <v>500000</v>
      </c>
      <c r="E147" s="96"/>
      <c r="F147" s="2">
        <f t="shared" si="2"/>
        <v>500000</v>
      </c>
      <c r="G147" s="2">
        <f t="shared" si="3"/>
        <v>500000</v>
      </c>
    </row>
    <row r="148" spans="1:7" x14ac:dyDescent="0.25">
      <c r="A148" s="18"/>
      <c r="B148" s="18" t="s">
        <v>212</v>
      </c>
      <c r="C148" s="2">
        <v>300000</v>
      </c>
      <c r="D148" s="2">
        <v>300000</v>
      </c>
      <c r="E148" s="96">
        <f>4116.65+40000+30000+9360</f>
        <v>83476.649999999994</v>
      </c>
      <c r="F148" s="2">
        <f t="shared" si="2"/>
        <v>216523.35</v>
      </c>
      <c r="G148" s="2">
        <f t="shared" si="3"/>
        <v>216523.35</v>
      </c>
    </row>
    <row r="149" spans="1:7" x14ac:dyDescent="0.25">
      <c r="A149" s="18"/>
      <c r="B149" s="18" t="s">
        <v>213</v>
      </c>
      <c r="C149" s="2">
        <v>375000</v>
      </c>
      <c r="D149" s="2">
        <v>375000</v>
      </c>
      <c r="E149" s="96">
        <v>1500</v>
      </c>
      <c r="F149" s="2">
        <f t="shared" si="2"/>
        <v>373500</v>
      </c>
      <c r="G149" s="2">
        <f t="shared" si="3"/>
        <v>373500</v>
      </c>
    </row>
    <row r="150" spans="1:7" x14ac:dyDescent="0.25">
      <c r="A150" s="18"/>
      <c r="B150" s="84" t="s">
        <v>32</v>
      </c>
      <c r="C150" s="85">
        <f>250000-100000</f>
        <v>150000</v>
      </c>
      <c r="D150" s="85">
        <f>250000-100000</f>
        <v>150000</v>
      </c>
      <c r="E150" s="96">
        <f>945.85+400+15186+493.34+758</f>
        <v>17783.189999999999</v>
      </c>
      <c r="F150" s="2">
        <f t="shared" si="2"/>
        <v>132216.81</v>
      </c>
      <c r="G150" s="2">
        <f t="shared" si="3"/>
        <v>132216.81</v>
      </c>
    </row>
    <row r="151" spans="1:7" x14ac:dyDescent="0.25">
      <c r="A151" s="18"/>
      <c r="B151" s="18" t="s">
        <v>96</v>
      </c>
      <c r="C151" s="2">
        <v>776404</v>
      </c>
      <c r="D151" s="2">
        <v>776404</v>
      </c>
      <c r="E151" s="96">
        <f>194101+194101+388202</f>
        <v>776404</v>
      </c>
      <c r="F151" s="2">
        <f t="shared" si="2"/>
        <v>0</v>
      </c>
      <c r="G151" s="2">
        <f t="shared" si="3"/>
        <v>0</v>
      </c>
    </row>
    <row r="152" spans="1:7" x14ac:dyDescent="0.25">
      <c r="A152" s="18"/>
      <c r="B152" s="86" t="s">
        <v>241</v>
      </c>
      <c r="C152" s="87">
        <v>100000</v>
      </c>
      <c r="D152" s="87">
        <v>100000</v>
      </c>
      <c r="E152" s="96">
        <v>100000</v>
      </c>
      <c r="F152" s="2">
        <f t="shared" si="2"/>
        <v>0</v>
      </c>
      <c r="G152" s="2">
        <f t="shared" si="3"/>
        <v>0</v>
      </c>
    </row>
    <row r="153" spans="1:7" x14ac:dyDescent="0.25">
      <c r="A153" s="18"/>
      <c r="B153" s="86" t="s">
        <v>242</v>
      </c>
      <c r="C153" s="87">
        <v>200000</v>
      </c>
      <c r="D153" s="87">
        <v>200000</v>
      </c>
      <c r="E153" s="96"/>
      <c r="F153" s="2">
        <f t="shared" si="2"/>
        <v>200000</v>
      </c>
      <c r="G153" s="2">
        <f t="shared" si="3"/>
        <v>200000</v>
      </c>
    </row>
    <row r="154" spans="1:7" x14ac:dyDescent="0.25">
      <c r="A154" s="18"/>
      <c r="B154" s="86" t="s">
        <v>243</v>
      </c>
      <c r="C154" s="87">
        <v>800000</v>
      </c>
      <c r="D154" s="87">
        <v>800000</v>
      </c>
      <c r="E154" s="96">
        <v>800000</v>
      </c>
      <c r="F154" s="2">
        <f t="shared" si="2"/>
        <v>0</v>
      </c>
      <c r="G154" s="2">
        <f t="shared" si="3"/>
        <v>0</v>
      </c>
    </row>
    <row r="155" spans="1:7" x14ac:dyDescent="0.25">
      <c r="A155" s="18"/>
      <c r="B155" s="86" t="s">
        <v>244</v>
      </c>
      <c r="C155" s="87">
        <v>400000</v>
      </c>
      <c r="D155" s="87">
        <v>400000</v>
      </c>
      <c r="E155" s="96">
        <v>400000</v>
      </c>
      <c r="F155" s="2">
        <f t="shared" si="2"/>
        <v>0</v>
      </c>
      <c r="G155" s="2">
        <f t="shared" si="3"/>
        <v>0</v>
      </c>
    </row>
    <row r="156" spans="1:7" x14ac:dyDescent="0.25">
      <c r="A156" s="37"/>
      <c r="B156" s="37"/>
      <c r="C156" s="6"/>
      <c r="D156" s="6"/>
      <c r="E156" s="102"/>
      <c r="F156" s="2"/>
      <c r="G156" s="2">
        <f t="shared" si="3"/>
        <v>0</v>
      </c>
    </row>
    <row r="157" spans="1:7" x14ac:dyDescent="0.25">
      <c r="A157" s="38"/>
      <c r="B157" s="28" t="s">
        <v>27</v>
      </c>
      <c r="C157" s="8">
        <f>SUM(C128:C156)</f>
        <v>8240427.5999999996</v>
      </c>
      <c r="D157" s="8">
        <f>SUM(D128:D156)</f>
        <v>8240427.5999999996</v>
      </c>
      <c r="E157" s="97">
        <f>SUM(E128:E156)</f>
        <v>4412049.91</v>
      </c>
      <c r="F157" s="8">
        <f>SUM(F128:F156)</f>
        <v>3828377.6900000004</v>
      </c>
      <c r="G157" s="8">
        <f>SUM(G128:G156)</f>
        <v>3828377.6900000004</v>
      </c>
    </row>
    <row r="158" spans="1:7" x14ac:dyDescent="0.25">
      <c r="C158" s="7"/>
    </row>
    <row r="159" spans="1:7" x14ac:dyDescent="0.25">
      <c r="C159" s="14"/>
      <c r="E159" s="103"/>
    </row>
    <row r="160" spans="1:7" x14ac:dyDescent="0.25">
      <c r="C160" s="14"/>
    </row>
    <row r="162" spans="1:9" x14ac:dyDescent="0.25">
      <c r="A162" s="13" t="s">
        <v>0</v>
      </c>
      <c r="B162" s="34"/>
      <c r="C162" s="10"/>
      <c r="D162" s="10"/>
      <c r="E162" s="99">
        <f>E159-E161</f>
        <v>0</v>
      </c>
      <c r="F162" s="10"/>
      <c r="G162" s="10"/>
    </row>
    <row r="163" spans="1:9" x14ac:dyDescent="0.25">
      <c r="A163" s="13" t="s">
        <v>1</v>
      </c>
      <c r="B163" s="34"/>
      <c r="C163" s="10"/>
      <c r="D163" s="10"/>
      <c r="E163" s="99"/>
      <c r="F163" s="10"/>
      <c r="G163" s="10"/>
    </row>
    <row r="164" spans="1:9" x14ac:dyDescent="0.25">
      <c r="A164" s="13" t="s">
        <v>2</v>
      </c>
      <c r="B164" s="34"/>
      <c r="C164" s="10"/>
      <c r="D164" s="10"/>
      <c r="E164" s="99"/>
      <c r="F164" s="10"/>
      <c r="G164" s="10"/>
    </row>
    <row r="165" spans="1:9" x14ac:dyDescent="0.25">
      <c r="A165" s="22" t="s">
        <v>252</v>
      </c>
      <c r="B165" s="34"/>
      <c r="C165" s="10"/>
      <c r="D165" s="10"/>
      <c r="E165" s="99"/>
      <c r="F165" s="10"/>
      <c r="G165" s="10"/>
    </row>
    <row r="166" spans="1:9" x14ac:dyDescent="0.25">
      <c r="A166" s="33"/>
      <c r="B166" s="34"/>
      <c r="C166" s="10"/>
      <c r="D166" s="10"/>
      <c r="E166" s="99"/>
      <c r="F166" s="10"/>
      <c r="G166" s="10"/>
    </row>
    <row r="167" spans="1:9" x14ac:dyDescent="0.25">
      <c r="A167" s="115" t="s">
        <v>3</v>
      </c>
      <c r="B167" s="115" t="s">
        <v>4</v>
      </c>
      <c r="C167" s="115" t="s">
        <v>5</v>
      </c>
      <c r="D167" s="115" t="s">
        <v>6</v>
      </c>
      <c r="E167" s="117" t="s">
        <v>7</v>
      </c>
      <c r="F167" s="15" t="s">
        <v>8</v>
      </c>
      <c r="G167" s="15" t="s">
        <v>8</v>
      </c>
    </row>
    <row r="168" spans="1:9" x14ac:dyDescent="0.25">
      <c r="A168" s="116"/>
      <c r="B168" s="116"/>
      <c r="C168" s="116"/>
      <c r="D168" s="116"/>
      <c r="E168" s="118"/>
      <c r="F168" s="16" t="s">
        <v>5</v>
      </c>
      <c r="G168" s="16" t="s">
        <v>6</v>
      </c>
    </row>
    <row r="169" spans="1:9" x14ac:dyDescent="0.25">
      <c r="A169" s="17"/>
      <c r="B169" s="17"/>
      <c r="C169" s="17"/>
      <c r="D169" s="17"/>
      <c r="E169" s="94"/>
      <c r="F169" s="17"/>
      <c r="G169" s="17"/>
    </row>
    <row r="170" spans="1:9" x14ac:dyDescent="0.25">
      <c r="A170" s="18"/>
      <c r="B170" s="26" t="s">
        <v>53</v>
      </c>
      <c r="C170" s="18"/>
      <c r="D170" s="18"/>
      <c r="E170" s="95"/>
      <c r="F170" s="18"/>
      <c r="G170" s="18"/>
    </row>
    <row r="171" spans="1:9" x14ac:dyDescent="0.25">
      <c r="A171" s="18"/>
      <c r="B171" s="27" t="s">
        <v>11</v>
      </c>
      <c r="C171" s="2"/>
      <c r="D171" s="2"/>
      <c r="E171" s="96"/>
      <c r="F171" s="2"/>
      <c r="G171" s="2"/>
    </row>
    <row r="172" spans="1:9" x14ac:dyDescent="0.25">
      <c r="A172" s="18"/>
      <c r="B172" s="4" t="s">
        <v>58</v>
      </c>
      <c r="C172" s="2">
        <v>320000</v>
      </c>
      <c r="D172" s="2">
        <v>320000</v>
      </c>
      <c r="E172" s="96">
        <f>16993+74825.49+65490.16+14605.54+162894.26+4994.81</f>
        <v>339803.26000000007</v>
      </c>
      <c r="F172" s="2">
        <f t="shared" ref="F172:F192" si="4">C172-E172</f>
        <v>-19803.260000000068</v>
      </c>
      <c r="G172" s="2">
        <f t="shared" ref="G172:G192" si="5">D172-E172</f>
        <v>-19803.260000000068</v>
      </c>
    </row>
    <row r="173" spans="1:9" x14ac:dyDescent="0.25">
      <c r="A173" s="18"/>
      <c r="B173" s="4" t="s">
        <v>59</v>
      </c>
      <c r="C173" s="2">
        <v>1000000</v>
      </c>
      <c r="D173" s="2">
        <v>1000000</v>
      </c>
      <c r="E173" s="96">
        <f>122000+120000+120000+120000+120000+120000+118000+118000</f>
        <v>958000</v>
      </c>
      <c r="F173" s="2">
        <f t="shared" si="4"/>
        <v>42000</v>
      </c>
      <c r="G173" s="2">
        <f t="shared" si="5"/>
        <v>42000</v>
      </c>
      <c r="I173" s="14">
        <f>E173*12</f>
        <v>11496000</v>
      </c>
    </row>
    <row r="174" spans="1:9" x14ac:dyDescent="0.25">
      <c r="A174" s="18"/>
      <c r="B174" s="27" t="s">
        <v>12</v>
      </c>
      <c r="C174" s="2"/>
      <c r="D174" s="2"/>
      <c r="E174" s="96"/>
      <c r="F174" s="2">
        <f t="shared" si="4"/>
        <v>0</v>
      </c>
      <c r="G174" s="2">
        <f t="shared" si="5"/>
        <v>0</v>
      </c>
    </row>
    <row r="175" spans="1:9" x14ac:dyDescent="0.25">
      <c r="A175" s="18"/>
      <c r="B175" s="4" t="s">
        <v>54</v>
      </c>
      <c r="C175" s="2">
        <v>2419990.09</v>
      </c>
      <c r="D175" s="2">
        <v>2419990.09</v>
      </c>
      <c r="E175" s="96">
        <f>78500+434768.95+5950+4083.08+3358.6</f>
        <v>526660.63</v>
      </c>
      <c r="F175" s="2">
        <f t="shared" si="4"/>
        <v>1893329.46</v>
      </c>
      <c r="G175" s="2">
        <f t="shared" si="5"/>
        <v>1893329.46</v>
      </c>
      <c r="I175" s="14">
        <f>C175/4</f>
        <v>604997.52249999996</v>
      </c>
    </row>
    <row r="176" spans="1:9" x14ac:dyDescent="0.25">
      <c r="A176" s="18"/>
      <c r="B176" s="4" t="s">
        <v>55</v>
      </c>
      <c r="C176" s="2">
        <v>15000</v>
      </c>
      <c r="D176" s="2">
        <v>15000</v>
      </c>
      <c r="E176" s="96"/>
      <c r="F176" s="2">
        <f t="shared" si="4"/>
        <v>15000</v>
      </c>
      <c r="G176" s="2">
        <f t="shared" si="5"/>
        <v>15000</v>
      </c>
    </row>
    <row r="177" spans="1:7" x14ac:dyDescent="0.25">
      <c r="A177" s="18"/>
      <c r="B177" s="4" t="s">
        <v>56</v>
      </c>
      <c r="C177" s="2">
        <v>20000</v>
      </c>
      <c r="D177" s="2">
        <v>20000</v>
      </c>
      <c r="E177" s="96"/>
      <c r="F177" s="2">
        <f t="shared" si="4"/>
        <v>20000</v>
      </c>
      <c r="G177" s="2">
        <f t="shared" si="5"/>
        <v>20000</v>
      </c>
    </row>
    <row r="178" spans="1:7" x14ac:dyDescent="0.25">
      <c r="A178" s="18"/>
      <c r="B178" s="4" t="s">
        <v>160</v>
      </c>
      <c r="C178" s="2">
        <v>2419990.09</v>
      </c>
      <c r="D178" s="2">
        <v>2419990.09</v>
      </c>
      <c r="E178" s="96">
        <v>632209</v>
      </c>
      <c r="F178" s="2">
        <f t="shared" si="4"/>
        <v>1787781.0899999999</v>
      </c>
      <c r="G178" s="2">
        <f t="shared" si="5"/>
        <v>1787781.0899999999</v>
      </c>
    </row>
    <row r="179" spans="1:7" x14ac:dyDescent="0.25">
      <c r="A179" s="18"/>
      <c r="B179" s="4" t="s">
        <v>161</v>
      </c>
      <c r="C179" s="2">
        <v>483998.02</v>
      </c>
      <c r="D179" s="2">
        <v>483998.02</v>
      </c>
      <c r="E179" s="96">
        <f>2000+23750+4000+8000+12000+27100</f>
        <v>76850</v>
      </c>
      <c r="F179" s="2">
        <f t="shared" ref="F179" si="6">C179-E179</f>
        <v>407148.02</v>
      </c>
      <c r="G179" s="2">
        <f t="shared" ref="G179" si="7">D179-E179</f>
        <v>407148.02</v>
      </c>
    </row>
    <row r="180" spans="1:7" x14ac:dyDescent="0.25">
      <c r="A180" s="18"/>
      <c r="B180" s="55" t="s">
        <v>162</v>
      </c>
      <c r="C180" s="2">
        <v>412021.38</v>
      </c>
      <c r="D180" s="2">
        <v>412021.38</v>
      </c>
      <c r="E180" s="96"/>
      <c r="F180" s="2">
        <f t="shared" si="4"/>
        <v>412021.38</v>
      </c>
      <c r="G180" s="2">
        <f t="shared" si="5"/>
        <v>412021.38</v>
      </c>
    </row>
    <row r="181" spans="1:7" x14ac:dyDescent="0.25">
      <c r="A181" s="18"/>
      <c r="B181" s="55" t="s">
        <v>225</v>
      </c>
      <c r="C181" s="2"/>
      <c r="D181" s="2"/>
      <c r="E181" s="96"/>
      <c r="F181" s="2"/>
      <c r="G181" s="2"/>
    </row>
    <row r="182" spans="1:7" x14ac:dyDescent="0.25">
      <c r="A182" s="18"/>
      <c r="B182" s="82" t="s">
        <v>226</v>
      </c>
      <c r="C182" s="2">
        <v>10000</v>
      </c>
      <c r="D182" s="2">
        <v>10000</v>
      </c>
      <c r="E182" s="96"/>
      <c r="F182" s="2">
        <f t="shared" ref="F182:F183" si="8">C182-E182</f>
        <v>10000</v>
      </c>
      <c r="G182" s="2">
        <f t="shared" ref="G182:G183" si="9">D182-E182</f>
        <v>10000</v>
      </c>
    </row>
    <row r="183" spans="1:7" x14ac:dyDescent="0.25">
      <c r="A183" s="18"/>
      <c r="B183" s="55" t="s">
        <v>227</v>
      </c>
      <c r="C183" s="2">
        <v>10000</v>
      </c>
      <c r="D183" s="2">
        <v>10000</v>
      </c>
      <c r="E183" s="96"/>
      <c r="F183" s="2">
        <f t="shared" si="8"/>
        <v>10000</v>
      </c>
      <c r="G183" s="2">
        <f t="shared" si="9"/>
        <v>10000</v>
      </c>
    </row>
    <row r="184" spans="1:7" x14ac:dyDescent="0.25">
      <c r="A184" s="18"/>
      <c r="B184" s="4" t="s">
        <v>228</v>
      </c>
      <c r="C184" s="2">
        <v>100000</v>
      </c>
      <c r="D184" s="2">
        <v>100000</v>
      </c>
      <c r="E184" s="96"/>
      <c r="F184" s="2">
        <f t="shared" si="4"/>
        <v>100000</v>
      </c>
      <c r="G184" s="2">
        <f t="shared" si="5"/>
        <v>100000</v>
      </c>
    </row>
    <row r="185" spans="1:7" x14ac:dyDescent="0.25">
      <c r="A185" s="18"/>
      <c r="B185" s="4" t="s">
        <v>229</v>
      </c>
      <c r="C185" s="2">
        <v>300000</v>
      </c>
      <c r="D185" s="2">
        <v>300000</v>
      </c>
      <c r="E185" s="96">
        <f>74000+13819+86641+41775</f>
        <v>216235</v>
      </c>
      <c r="F185" s="2">
        <f t="shared" ref="F185:F186" si="10">C185-E185</f>
        <v>83765</v>
      </c>
      <c r="G185" s="2">
        <f t="shared" ref="G185:G186" si="11">D185-E185</f>
        <v>83765</v>
      </c>
    </row>
    <row r="186" spans="1:7" x14ac:dyDescent="0.25">
      <c r="A186" s="18"/>
      <c r="B186" s="4" t="s">
        <v>105</v>
      </c>
      <c r="C186" s="2">
        <v>150000</v>
      </c>
      <c r="D186" s="2">
        <v>150000</v>
      </c>
      <c r="E186" s="96">
        <v>47995</v>
      </c>
      <c r="F186" s="2">
        <f t="shared" si="10"/>
        <v>102005</v>
      </c>
      <c r="G186" s="2">
        <f t="shared" si="11"/>
        <v>102005</v>
      </c>
    </row>
    <row r="187" spans="1:7" x14ac:dyDescent="0.25">
      <c r="A187" s="18"/>
      <c r="B187" s="27" t="s">
        <v>13</v>
      </c>
      <c r="C187" s="2"/>
      <c r="D187" s="2"/>
      <c r="E187" s="96"/>
      <c r="F187" s="2">
        <f t="shared" si="4"/>
        <v>0</v>
      </c>
      <c r="G187" s="2">
        <f t="shared" si="5"/>
        <v>0</v>
      </c>
    </row>
    <row r="188" spans="1:7" x14ac:dyDescent="0.25">
      <c r="A188" s="18"/>
      <c r="B188" s="4" t="s">
        <v>62</v>
      </c>
      <c r="C188" s="2"/>
      <c r="D188" s="2"/>
      <c r="E188" s="96"/>
      <c r="F188" s="2">
        <f t="shared" si="4"/>
        <v>0</v>
      </c>
      <c r="G188" s="2">
        <f t="shared" si="5"/>
        <v>0</v>
      </c>
    </row>
    <row r="189" spans="1:7" x14ac:dyDescent="0.25">
      <c r="A189" s="18"/>
      <c r="B189" s="83" t="s">
        <v>230</v>
      </c>
      <c r="C189" s="2">
        <v>500000</v>
      </c>
      <c r="D189" s="2">
        <v>500000</v>
      </c>
      <c r="E189" s="96"/>
      <c r="F189" s="2">
        <f t="shared" ref="F189" si="12">C189-E189</f>
        <v>500000</v>
      </c>
      <c r="G189" s="2">
        <f t="shared" ref="G189" si="13">D189-E189</f>
        <v>500000</v>
      </c>
    </row>
    <row r="190" spans="1:7" x14ac:dyDescent="0.25">
      <c r="A190" s="18"/>
      <c r="B190" s="88" t="s">
        <v>231</v>
      </c>
      <c r="C190" s="85"/>
      <c r="D190" s="85"/>
      <c r="E190" s="96"/>
      <c r="F190" s="2"/>
      <c r="G190" s="2"/>
    </row>
    <row r="191" spans="1:7" x14ac:dyDescent="0.25">
      <c r="A191" s="18"/>
      <c r="B191" s="89" t="s">
        <v>232</v>
      </c>
      <c r="C191" s="85">
        <f>2000000-500000</f>
        <v>1500000</v>
      </c>
      <c r="D191" s="85">
        <f>2000000-500000</f>
        <v>1500000</v>
      </c>
      <c r="E191" s="96">
        <f>644135+285846</f>
        <v>929981</v>
      </c>
      <c r="F191" s="2">
        <f t="shared" si="4"/>
        <v>570019</v>
      </c>
      <c r="G191" s="2">
        <f t="shared" si="5"/>
        <v>570019</v>
      </c>
    </row>
    <row r="192" spans="1:7" x14ac:dyDescent="0.25">
      <c r="A192" s="18"/>
      <c r="B192" s="88" t="s">
        <v>233</v>
      </c>
      <c r="C192" s="85">
        <v>0</v>
      </c>
      <c r="D192" s="85">
        <v>0</v>
      </c>
      <c r="E192" s="96"/>
      <c r="F192" s="2">
        <f t="shared" si="4"/>
        <v>0</v>
      </c>
      <c r="G192" s="2">
        <f t="shared" si="5"/>
        <v>0</v>
      </c>
    </row>
    <row r="193" spans="1:12" x14ac:dyDescent="0.25">
      <c r="A193" s="18"/>
      <c r="B193" s="86" t="s">
        <v>246</v>
      </c>
      <c r="C193" s="87">
        <f>500000+100000</f>
        <v>600000</v>
      </c>
      <c r="D193" s="87">
        <f>500000+100000</f>
        <v>600000</v>
      </c>
      <c r="E193" s="96">
        <v>171367.11</v>
      </c>
      <c r="F193" s="2">
        <f t="shared" ref="F193:F194" si="14">C193-E193</f>
        <v>428632.89</v>
      </c>
      <c r="G193" s="2">
        <f t="shared" ref="G193:G194" si="15">D193-E193</f>
        <v>428632.89</v>
      </c>
    </row>
    <row r="194" spans="1:12" x14ac:dyDescent="0.25">
      <c r="A194" s="18"/>
      <c r="B194" s="90" t="s">
        <v>245</v>
      </c>
      <c r="C194" s="87">
        <v>20000</v>
      </c>
      <c r="D194" s="87">
        <v>20000</v>
      </c>
      <c r="E194" s="96"/>
      <c r="F194" s="2">
        <f t="shared" si="14"/>
        <v>20000</v>
      </c>
      <c r="G194" s="2">
        <f t="shared" si="15"/>
        <v>20000</v>
      </c>
    </row>
    <row r="195" spans="1:12" x14ac:dyDescent="0.25">
      <c r="A195" s="18"/>
      <c r="B195" s="4"/>
      <c r="C195" s="2"/>
      <c r="D195" s="2"/>
      <c r="E195" s="96"/>
      <c r="F195" s="2"/>
      <c r="G195" s="2"/>
    </row>
    <row r="196" spans="1:12" x14ac:dyDescent="0.25">
      <c r="A196" s="18"/>
      <c r="B196" s="4"/>
      <c r="C196" s="2"/>
      <c r="D196" s="2"/>
      <c r="E196" s="96"/>
      <c r="F196" s="2"/>
      <c r="G196" s="2"/>
    </row>
    <row r="197" spans="1:12" x14ac:dyDescent="0.25">
      <c r="A197" s="18"/>
      <c r="B197" s="39" t="s">
        <v>27</v>
      </c>
      <c r="C197" s="8">
        <f>SUM(C172:C196)</f>
        <v>10280999.579999998</v>
      </c>
      <c r="D197" s="8">
        <f>SUM(D172:D196)</f>
        <v>10280999.579999998</v>
      </c>
      <c r="E197" s="97">
        <f>SUM(E172:E196)</f>
        <v>3899101</v>
      </c>
      <c r="F197" s="8">
        <f>SUM(F172:F196)</f>
        <v>6381898.5800000001</v>
      </c>
      <c r="G197" s="8">
        <f>SUM(G172:G196)</f>
        <v>6381898.5800000001</v>
      </c>
    </row>
    <row r="198" spans="1:12" ht="15.75" thickBot="1" x14ac:dyDescent="0.3">
      <c r="A198" s="40"/>
      <c r="B198" s="41" t="s">
        <v>64</v>
      </c>
      <c r="C198" s="20">
        <f>C197+C157+C115+C108+C101+C94+C87+C80+C73+C57+C50+C43+C36+C29+C22+C15</f>
        <v>48399801.709999993</v>
      </c>
      <c r="D198" s="20">
        <f>D197+D157+D115+D108+D101+D94+D87+D80+D73+D57+D50+D43+D36+D29+D22+D15</f>
        <v>48399801.709999993</v>
      </c>
      <c r="E198" s="104">
        <f>E197+E157+E115+E108+E101+E94+E87+E80+E73+E57+E50+E43+E36+E29+E22+E15</f>
        <v>30229571.050000001</v>
      </c>
      <c r="F198" s="20">
        <f>F197+F157+F115+F108+F101+F94+F87+F80+F73+F57+F50+F43+F36+F29+F22+F15</f>
        <v>18170230.660000004</v>
      </c>
      <c r="G198" s="20">
        <f>G197+G157+G115+G108+G101+G94+G87+G80+G73+G57+G50+G43+G36+G29+G22+G15</f>
        <v>18170230.660000004</v>
      </c>
    </row>
    <row r="199" spans="1:12" ht="15.75" thickTop="1" x14ac:dyDescent="0.25">
      <c r="C199" s="12"/>
      <c r="D199" s="12"/>
      <c r="E199" s="101"/>
      <c r="F199" s="12"/>
      <c r="G199" s="12"/>
    </row>
    <row r="200" spans="1:12" x14ac:dyDescent="0.25">
      <c r="B200" s="13" t="s">
        <v>65</v>
      </c>
      <c r="C200" s="12"/>
      <c r="D200" s="12"/>
      <c r="E200" s="101"/>
      <c r="F200" s="12"/>
      <c r="G200" s="12"/>
    </row>
    <row r="201" spans="1:12" x14ac:dyDescent="0.25">
      <c r="C201" s="12"/>
      <c r="D201" s="12"/>
      <c r="E201" s="101"/>
      <c r="F201" s="12"/>
      <c r="G201" s="12"/>
    </row>
    <row r="202" spans="1:12" x14ac:dyDescent="0.25">
      <c r="C202" s="12"/>
      <c r="D202" s="12"/>
      <c r="E202" s="101"/>
      <c r="F202" s="12"/>
      <c r="G202" s="12"/>
    </row>
    <row r="203" spans="1:12" x14ac:dyDescent="0.25">
      <c r="B203" s="42" t="s">
        <v>66</v>
      </c>
      <c r="C203" s="12"/>
      <c r="D203" s="12"/>
      <c r="E203" s="101"/>
      <c r="F203" s="12"/>
      <c r="G203" s="12"/>
    </row>
    <row r="204" spans="1:12" x14ac:dyDescent="0.25">
      <c r="B204" s="13" t="s">
        <v>67</v>
      </c>
      <c r="C204" s="12"/>
      <c r="D204" s="114"/>
      <c r="E204" s="114"/>
      <c r="F204" s="12"/>
      <c r="G204" s="12"/>
    </row>
    <row r="205" spans="1:12" x14ac:dyDescent="0.25">
      <c r="C205" s="12"/>
      <c r="D205" s="12"/>
      <c r="E205" s="101"/>
      <c r="F205" s="12"/>
      <c r="G205" s="12"/>
      <c r="H205" s="54">
        <v>0.8</v>
      </c>
      <c r="I205" s="12">
        <v>2159415</v>
      </c>
      <c r="L205" s="13">
        <f>20*20</f>
        <v>400</v>
      </c>
    </row>
    <row r="206" spans="1:12" x14ac:dyDescent="0.25">
      <c r="C206" s="12" t="s">
        <v>150</v>
      </c>
      <c r="D206" s="12"/>
      <c r="E206" s="101"/>
      <c r="F206" s="12"/>
      <c r="G206" s="12"/>
      <c r="H206" s="54">
        <v>0.2</v>
      </c>
      <c r="I206" s="12">
        <v>539854</v>
      </c>
      <c r="L206" s="13">
        <f>15*20</f>
        <v>300</v>
      </c>
    </row>
    <row r="207" spans="1:12" x14ac:dyDescent="0.25">
      <c r="C207" s="12" t="s">
        <v>151</v>
      </c>
      <c r="D207" s="12"/>
      <c r="E207" s="101"/>
      <c r="F207" s="12"/>
      <c r="G207" s="12"/>
      <c r="I207" s="12"/>
    </row>
    <row r="208" spans="1:12" x14ac:dyDescent="0.25">
      <c r="C208" s="53">
        <v>0.2</v>
      </c>
      <c r="D208" s="12"/>
      <c r="E208" s="101"/>
      <c r="F208" s="12"/>
      <c r="G208" s="12"/>
      <c r="I208" s="12"/>
      <c r="L208" s="13">
        <f>SUM(L205:L207)</f>
        <v>700</v>
      </c>
    </row>
    <row r="209" spans="3:9" x14ac:dyDescent="0.25">
      <c r="C209" s="53">
        <v>0.05</v>
      </c>
      <c r="D209" s="12">
        <v>404890.34</v>
      </c>
      <c r="E209" s="101">
        <v>14850</v>
      </c>
      <c r="F209" s="12"/>
      <c r="G209" s="12"/>
      <c r="I209" s="12">
        <f>SUM(I205:I208)</f>
        <v>2699269</v>
      </c>
    </row>
    <row r="210" spans="3:9" x14ac:dyDescent="0.25">
      <c r="C210" s="12" t="s">
        <v>112</v>
      </c>
      <c r="D210" s="12"/>
      <c r="E210" s="101">
        <v>7200</v>
      </c>
      <c r="F210" s="12"/>
      <c r="G210" s="12">
        <f>I209-E198</f>
        <v>-27530302.050000001</v>
      </c>
      <c r="I210" s="12"/>
    </row>
    <row r="211" spans="3:9" x14ac:dyDescent="0.25">
      <c r="C211" s="12"/>
      <c r="D211" s="12"/>
      <c r="E211" s="101"/>
      <c r="F211" s="12"/>
      <c r="G211" s="12"/>
      <c r="I211" s="12"/>
    </row>
    <row r="212" spans="3:9" x14ac:dyDescent="0.25">
      <c r="C212" s="12"/>
      <c r="D212" s="12"/>
      <c r="E212" s="101"/>
      <c r="F212" s="12"/>
      <c r="G212" s="12"/>
      <c r="I212" s="12"/>
    </row>
    <row r="213" spans="3:9" x14ac:dyDescent="0.25">
      <c r="C213" s="12" t="s">
        <v>135</v>
      </c>
      <c r="D213" s="12">
        <f>SUM(D206:D212)</f>
        <v>404890.34</v>
      </c>
      <c r="E213" s="101">
        <f>SUM(E206:E212)</f>
        <v>22050</v>
      </c>
      <c r="F213" s="12"/>
      <c r="G213" s="12"/>
      <c r="I213" s="12"/>
    </row>
    <row r="214" spans="3:9" x14ac:dyDescent="0.25">
      <c r="C214" s="12"/>
      <c r="D214" s="12"/>
      <c r="E214" s="101">
        <f>E198-E213</f>
        <v>30207521.050000001</v>
      </c>
      <c r="F214" s="12"/>
      <c r="G214" s="12"/>
      <c r="I214" s="12"/>
    </row>
    <row r="215" spans="3:9" x14ac:dyDescent="0.25">
      <c r="C215" s="12"/>
      <c r="D215" s="12">
        <f>32391227</f>
        <v>32391227</v>
      </c>
      <c r="E215" s="101">
        <f>E213-E198</f>
        <v>-30207521.050000001</v>
      </c>
      <c r="F215" s="12"/>
      <c r="G215" s="12"/>
      <c r="I215" s="12"/>
    </row>
    <row r="216" spans="3:9" x14ac:dyDescent="0.25">
      <c r="C216" s="12"/>
      <c r="D216" s="12">
        <f>D215*5%</f>
        <v>1619561.35</v>
      </c>
      <c r="E216" s="101"/>
      <c r="F216" s="12"/>
      <c r="G216" s="12"/>
    </row>
    <row r="217" spans="3:9" x14ac:dyDescent="0.25">
      <c r="C217" s="12"/>
      <c r="D217" s="12">
        <f>D216/4</f>
        <v>404890.33750000002</v>
      </c>
      <c r="E217" s="101">
        <f>E172+E173</f>
        <v>1297803.26</v>
      </c>
      <c r="F217" s="12"/>
      <c r="G217" s="12"/>
    </row>
    <row r="218" spans="3:9" x14ac:dyDescent="0.25">
      <c r="C218" s="12"/>
      <c r="D218" s="12"/>
      <c r="E218" s="101"/>
      <c r="F218" s="12"/>
      <c r="G218" s="12"/>
    </row>
    <row r="219" spans="3:9" x14ac:dyDescent="0.25">
      <c r="C219" s="12"/>
      <c r="D219" s="12"/>
      <c r="E219" s="101">
        <f>E206+E207</f>
        <v>0</v>
      </c>
      <c r="F219" s="12"/>
      <c r="G219" s="12"/>
    </row>
    <row r="220" spans="3:9" x14ac:dyDescent="0.25">
      <c r="C220" s="12"/>
      <c r="D220" s="12"/>
      <c r="E220" s="101"/>
      <c r="F220" s="12"/>
      <c r="G220" s="12"/>
    </row>
    <row r="221" spans="3:9" x14ac:dyDescent="0.25">
      <c r="C221" s="12"/>
      <c r="D221" s="12"/>
      <c r="E221" s="101"/>
      <c r="F221" s="12"/>
      <c r="G221" s="12"/>
    </row>
    <row r="222" spans="3:9" x14ac:dyDescent="0.25">
      <c r="C222" s="12"/>
      <c r="D222" s="12"/>
      <c r="E222" s="101"/>
      <c r="F222" s="12"/>
      <c r="G222" s="12"/>
    </row>
    <row r="223" spans="3:9" x14ac:dyDescent="0.25">
      <c r="C223" s="12"/>
      <c r="D223" s="12"/>
      <c r="E223" s="101"/>
      <c r="F223" s="12"/>
      <c r="G223" s="12"/>
    </row>
    <row r="224" spans="3:9" x14ac:dyDescent="0.25">
      <c r="C224" s="12"/>
      <c r="D224" s="12"/>
      <c r="E224" s="101"/>
      <c r="F224" s="12"/>
      <c r="G224" s="12"/>
    </row>
    <row r="225" spans="3:7" x14ac:dyDescent="0.25">
      <c r="C225" s="12"/>
      <c r="D225" s="12"/>
      <c r="E225" s="101"/>
      <c r="F225" s="12"/>
      <c r="G225" s="12"/>
    </row>
    <row r="226" spans="3:7" x14ac:dyDescent="0.25">
      <c r="C226" s="12"/>
      <c r="D226" s="12"/>
      <c r="E226" s="101"/>
      <c r="F226" s="12"/>
      <c r="G226" s="12"/>
    </row>
    <row r="227" spans="3:7" x14ac:dyDescent="0.25">
      <c r="C227" s="12"/>
      <c r="D227" s="12"/>
      <c r="E227" s="101"/>
      <c r="F227" s="12"/>
      <c r="G227" s="12"/>
    </row>
    <row r="228" spans="3:7" x14ac:dyDescent="0.25">
      <c r="C228" s="12"/>
      <c r="D228" s="12"/>
      <c r="E228" s="101"/>
      <c r="F228" s="12"/>
      <c r="G228" s="12"/>
    </row>
    <row r="229" spans="3:7" x14ac:dyDescent="0.25">
      <c r="C229" s="12"/>
      <c r="D229" s="12"/>
      <c r="E229" s="101"/>
      <c r="F229" s="12"/>
      <c r="G229" s="12"/>
    </row>
    <row r="230" spans="3:7" x14ac:dyDescent="0.25">
      <c r="C230" s="12"/>
      <c r="D230" s="12"/>
      <c r="E230" s="101"/>
      <c r="F230" s="12"/>
      <c r="G230" s="12"/>
    </row>
    <row r="231" spans="3:7" x14ac:dyDescent="0.25">
      <c r="C231" s="12"/>
      <c r="D231" s="12"/>
      <c r="E231" s="101"/>
      <c r="F231" s="12"/>
      <c r="G231" s="12"/>
    </row>
    <row r="232" spans="3:7" x14ac:dyDescent="0.25">
      <c r="C232" s="12"/>
      <c r="D232" s="12"/>
      <c r="E232" s="101"/>
      <c r="F232" s="12"/>
      <c r="G232" s="12"/>
    </row>
    <row r="233" spans="3:7" x14ac:dyDescent="0.25">
      <c r="C233" s="12"/>
      <c r="D233" s="12"/>
      <c r="E233" s="101"/>
      <c r="F233" s="12"/>
      <c r="G233" s="12"/>
    </row>
    <row r="234" spans="3:7" x14ac:dyDescent="0.25">
      <c r="C234" s="12"/>
      <c r="D234" s="12"/>
      <c r="E234" s="101"/>
      <c r="F234" s="12"/>
      <c r="G234" s="12"/>
    </row>
    <row r="235" spans="3:7" x14ac:dyDescent="0.25">
      <c r="C235" s="12"/>
      <c r="D235" s="12"/>
      <c r="E235" s="101"/>
      <c r="F235" s="12"/>
      <c r="G235" s="12"/>
    </row>
    <row r="236" spans="3:7" x14ac:dyDescent="0.25">
      <c r="C236" s="12"/>
      <c r="D236" s="12"/>
      <c r="E236" s="101"/>
      <c r="F236" s="12"/>
      <c r="G236" s="12"/>
    </row>
    <row r="237" spans="3:7" x14ac:dyDescent="0.25">
      <c r="C237" s="12"/>
      <c r="D237" s="12"/>
      <c r="E237" s="101"/>
      <c r="F237" s="12"/>
      <c r="G237" s="12"/>
    </row>
    <row r="238" spans="3:7" x14ac:dyDescent="0.25">
      <c r="C238" s="12"/>
      <c r="D238" s="12"/>
      <c r="E238" s="101"/>
      <c r="F238" s="12"/>
      <c r="G238" s="12"/>
    </row>
    <row r="239" spans="3:7" x14ac:dyDescent="0.25">
      <c r="C239" s="12"/>
      <c r="D239" s="12"/>
      <c r="E239" s="101"/>
      <c r="F239" s="12"/>
      <c r="G239" s="12"/>
    </row>
    <row r="240" spans="3:7" x14ac:dyDescent="0.25">
      <c r="C240" s="12"/>
      <c r="D240" s="12"/>
      <c r="E240" s="101"/>
      <c r="F240" s="12"/>
      <c r="G240" s="12"/>
    </row>
    <row r="241" spans="3:7" x14ac:dyDescent="0.25">
      <c r="C241" s="12"/>
      <c r="D241" s="12"/>
      <c r="E241" s="101"/>
      <c r="F241" s="12"/>
      <c r="G241" s="12"/>
    </row>
    <row r="242" spans="3:7" x14ac:dyDescent="0.25">
      <c r="C242" s="12"/>
      <c r="D242" s="12"/>
      <c r="E242" s="101"/>
      <c r="F242" s="12"/>
      <c r="G242" s="12"/>
    </row>
    <row r="243" spans="3:7" x14ac:dyDescent="0.25">
      <c r="C243" s="12"/>
      <c r="D243" s="12"/>
      <c r="E243" s="101"/>
      <c r="F243" s="12"/>
      <c r="G243" s="12"/>
    </row>
    <row r="244" spans="3:7" x14ac:dyDescent="0.25">
      <c r="C244" s="12"/>
      <c r="D244" s="12"/>
      <c r="E244" s="101"/>
      <c r="F244" s="12"/>
      <c r="G244" s="12"/>
    </row>
    <row r="245" spans="3:7" x14ac:dyDescent="0.25">
      <c r="C245" s="12"/>
      <c r="D245" s="12"/>
      <c r="E245" s="101"/>
      <c r="F245" s="12"/>
      <c r="G245" s="12"/>
    </row>
    <row r="246" spans="3:7" x14ac:dyDescent="0.25">
      <c r="C246" s="12"/>
      <c r="D246" s="12"/>
      <c r="E246" s="101"/>
      <c r="F246" s="12"/>
      <c r="G246" s="12"/>
    </row>
    <row r="247" spans="3:7" x14ac:dyDescent="0.25">
      <c r="C247" s="12"/>
      <c r="D247" s="12"/>
      <c r="E247" s="101"/>
      <c r="F247" s="12"/>
      <c r="G247" s="12"/>
    </row>
    <row r="248" spans="3:7" x14ac:dyDescent="0.25">
      <c r="C248" s="12"/>
      <c r="D248" s="12"/>
      <c r="E248" s="101"/>
      <c r="F248" s="12"/>
      <c r="G248" s="12"/>
    </row>
    <row r="249" spans="3:7" x14ac:dyDescent="0.25">
      <c r="C249" s="12"/>
      <c r="D249" s="12"/>
      <c r="E249" s="101"/>
      <c r="F249" s="12"/>
      <c r="G249" s="12"/>
    </row>
    <row r="250" spans="3:7" x14ac:dyDescent="0.25">
      <c r="C250" s="12"/>
      <c r="D250" s="12"/>
      <c r="E250" s="101"/>
      <c r="F250" s="12"/>
      <c r="G250" s="12"/>
    </row>
    <row r="251" spans="3:7" x14ac:dyDescent="0.25">
      <c r="C251" s="12"/>
      <c r="D251" s="12"/>
      <c r="E251" s="101"/>
      <c r="F251" s="12"/>
      <c r="G251" s="12"/>
    </row>
    <row r="252" spans="3:7" x14ac:dyDescent="0.25">
      <c r="C252" s="12"/>
      <c r="D252" s="12"/>
      <c r="E252" s="101"/>
      <c r="F252" s="12"/>
      <c r="G252" s="12"/>
    </row>
    <row r="253" spans="3:7" x14ac:dyDescent="0.25">
      <c r="C253" s="12"/>
      <c r="D253" s="12"/>
      <c r="E253" s="101"/>
      <c r="F253" s="12"/>
      <c r="G253" s="12"/>
    </row>
    <row r="254" spans="3:7" x14ac:dyDescent="0.25">
      <c r="C254" s="12"/>
      <c r="D254" s="12"/>
      <c r="E254" s="101"/>
      <c r="F254" s="12"/>
      <c r="G254" s="12"/>
    </row>
    <row r="255" spans="3:7" x14ac:dyDescent="0.25">
      <c r="C255" s="12"/>
      <c r="D255" s="12"/>
      <c r="E255" s="101"/>
      <c r="F255" s="12"/>
      <c r="G255" s="12"/>
    </row>
    <row r="256" spans="3:7" x14ac:dyDescent="0.25">
      <c r="C256" s="12"/>
      <c r="D256" s="12"/>
      <c r="E256" s="101"/>
      <c r="F256" s="12"/>
      <c r="G256" s="12"/>
    </row>
    <row r="257" spans="3:7" x14ac:dyDescent="0.25">
      <c r="C257" s="12"/>
      <c r="D257" s="12"/>
      <c r="E257" s="101"/>
      <c r="F257" s="12"/>
      <c r="G257" s="12"/>
    </row>
    <row r="258" spans="3:7" x14ac:dyDescent="0.25">
      <c r="C258" s="12"/>
      <c r="D258" s="12"/>
      <c r="E258" s="101"/>
      <c r="F258" s="12"/>
      <c r="G258" s="12"/>
    </row>
    <row r="259" spans="3:7" x14ac:dyDescent="0.25">
      <c r="C259" s="12"/>
      <c r="D259" s="12"/>
      <c r="E259" s="101"/>
      <c r="F259" s="12"/>
      <c r="G259" s="12"/>
    </row>
    <row r="260" spans="3:7" x14ac:dyDescent="0.25">
      <c r="C260" s="12"/>
      <c r="D260" s="12"/>
      <c r="E260" s="101"/>
      <c r="F260" s="12"/>
      <c r="G260" s="12"/>
    </row>
    <row r="261" spans="3:7" x14ac:dyDescent="0.25">
      <c r="C261" s="12"/>
      <c r="D261" s="12"/>
      <c r="E261" s="101"/>
      <c r="F261" s="12"/>
      <c r="G261" s="12"/>
    </row>
    <row r="262" spans="3:7" x14ac:dyDescent="0.25">
      <c r="C262" s="12"/>
      <c r="D262" s="12"/>
      <c r="E262" s="101"/>
      <c r="F262" s="12"/>
      <c r="G262" s="12"/>
    </row>
    <row r="263" spans="3:7" x14ac:dyDescent="0.25">
      <c r="C263" s="12"/>
      <c r="D263" s="12"/>
      <c r="E263" s="101"/>
      <c r="F263" s="12"/>
      <c r="G263" s="12"/>
    </row>
    <row r="264" spans="3:7" x14ac:dyDescent="0.25">
      <c r="C264" s="12"/>
      <c r="D264" s="12"/>
      <c r="E264" s="101"/>
      <c r="F264" s="12"/>
      <c r="G264" s="12"/>
    </row>
    <row r="265" spans="3:7" x14ac:dyDescent="0.25">
      <c r="C265" s="12"/>
      <c r="D265" s="12"/>
      <c r="E265" s="101"/>
      <c r="F265" s="12"/>
      <c r="G265" s="12"/>
    </row>
    <row r="266" spans="3:7" x14ac:dyDescent="0.25">
      <c r="C266" s="12"/>
      <c r="D266" s="12"/>
      <c r="E266" s="101"/>
      <c r="F266" s="12"/>
      <c r="G266" s="12"/>
    </row>
    <row r="267" spans="3:7" x14ac:dyDescent="0.25">
      <c r="C267" s="12"/>
      <c r="D267" s="12"/>
      <c r="E267" s="101"/>
      <c r="F267" s="12"/>
      <c r="G267" s="12"/>
    </row>
    <row r="268" spans="3:7" x14ac:dyDescent="0.25">
      <c r="C268" s="12"/>
      <c r="D268" s="12"/>
      <c r="E268" s="101"/>
      <c r="F268" s="12"/>
      <c r="G268" s="12"/>
    </row>
    <row r="269" spans="3:7" x14ac:dyDescent="0.25">
      <c r="C269" s="12"/>
      <c r="D269" s="12"/>
      <c r="E269" s="101"/>
      <c r="F269" s="12"/>
      <c r="G269" s="12"/>
    </row>
    <row r="270" spans="3:7" x14ac:dyDescent="0.25">
      <c r="C270" s="12"/>
      <c r="D270" s="12"/>
      <c r="E270" s="101"/>
      <c r="F270" s="12"/>
      <c r="G270" s="12"/>
    </row>
    <row r="271" spans="3:7" x14ac:dyDescent="0.25">
      <c r="C271" s="12"/>
      <c r="D271" s="12"/>
      <c r="E271" s="101"/>
      <c r="F271" s="12"/>
      <c r="G271" s="12"/>
    </row>
    <row r="272" spans="3:7" x14ac:dyDescent="0.25">
      <c r="C272" s="12"/>
      <c r="D272" s="12"/>
      <c r="E272" s="101"/>
      <c r="F272" s="12"/>
      <c r="G272" s="12"/>
    </row>
    <row r="273" spans="3:7" x14ac:dyDescent="0.25">
      <c r="C273" s="12"/>
      <c r="D273" s="12"/>
      <c r="E273" s="101"/>
      <c r="F273" s="12"/>
      <c r="G273" s="12"/>
    </row>
    <row r="274" spans="3:7" x14ac:dyDescent="0.25">
      <c r="C274" s="12"/>
      <c r="D274" s="12"/>
      <c r="E274" s="101"/>
      <c r="F274" s="12"/>
      <c r="G274" s="12"/>
    </row>
    <row r="275" spans="3:7" x14ac:dyDescent="0.25">
      <c r="C275" s="12"/>
      <c r="D275" s="12"/>
      <c r="E275" s="101"/>
      <c r="F275" s="12"/>
      <c r="G275" s="12"/>
    </row>
    <row r="276" spans="3:7" x14ac:dyDescent="0.25">
      <c r="C276" s="12"/>
      <c r="D276" s="12"/>
      <c r="E276" s="101"/>
      <c r="F276" s="12"/>
      <c r="G276" s="12"/>
    </row>
    <row r="277" spans="3:7" x14ac:dyDescent="0.25">
      <c r="C277" s="12"/>
      <c r="D277" s="12"/>
      <c r="E277" s="101"/>
      <c r="F277" s="12"/>
      <c r="G277" s="12"/>
    </row>
    <row r="278" spans="3:7" x14ac:dyDescent="0.25">
      <c r="C278" s="12"/>
      <c r="D278" s="12"/>
      <c r="E278" s="101"/>
      <c r="F278" s="12"/>
      <c r="G278" s="12"/>
    </row>
    <row r="279" spans="3:7" x14ac:dyDescent="0.25">
      <c r="C279" s="12"/>
      <c r="D279" s="12"/>
      <c r="E279" s="101"/>
      <c r="F279" s="12"/>
      <c r="G279" s="12"/>
    </row>
    <row r="280" spans="3:7" x14ac:dyDescent="0.25">
      <c r="C280" s="12"/>
      <c r="D280" s="12"/>
      <c r="E280" s="101"/>
      <c r="F280" s="12"/>
      <c r="G280" s="12"/>
    </row>
    <row r="281" spans="3:7" x14ac:dyDescent="0.25">
      <c r="C281" s="12"/>
      <c r="D281" s="12"/>
      <c r="E281" s="101"/>
      <c r="F281" s="12"/>
      <c r="G281" s="12"/>
    </row>
    <row r="282" spans="3:7" x14ac:dyDescent="0.25">
      <c r="C282" s="12"/>
      <c r="D282" s="12"/>
      <c r="E282" s="101"/>
      <c r="F282" s="12"/>
      <c r="G282" s="12"/>
    </row>
    <row r="283" spans="3:7" x14ac:dyDescent="0.25">
      <c r="C283" s="12"/>
      <c r="D283" s="12"/>
      <c r="E283" s="101"/>
      <c r="F283" s="12"/>
      <c r="G283" s="12"/>
    </row>
    <row r="284" spans="3:7" x14ac:dyDescent="0.25">
      <c r="C284" s="12"/>
      <c r="D284" s="12"/>
      <c r="E284" s="101"/>
      <c r="F284" s="12"/>
      <c r="G284" s="12"/>
    </row>
    <row r="285" spans="3:7" x14ac:dyDescent="0.25">
      <c r="C285" s="12"/>
      <c r="D285" s="12"/>
      <c r="E285" s="101"/>
      <c r="F285" s="12"/>
      <c r="G285" s="12"/>
    </row>
    <row r="286" spans="3:7" x14ac:dyDescent="0.25">
      <c r="C286" s="12"/>
      <c r="D286" s="12"/>
      <c r="E286" s="101"/>
      <c r="F286" s="12"/>
      <c r="G286" s="12"/>
    </row>
    <row r="287" spans="3:7" x14ac:dyDescent="0.25">
      <c r="C287" s="12"/>
      <c r="D287" s="12"/>
      <c r="E287" s="101"/>
      <c r="F287" s="12"/>
      <c r="G287" s="12"/>
    </row>
    <row r="288" spans="3:7" x14ac:dyDescent="0.25">
      <c r="C288" s="12"/>
      <c r="D288" s="12"/>
      <c r="E288" s="101"/>
      <c r="F288" s="12"/>
      <c r="G288" s="12"/>
    </row>
    <row r="289" spans="3:7" x14ac:dyDescent="0.25">
      <c r="C289" s="12"/>
      <c r="D289" s="12"/>
      <c r="E289" s="101"/>
      <c r="F289" s="12"/>
      <c r="G289" s="12"/>
    </row>
    <row r="290" spans="3:7" x14ac:dyDescent="0.25">
      <c r="C290" s="12"/>
      <c r="D290" s="12"/>
      <c r="E290" s="101"/>
      <c r="F290" s="12"/>
      <c r="G290" s="12"/>
    </row>
    <row r="291" spans="3:7" x14ac:dyDescent="0.25">
      <c r="C291" s="12"/>
      <c r="D291" s="12"/>
      <c r="E291" s="101"/>
      <c r="F291" s="12"/>
      <c r="G291" s="12"/>
    </row>
    <row r="292" spans="3:7" x14ac:dyDescent="0.25">
      <c r="C292" s="12"/>
      <c r="D292" s="12"/>
      <c r="E292" s="101"/>
      <c r="F292" s="12"/>
      <c r="G292" s="12"/>
    </row>
    <row r="293" spans="3:7" x14ac:dyDescent="0.25">
      <c r="C293" s="12"/>
      <c r="D293" s="12"/>
      <c r="E293" s="101"/>
      <c r="F293" s="12"/>
      <c r="G293" s="12"/>
    </row>
    <row r="294" spans="3:7" x14ac:dyDescent="0.25">
      <c r="C294" s="12"/>
      <c r="D294" s="12"/>
      <c r="E294" s="101"/>
      <c r="F294" s="12"/>
      <c r="G294" s="12"/>
    </row>
    <row r="295" spans="3:7" x14ac:dyDescent="0.25">
      <c r="C295" s="12"/>
      <c r="D295" s="12"/>
      <c r="E295" s="101"/>
      <c r="F295" s="12"/>
      <c r="G295" s="12"/>
    </row>
    <row r="296" spans="3:7" x14ac:dyDescent="0.25">
      <c r="C296" s="12"/>
      <c r="D296" s="12"/>
      <c r="E296" s="101"/>
      <c r="F296" s="12"/>
      <c r="G296" s="12"/>
    </row>
    <row r="297" spans="3:7" x14ac:dyDescent="0.25">
      <c r="C297" s="12"/>
      <c r="D297" s="12"/>
      <c r="E297" s="101"/>
      <c r="F297" s="12"/>
      <c r="G297" s="12"/>
    </row>
    <row r="298" spans="3:7" x14ac:dyDescent="0.25">
      <c r="C298" s="12"/>
      <c r="D298" s="12"/>
      <c r="E298" s="101"/>
      <c r="F298" s="12"/>
      <c r="G298" s="12"/>
    </row>
    <row r="299" spans="3:7" x14ac:dyDescent="0.25">
      <c r="C299" s="12"/>
      <c r="D299" s="12"/>
      <c r="E299" s="101"/>
      <c r="F299" s="12"/>
      <c r="G299" s="12"/>
    </row>
    <row r="300" spans="3:7" x14ac:dyDescent="0.25">
      <c r="C300" s="12"/>
      <c r="D300" s="12"/>
      <c r="E300" s="101"/>
      <c r="F300" s="12"/>
      <c r="G300" s="12"/>
    </row>
    <row r="301" spans="3:7" x14ac:dyDescent="0.25">
      <c r="C301" s="12"/>
      <c r="D301" s="12"/>
      <c r="E301" s="101"/>
      <c r="F301" s="12"/>
      <c r="G301" s="12"/>
    </row>
    <row r="302" spans="3:7" x14ac:dyDescent="0.25">
      <c r="C302" s="12"/>
      <c r="D302" s="12"/>
      <c r="E302" s="101"/>
      <c r="F302" s="12"/>
      <c r="G302" s="12"/>
    </row>
    <row r="303" spans="3:7" x14ac:dyDescent="0.25">
      <c r="C303" s="12"/>
      <c r="D303" s="12"/>
      <c r="E303" s="101"/>
      <c r="F303" s="12"/>
      <c r="G303" s="12"/>
    </row>
    <row r="304" spans="3:7" x14ac:dyDescent="0.25">
      <c r="C304" s="12"/>
      <c r="D304" s="12"/>
      <c r="E304" s="101"/>
      <c r="F304" s="12"/>
      <c r="G304" s="12"/>
    </row>
    <row r="305" spans="3:7" x14ac:dyDescent="0.25">
      <c r="C305" s="12"/>
      <c r="D305" s="12"/>
      <c r="E305" s="101"/>
      <c r="F305" s="12"/>
      <c r="G305" s="12"/>
    </row>
    <row r="306" spans="3:7" x14ac:dyDescent="0.25">
      <c r="C306" s="12"/>
      <c r="D306" s="12"/>
      <c r="E306" s="101"/>
      <c r="F306" s="12"/>
      <c r="G306" s="12"/>
    </row>
    <row r="307" spans="3:7" x14ac:dyDescent="0.25">
      <c r="C307" s="12"/>
      <c r="D307" s="12"/>
      <c r="E307" s="101"/>
      <c r="F307" s="12"/>
      <c r="G307" s="12"/>
    </row>
    <row r="308" spans="3:7" x14ac:dyDescent="0.25">
      <c r="C308" s="12"/>
      <c r="D308" s="12"/>
      <c r="E308" s="101"/>
      <c r="F308" s="12"/>
      <c r="G308" s="12"/>
    </row>
    <row r="309" spans="3:7" x14ac:dyDescent="0.25">
      <c r="C309" s="12"/>
      <c r="D309" s="12"/>
      <c r="E309" s="101"/>
      <c r="F309" s="12"/>
      <c r="G309" s="12"/>
    </row>
    <row r="310" spans="3:7" x14ac:dyDescent="0.25">
      <c r="C310" s="12"/>
      <c r="D310" s="12"/>
      <c r="E310" s="101"/>
      <c r="F310" s="12"/>
      <c r="G310" s="12"/>
    </row>
    <row r="311" spans="3:7" x14ac:dyDescent="0.25">
      <c r="C311" s="12"/>
      <c r="D311" s="12"/>
      <c r="E311" s="101"/>
      <c r="F311" s="12"/>
      <c r="G311" s="12"/>
    </row>
    <row r="312" spans="3:7" x14ac:dyDescent="0.25">
      <c r="C312" s="12"/>
      <c r="D312" s="12"/>
      <c r="E312" s="101"/>
      <c r="F312" s="12"/>
      <c r="G312" s="12"/>
    </row>
    <row r="313" spans="3:7" x14ac:dyDescent="0.25">
      <c r="C313" s="12"/>
      <c r="D313" s="12"/>
      <c r="E313" s="101"/>
      <c r="F313" s="12"/>
      <c r="G313" s="12"/>
    </row>
    <row r="314" spans="3:7" x14ac:dyDescent="0.25">
      <c r="C314" s="12"/>
      <c r="D314" s="12"/>
      <c r="E314" s="101"/>
      <c r="F314" s="12"/>
      <c r="G314" s="12"/>
    </row>
    <row r="315" spans="3:7" x14ac:dyDescent="0.25">
      <c r="C315" s="12"/>
      <c r="D315" s="12"/>
      <c r="E315" s="101"/>
      <c r="F315" s="12"/>
      <c r="G315" s="12"/>
    </row>
    <row r="316" spans="3:7" x14ac:dyDescent="0.25">
      <c r="C316" s="12"/>
      <c r="D316" s="12"/>
      <c r="E316" s="101"/>
      <c r="F316" s="12"/>
      <c r="G316" s="12"/>
    </row>
    <row r="317" spans="3:7" x14ac:dyDescent="0.25">
      <c r="C317" s="12"/>
      <c r="D317" s="12"/>
      <c r="E317" s="101"/>
      <c r="F317" s="12"/>
      <c r="G317" s="12"/>
    </row>
    <row r="318" spans="3:7" x14ac:dyDescent="0.25">
      <c r="C318" s="12"/>
      <c r="D318" s="12"/>
      <c r="E318" s="101"/>
      <c r="F318" s="12"/>
      <c r="G318" s="12"/>
    </row>
    <row r="319" spans="3:7" x14ac:dyDescent="0.25">
      <c r="C319" s="12"/>
      <c r="D319" s="12"/>
      <c r="E319" s="101"/>
      <c r="F319" s="12"/>
      <c r="G319" s="12"/>
    </row>
    <row r="320" spans="3:7" x14ac:dyDescent="0.25">
      <c r="C320" s="12"/>
      <c r="D320" s="12"/>
      <c r="E320" s="101"/>
      <c r="F320" s="12"/>
      <c r="G320" s="12"/>
    </row>
    <row r="321" spans="3:7" x14ac:dyDescent="0.25">
      <c r="C321" s="12"/>
      <c r="D321" s="12"/>
      <c r="E321" s="101"/>
      <c r="F321" s="12"/>
      <c r="G321" s="12"/>
    </row>
    <row r="322" spans="3:7" x14ac:dyDescent="0.25">
      <c r="C322" s="12"/>
      <c r="D322" s="12"/>
      <c r="E322" s="101"/>
      <c r="F322" s="12"/>
      <c r="G322" s="12"/>
    </row>
    <row r="323" spans="3:7" x14ac:dyDescent="0.25">
      <c r="C323" s="12"/>
      <c r="D323" s="12"/>
      <c r="E323" s="101"/>
      <c r="F323" s="12"/>
      <c r="G323" s="12"/>
    </row>
    <row r="324" spans="3:7" x14ac:dyDescent="0.25">
      <c r="C324" s="12"/>
      <c r="D324" s="12"/>
      <c r="E324" s="101"/>
      <c r="F324" s="12"/>
      <c r="G324" s="12"/>
    </row>
    <row r="325" spans="3:7" x14ac:dyDescent="0.25">
      <c r="C325" s="12"/>
      <c r="D325" s="12"/>
      <c r="E325" s="101"/>
      <c r="F325" s="12"/>
      <c r="G325" s="12"/>
    </row>
    <row r="326" spans="3:7" x14ac:dyDescent="0.25">
      <c r="C326" s="12"/>
      <c r="D326" s="12"/>
      <c r="E326" s="101"/>
      <c r="F326" s="12"/>
      <c r="G326" s="12"/>
    </row>
    <row r="327" spans="3:7" x14ac:dyDescent="0.25">
      <c r="C327" s="12"/>
      <c r="D327" s="12"/>
      <c r="E327" s="101"/>
      <c r="F327" s="12"/>
      <c r="G327" s="12"/>
    </row>
    <row r="328" spans="3:7" x14ac:dyDescent="0.25">
      <c r="C328" s="12"/>
      <c r="D328" s="12"/>
      <c r="E328" s="101"/>
      <c r="F328" s="12"/>
      <c r="G328" s="12"/>
    </row>
    <row r="329" spans="3:7" x14ac:dyDescent="0.25">
      <c r="C329" s="12"/>
      <c r="D329" s="12"/>
      <c r="E329" s="101"/>
      <c r="F329" s="12"/>
      <c r="G329" s="12"/>
    </row>
    <row r="330" spans="3:7" x14ac:dyDescent="0.25">
      <c r="C330" s="12"/>
      <c r="D330" s="12"/>
      <c r="E330" s="101"/>
      <c r="F330" s="12"/>
      <c r="G330" s="12"/>
    </row>
    <row r="331" spans="3:7" x14ac:dyDescent="0.25">
      <c r="C331" s="12"/>
      <c r="D331" s="12"/>
      <c r="E331" s="101"/>
      <c r="F331" s="12"/>
      <c r="G331" s="12"/>
    </row>
    <row r="332" spans="3:7" x14ac:dyDescent="0.25">
      <c r="C332" s="12"/>
      <c r="D332" s="12"/>
      <c r="E332" s="101"/>
      <c r="F332" s="12"/>
      <c r="G332" s="12"/>
    </row>
    <row r="333" spans="3:7" x14ac:dyDescent="0.25">
      <c r="C333" s="12"/>
      <c r="D333" s="12"/>
      <c r="E333" s="101"/>
      <c r="F333" s="12"/>
      <c r="G333" s="12"/>
    </row>
    <row r="334" spans="3:7" x14ac:dyDescent="0.25">
      <c r="C334" s="12"/>
      <c r="D334" s="12"/>
      <c r="E334" s="101"/>
      <c r="F334" s="12"/>
      <c r="G334" s="12"/>
    </row>
    <row r="335" spans="3:7" x14ac:dyDescent="0.25">
      <c r="C335" s="12"/>
      <c r="D335" s="12"/>
      <c r="E335" s="101"/>
      <c r="F335" s="12"/>
      <c r="G335" s="12"/>
    </row>
    <row r="336" spans="3:7" x14ac:dyDescent="0.25">
      <c r="C336" s="12"/>
      <c r="D336" s="12"/>
      <c r="E336" s="101"/>
      <c r="F336" s="12"/>
      <c r="G336" s="12"/>
    </row>
    <row r="337" spans="3:7" x14ac:dyDescent="0.25">
      <c r="C337" s="12"/>
      <c r="D337" s="12"/>
      <c r="E337" s="101"/>
      <c r="F337" s="12"/>
      <c r="G337" s="12"/>
    </row>
    <row r="338" spans="3:7" x14ac:dyDescent="0.25">
      <c r="C338" s="12"/>
      <c r="D338" s="12"/>
      <c r="E338" s="101"/>
      <c r="F338" s="12"/>
      <c r="G338" s="12"/>
    </row>
    <row r="339" spans="3:7" x14ac:dyDescent="0.25">
      <c r="C339" s="12"/>
      <c r="D339" s="12"/>
      <c r="E339" s="101"/>
      <c r="F339" s="12"/>
      <c r="G339" s="12"/>
    </row>
    <row r="340" spans="3:7" x14ac:dyDescent="0.25">
      <c r="C340" s="12"/>
      <c r="D340" s="12"/>
      <c r="E340" s="101"/>
      <c r="F340" s="12"/>
      <c r="G340" s="12"/>
    </row>
    <row r="341" spans="3:7" x14ac:dyDescent="0.25">
      <c r="C341" s="12"/>
      <c r="D341" s="12"/>
      <c r="E341" s="101"/>
      <c r="F341" s="12"/>
      <c r="G341" s="12"/>
    </row>
    <row r="342" spans="3:7" x14ac:dyDescent="0.25">
      <c r="C342" s="12"/>
      <c r="D342" s="12"/>
      <c r="E342" s="101"/>
      <c r="F342" s="12"/>
      <c r="G342" s="12"/>
    </row>
    <row r="343" spans="3:7" x14ac:dyDescent="0.25">
      <c r="C343" s="12"/>
      <c r="D343" s="12"/>
      <c r="E343" s="101"/>
      <c r="F343" s="12"/>
      <c r="G343" s="12"/>
    </row>
    <row r="344" spans="3:7" x14ac:dyDescent="0.25">
      <c r="C344" s="12"/>
      <c r="D344" s="12"/>
      <c r="E344" s="101"/>
      <c r="F344" s="12"/>
      <c r="G344" s="12"/>
    </row>
    <row r="345" spans="3:7" x14ac:dyDescent="0.25">
      <c r="C345" s="12"/>
      <c r="D345" s="12"/>
      <c r="E345" s="101"/>
      <c r="F345" s="12"/>
      <c r="G345" s="12"/>
    </row>
    <row r="346" spans="3:7" x14ac:dyDescent="0.25">
      <c r="C346" s="12"/>
      <c r="D346" s="12"/>
      <c r="E346" s="101"/>
      <c r="F346" s="12"/>
      <c r="G346" s="12"/>
    </row>
    <row r="347" spans="3:7" x14ac:dyDescent="0.25">
      <c r="C347" s="12"/>
      <c r="D347" s="12"/>
      <c r="E347" s="101"/>
      <c r="F347" s="12"/>
      <c r="G347" s="12"/>
    </row>
    <row r="348" spans="3:7" x14ac:dyDescent="0.25">
      <c r="C348" s="12"/>
      <c r="D348" s="12"/>
      <c r="E348" s="101"/>
      <c r="F348" s="12"/>
      <c r="G348" s="12"/>
    </row>
    <row r="349" spans="3:7" x14ac:dyDescent="0.25">
      <c r="C349" s="12"/>
      <c r="D349" s="12"/>
      <c r="E349" s="101"/>
      <c r="F349" s="12"/>
      <c r="G349" s="12"/>
    </row>
    <row r="350" spans="3:7" x14ac:dyDescent="0.25">
      <c r="C350" s="12"/>
      <c r="D350" s="12"/>
      <c r="E350" s="101"/>
      <c r="F350" s="12"/>
      <c r="G350" s="12"/>
    </row>
    <row r="351" spans="3:7" x14ac:dyDescent="0.25">
      <c r="C351" s="12"/>
      <c r="D351" s="12"/>
      <c r="E351" s="101"/>
      <c r="F351" s="12"/>
      <c r="G351" s="12"/>
    </row>
    <row r="352" spans="3:7" x14ac:dyDescent="0.25">
      <c r="C352" s="12"/>
      <c r="D352" s="12"/>
      <c r="E352" s="101"/>
      <c r="F352" s="12"/>
      <c r="G352" s="12"/>
    </row>
    <row r="353" spans="3:7" x14ac:dyDescent="0.25">
      <c r="C353" s="12"/>
      <c r="D353" s="12"/>
      <c r="E353" s="101"/>
      <c r="F353" s="12"/>
      <c r="G353" s="12"/>
    </row>
    <row r="354" spans="3:7" x14ac:dyDescent="0.25">
      <c r="C354" s="12"/>
      <c r="D354" s="12"/>
      <c r="E354" s="101"/>
      <c r="F354" s="12"/>
      <c r="G354" s="12"/>
    </row>
    <row r="355" spans="3:7" x14ac:dyDescent="0.25">
      <c r="C355" s="12"/>
      <c r="D355" s="12"/>
      <c r="E355" s="101"/>
      <c r="F355" s="12"/>
      <c r="G355" s="12"/>
    </row>
    <row r="356" spans="3:7" x14ac:dyDescent="0.25">
      <c r="C356" s="12"/>
      <c r="D356" s="12"/>
      <c r="E356" s="101"/>
      <c r="F356" s="12"/>
      <c r="G356" s="12"/>
    </row>
    <row r="357" spans="3:7" x14ac:dyDescent="0.25">
      <c r="C357" s="12"/>
      <c r="D357" s="12"/>
      <c r="E357" s="101"/>
      <c r="F357" s="12"/>
      <c r="G357" s="12"/>
    </row>
    <row r="358" spans="3:7" x14ac:dyDescent="0.25">
      <c r="C358" s="12"/>
      <c r="D358" s="12"/>
      <c r="E358" s="101"/>
      <c r="F358" s="12"/>
      <c r="G358" s="12"/>
    </row>
    <row r="359" spans="3:7" x14ac:dyDescent="0.25">
      <c r="C359" s="12"/>
      <c r="D359" s="12"/>
      <c r="E359" s="101"/>
      <c r="F359" s="12"/>
      <c r="G359" s="12"/>
    </row>
    <row r="360" spans="3:7" x14ac:dyDescent="0.25">
      <c r="C360" s="12"/>
      <c r="D360" s="12"/>
      <c r="E360" s="101"/>
      <c r="F360" s="12"/>
      <c r="G360" s="12"/>
    </row>
    <row r="361" spans="3:7" x14ac:dyDescent="0.25">
      <c r="C361" s="12"/>
      <c r="D361" s="12"/>
      <c r="E361" s="101"/>
      <c r="F361" s="12"/>
      <c r="G361" s="12"/>
    </row>
    <row r="362" spans="3:7" x14ac:dyDescent="0.25">
      <c r="C362" s="12"/>
      <c r="D362" s="12"/>
      <c r="E362" s="101"/>
      <c r="F362" s="12"/>
      <c r="G362" s="12"/>
    </row>
    <row r="363" spans="3:7" x14ac:dyDescent="0.25">
      <c r="C363" s="12"/>
      <c r="D363" s="12"/>
      <c r="E363" s="101"/>
      <c r="F363" s="12"/>
      <c r="G363" s="12"/>
    </row>
    <row r="364" spans="3:7" x14ac:dyDescent="0.25">
      <c r="C364" s="12"/>
      <c r="D364" s="12"/>
      <c r="E364" s="101"/>
      <c r="F364" s="12"/>
      <c r="G364" s="12"/>
    </row>
    <row r="365" spans="3:7" x14ac:dyDescent="0.25">
      <c r="C365" s="12"/>
      <c r="D365" s="12"/>
      <c r="E365" s="101"/>
      <c r="F365" s="12"/>
      <c r="G365" s="12"/>
    </row>
    <row r="366" spans="3:7" x14ac:dyDescent="0.25">
      <c r="C366" s="12"/>
      <c r="D366" s="12"/>
      <c r="E366" s="101"/>
      <c r="F366" s="12"/>
      <c r="G366" s="12"/>
    </row>
    <row r="367" spans="3:7" x14ac:dyDescent="0.25">
      <c r="C367" s="12"/>
      <c r="D367" s="12"/>
      <c r="E367" s="101"/>
      <c r="F367" s="12"/>
      <c r="G367" s="12"/>
    </row>
    <row r="368" spans="3:7" x14ac:dyDescent="0.25">
      <c r="C368" s="12"/>
      <c r="D368" s="12"/>
      <c r="E368" s="101"/>
      <c r="F368" s="12"/>
      <c r="G368" s="12"/>
    </row>
    <row r="369" spans="3:7" x14ac:dyDescent="0.25">
      <c r="C369" s="12"/>
      <c r="D369" s="12"/>
      <c r="E369" s="101"/>
      <c r="F369" s="12"/>
      <c r="G369" s="12"/>
    </row>
    <row r="370" spans="3:7" x14ac:dyDescent="0.25">
      <c r="C370" s="12"/>
      <c r="D370" s="12"/>
      <c r="E370" s="101"/>
      <c r="F370" s="12"/>
      <c r="G370" s="12"/>
    </row>
    <row r="371" spans="3:7" x14ac:dyDescent="0.25">
      <c r="C371" s="12"/>
      <c r="D371" s="12"/>
      <c r="E371" s="101"/>
      <c r="F371" s="12"/>
      <c r="G371" s="12"/>
    </row>
    <row r="372" spans="3:7" x14ac:dyDescent="0.25">
      <c r="C372" s="12"/>
      <c r="D372" s="12"/>
      <c r="E372" s="101"/>
      <c r="F372" s="12"/>
      <c r="G372" s="12"/>
    </row>
    <row r="373" spans="3:7" x14ac:dyDescent="0.25">
      <c r="C373" s="12"/>
      <c r="D373" s="12"/>
      <c r="E373" s="101"/>
      <c r="F373" s="12"/>
      <c r="G373" s="12"/>
    </row>
  </sheetData>
  <mergeCells count="21">
    <mergeCell ref="D204:E204"/>
    <mergeCell ref="A125:A126"/>
    <mergeCell ref="B125:B126"/>
    <mergeCell ref="C125:C126"/>
    <mergeCell ref="D125:D126"/>
    <mergeCell ref="E125:E126"/>
    <mergeCell ref="A167:A168"/>
    <mergeCell ref="B167:B168"/>
    <mergeCell ref="C167:C168"/>
    <mergeCell ref="D167:D168"/>
    <mergeCell ref="E167:E168"/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</mergeCells>
  <pageMargins left="0.12" right="0.11" top="0.26" bottom="0.21" header="0.3" footer="0.13"/>
  <pageSetup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3"/>
  <sheetViews>
    <sheetView topLeftCell="A171" zoomScale="140" zoomScaleNormal="140" workbookViewId="0">
      <selection activeCell="E178" sqref="E178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5" style="93" customWidth="1"/>
    <col min="6" max="6" width="16.28515625" style="13" customWidth="1"/>
    <col min="7" max="7" width="15.71093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253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7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8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94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95"/>
      <c r="F9" s="18"/>
      <c r="G9" s="18"/>
      <c r="I9" s="12">
        <f>8428.54/6</f>
        <v>1404.7566666666669</v>
      </c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96"/>
      <c r="F10" s="2"/>
      <c r="G10" s="2"/>
      <c r="I10" s="12">
        <f>14568.64/9</f>
        <v>1618.7377777777776</v>
      </c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v>1738387.04</v>
      </c>
      <c r="E11" s="96">
        <f>137223.36+167223.36+137223.36+157223.36+189811.36+137223.36+137223.36+138222.36+138222.36+138222.36+166964.92</f>
        <v>1644783.5199999996</v>
      </c>
      <c r="F11" s="2">
        <f>C11-E11</f>
        <v>93603.520000000484</v>
      </c>
      <c r="G11" s="2">
        <f>D11-E11</f>
        <v>93603.520000000484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v>1215123.27</v>
      </c>
      <c r="E12" s="96">
        <f>68133.9+66346.33+10000+43240.91+52836.91+112317.5+214312+88720.39+398667.38+108260.56+28941.08</f>
        <v>1191776.9600000002</v>
      </c>
      <c r="F12" s="2">
        <f t="shared" ref="F12:F13" si="0">C12-E12</f>
        <v>23346.309999999823</v>
      </c>
      <c r="G12" s="2">
        <f t="shared" ref="G12:G13" si="1">D12-E12</f>
        <v>23346.309999999823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v>150000</v>
      </c>
      <c r="E13" s="96"/>
      <c r="F13" s="2">
        <f t="shared" si="0"/>
        <v>150000</v>
      </c>
      <c r="G13" s="2">
        <f t="shared" si="1"/>
        <v>150000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96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3103510.31</v>
      </c>
      <c r="E15" s="97">
        <f>SUM(E11:E14)</f>
        <v>2836560.4799999995</v>
      </c>
      <c r="F15" s="8">
        <f>SUM(F11:F14)</f>
        <v>266949.83000000031</v>
      </c>
      <c r="G15" s="8">
        <f>SUM(G11:G14)</f>
        <v>266949.83000000031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96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96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v>8585093.1600000001</v>
      </c>
      <c r="E18" s="96">
        <f>603278.41+936306.35+603278.41+623357.41+843407.41+603357.41+603357.41+603368.68+603368.68+603368.68+843418.68</f>
        <v>7469867.5299999993</v>
      </c>
      <c r="F18" s="2">
        <f>C18-E18</f>
        <v>1115225.6300000008</v>
      </c>
      <c r="G18" s="2">
        <f>D18-E18</f>
        <v>1115225.6300000008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v>1180936.3600000001</v>
      </c>
      <c r="E19" s="96">
        <f>119020+28460+11000+12060+116756+32818+133520+33877+167130+101765</f>
        <v>756406</v>
      </c>
      <c r="F19" s="2">
        <f>C19-E19</f>
        <v>424530.3600000001</v>
      </c>
      <c r="G19" s="2">
        <f>D19-E19</f>
        <v>424530.3600000001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v>120000</v>
      </c>
      <c r="E20" s="96"/>
      <c r="F20" s="2">
        <f>C20-E20</f>
        <v>120000</v>
      </c>
      <c r="G20" s="2">
        <f>D20-E20</f>
        <v>120000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96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9886029.5199999996</v>
      </c>
      <c r="E22" s="97">
        <f>SUM(E18:E21)</f>
        <v>8226273.5299999993</v>
      </c>
      <c r="F22" s="8">
        <f>SUM(F18:F21)</f>
        <v>1659755.9900000009</v>
      </c>
      <c r="G22" s="8">
        <f>SUM(G18:G21)</f>
        <v>1659755.9900000009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96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96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v>1080068.32</v>
      </c>
      <c r="E25" s="96">
        <f>81375.15+96375.15+81375.15+96524.11+117488.61+81524.11+81524.11+81524.11+81524.11+81524.11+117488.61</f>
        <v>998247.33</v>
      </c>
      <c r="F25" s="2">
        <f>C25-E25</f>
        <v>81820.990000000107</v>
      </c>
      <c r="G25" s="2">
        <f>D25-E25</f>
        <v>81820.990000000107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v>151285.45000000001</v>
      </c>
      <c r="E26" s="96">
        <f>4140+6862+7000+17697</f>
        <v>35699</v>
      </c>
      <c r="F26" s="2">
        <f>C26-E26</f>
        <v>115586.45000000001</v>
      </c>
      <c r="G26" s="2">
        <f>D26-E26</f>
        <v>115586.45000000001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v>30000</v>
      </c>
      <c r="E27" s="96"/>
      <c r="F27" s="2">
        <f>C27-E27</f>
        <v>30000</v>
      </c>
      <c r="G27" s="2">
        <f>D27-E27</f>
        <v>30000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96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1261353.77</v>
      </c>
      <c r="E29" s="97">
        <f>SUM(E25:E28)</f>
        <v>1033946.33</v>
      </c>
      <c r="F29" s="8">
        <f>SUM(F25:F28)</f>
        <v>227407.44000000012</v>
      </c>
      <c r="G29" s="8">
        <f>SUM(G25:G28)</f>
        <v>227407.44000000012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96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96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v>833611.96</v>
      </c>
      <c r="E32" s="96">
        <f>63327.47+73327.47+63327.47+73327.47+89719.47+63374.55+63327.47+63327.47+63327.47+63408.11+89872.11</f>
        <v>769666.52999999991</v>
      </c>
      <c r="F32" s="2">
        <f>C32-E32</f>
        <v>63945.430000000051</v>
      </c>
      <c r="G32" s="2">
        <f>D32-E32</f>
        <v>63945.430000000051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v>118966.2</v>
      </c>
      <c r="E33" s="96">
        <f>2000+2930+6487+4000+46007+2000+840+3045</f>
        <v>67309</v>
      </c>
      <c r="F33" s="2">
        <f>C33-E33</f>
        <v>51657.2</v>
      </c>
      <c r="G33" s="2">
        <f>D33-E33</f>
        <v>51657.2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v>25000</v>
      </c>
      <c r="E34" s="96"/>
      <c r="F34" s="2">
        <f>C34-E34</f>
        <v>25000</v>
      </c>
      <c r="G34" s="2">
        <f>D34-E34</f>
        <v>25000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96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977578.15999999992</v>
      </c>
      <c r="E36" s="97">
        <f>SUM(E32:E35)</f>
        <v>836975.52999999991</v>
      </c>
      <c r="F36" s="8">
        <f>SUM(F32:F35)</f>
        <v>140602.63000000006</v>
      </c>
      <c r="G36" s="8">
        <f>SUM(G32:G35)</f>
        <v>140602.63000000006</v>
      </c>
      <c r="L36" s="12"/>
    </row>
    <row r="37" spans="1:13" x14ac:dyDescent="0.25">
      <c r="A37" s="25"/>
      <c r="B37" s="18"/>
      <c r="C37" s="2"/>
      <c r="D37" s="2"/>
      <c r="E37" s="96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96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v>686641.8</v>
      </c>
      <c r="E39" s="96">
        <f>53003.9+58003.9+53003.9+58003.9+73301.4+53003.9+53003.9+53003.9+53003.9+53003.9+73301.4</f>
        <v>633637.90000000014</v>
      </c>
      <c r="F39" s="2">
        <f>C39-E39</f>
        <v>53003.899999999907</v>
      </c>
      <c r="G39" s="2">
        <f>D39-E39</f>
        <v>53003.899999999907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v>114943.85</v>
      </c>
      <c r="E40" s="96">
        <f>2000+5200+4218+24350+19795+6723.5</f>
        <v>62286.5</v>
      </c>
      <c r="F40" s="2">
        <f>C40-E40</f>
        <v>52657.350000000006</v>
      </c>
      <c r="G40" s="2">
        <f>D40-E40</f>
        <v>52657.350000000006</v>
      </c>
    </row>
    <row r="41" spans="1:13" x14ac:dyDescent="0.25">
      <c r="A41" s="25"/>
      <c r="B41" s="27" t="s">
        <v>13</v>
      </c>
      <c r="C41" s="2">
        <v>35000</v>
      </c>
      <c r="D41" s="2">
        <v>35000</v>
      </c>
      <c r="E41" s="96"/>
      <c r="F41" s="2">
        <f>C41-E41</f>
        <v>35000</v>
      </c>
      <c r="G41" s="2">
        <f>D41-E41</f>
        <v>35000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96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836585.65</v>
      </c>
      <c r="E43" s="97">
        <f>SUM(E39:E42)</f>
        <v>695924.40000000014</v>
      </c>
      <c r="F43" s="8">
        <f>SUM(F39:F42)</f>
        <v>140661.24999999991</v>
      </c>
      <c r="G43" s="8">
        <f>SUM(G39:G42)</f>
        <v>140661.24999999991</v>
      </c>
    </row>
    <row r="44" spans="1:13" x14ac:dyDescent="0.25">
      <c r="A44" s="25"/>
      <c r="B44" s="18"/>
      <c r="C44" s="2"/>
      <c r="D44" s="2"/>
      <c r="E44" s="96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96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v>1170532.04</v>
      </c>
      <c r="E46" s="96">
        <f>46303.17+61303.17+46303.17+61303.17+66713.67+46303.17+46303.17+46303.17+46303.17+46303.17+66213.67</f>
        <v>579655.86999999988</v>
      </c>
      <c r="F46" s="2">
        <f>C46-E46</f>
        <v>590876.17000000016</v>
      </c>
      <c r="G46" s="2">
        <f>D46-E46</f>
        <v>590876.17000000016</v>
      </c>
    </row>
    <row r="47" spans="1:13" x14ac:dyDescent="0.25">
      <c r="A47" s="25"/>
      <c r="B47" s="27" t="s">
        <v>12</v>
      </c>
      <c r="C47" s="2">
        <v>225508</v>
      </c>
      <c r="D47" s="2">
        <v>225508</v>
      </c>
      <c r="E47" s="96">
        <f>9700+1000+1000+1000+36061+41748.75+4080+1000+5700+16902</f>
        <v>118191.75</v>
      </c>
      <c r="F47" s="2">
        <f>C47-E47</f>
        <v>107316.25</v>
      </c>
      <c r="G47" s="2">
        <f>D47-E47</f>
        <v>107316.25</v>
      </c>
    </row>
    <row r="48" spans="1:13" x14ac:dyDescent="0.25">
      <c r="A48" s="25"/>
      <c r="B48" s="27" t="s">
        <v>13</v>
      </c>
      <c r="C48" s="2">
        <v>25000</v>
      </c>
      <c r="D48" s="2">
        <v>25000</v>
      </c>
      <c r="E48" s="96"/>
      <c r="F48" s="2">
        <f>C48-E48</f>
        <v>25000</v>
      </c>
      <c r="G48" s="2">
        <f>D48-E48</f>
        <v>25000</v>
      </c>
      <c r="H48" s="12"/>
    </row>
    <row r="49" spans="1:8" x14ac:dyDescent="0.25">
      <c r="A49" s="25"/>
      <c r="B49" s="27" t="s">
        <v>14</v>
      </c>
      <c r="C49" s="2"/>
      <c r="D49" s="2"/>
      <c r="E49" s="96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1421040.04</v>
      </c>
      <c r="E50" s="97">
        <f>SUM(E46:E49)</f>
        <v>697847.61999999988</v>
      </c>
      <c r="F50" s="8">
        <f>SUM(F46:F49)</f>
        <v>723192.42000000016</v>
      </c>
      <c r="G50" s="8">
        <f>SUM(G46:G49)</f>
        <v>723192.42000000016</v>
      </c>
      <c r="H50" s="12"/>
    </row>
    <row r="51" spans="1:8" x14ac:dyDescent="0.25">
      <c r="A51" s="25"/>
      <c r="B51" s="18"/>
      <c r="C51" s="2"/>
      <c r="D51" s="2"/>
      <c r="E51" s="96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96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v>1726562.96</v>
      </c>
      <c r="E53" s="96">
        <f>127589.33+162589.33+127589.33+162589.33+190014.83+127589.33+127589.33+127589.33+127589.33+127661.01+190150.51</f>
        <v>1598540.99</v>
      </c>
      <c r="F53" s="2">
        <f>C53-E53</f>
        <v>128021.96999999997</v>
      </c>
      <c r="G53" s="2">
        <f>D53-E53</f>
        <v>128021.96999999997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v>380872.05</v>
      </c>
      <c r="E54" s="96">
        <f>7700+17777+1200+20827.9+18450+78025.44+62720.5+26159+22255+27733</f>
        <v>282847.83999999997</v>
      </c>
      <c r="F54" s="2">
        <f>C54-E54</f>
        <v>98024.210000000021</v>
      </c>
      <c r="G54" s="2">
        <f>D54-E54</f>
        <v>98024.210000000021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v>60000</v>
      </c>
      <c r="E55" s="96"/>
      <c r="F55" s="2">
        <f>C55-E55</f>
        <v>60000</v>
      </c>
      <c r="G55" s="2">
        <f>D55-E55</f>
        <v>60000</v>
      </c>
      <c r="H55" s="12"/>
    </row>
    <row r="56" spans="1:8" x14ac:dyDescent="0.25">
      <c r="A56" s="25"/>
      <c r="B56" s="27" t="s">
        <v>14</v>
      </c>
      <c r="C56" s="2"/>
      <c r="D56" s="2"/>
      <c r="E56" s="96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2167435.0099999998</v>
      </c>
      <c r="E57" s="97">
        <f>SUM(E53:E56)</f>
        <v>1881388.83</v>
      </c>
      <c r="F57" s="8">
        <f>SUM(F53:F56)</f>
        <v>286046.18</v>
      </c>
      <c r="G57" s="8">
        <f>SUM(G53:G56)</f>
        <v>286046.18</v>
      </c>
      <c r="H57" s="12"/>
    </row>
    <row r="58" spans="1:8" ht="15.75" thickBot="1" x14ac:dyDescent="0.3">
      <c r="A58" s="30"/>
      <c r="B58" s="31"/>
      <c r="C58" s="9"/>
      <c r="D58" s="9"/>
      <c r="E58" s="98"/>
      <c r="F58" s="9"/>
      <c r="G58" s="32"/>
      <c r="H58" s="12"/>
    </row>
    <row r="59" spans="1:8" x14ac:dyDescent="0.25">
      <c r="A59" s="33"/>
      <c r="B59" s="34"/>
      <c r="C59" s="10"/>
      <c r="D59" s="10"/>
      <c r="E59" s="99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99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99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99"/>
      <c r="F62" s="10"/>
      <c r="G62" s="10"/>
      <c r="H62" s="12"/>
    </row>
    <row r="63" spans="1:8" x14ac:dyDescent="0.25">
      <c r="A63" s="22" t="s">
        <v>253</v>
      </c>
      <c r="B63" s="34"/>
      <c r="C63" s="10"/>
      <c r="D63" s="10"/>
      <c r="E63" s="99"/>
      <c r="F63" s="10"/>
      <c r="G63" s="10"/>
      <c r="H63" s="12"/>
    </row>
    <row r="64" spans="1:8" x14ac:dyDescent="0.25">
      <c r="A64" s="33"/>
      <c r="B64" s="34"/>
      <c r="C64" s="10"/>
      <c r="D64" s="10"/>
      <c r="E64" s="99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7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8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00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96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v>858385.92000000004</v>
      </c>
      <c r="E69" s="96">
        <f>65251.06+75251.06+65251.06+75251.06+92503.06+65251.06+65314.76+65251.06+65251.06+65251.06+78151.46</f>
        <v>777977.76</v>
      </c>
      <c r="F69" s="2">
        <f>C69-E69</f>
        <v>80408.160000000033</v>
      </c>
      <c r="G69" s="2">
        <f>D69-E69</f>
        <v>80408.160000000033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v>123432.95</v>
      </c>
      <c r="E70" s="96">
        <f>2000+5300+2000+23853+34197+5971+3496+25452+4801</f>
        <v>107070</v>
      </c>
      <c r="F70" s="2">
        <f>C70-E70</f>
        <v>16362.949999999997</v>
      </c>
      <c r="G70" s="2">
        <f>D70-E70</f>
        <v>16362.949999999997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v>30000</v>
      </c>
      <c r="E71" s="96"/>
      <c r="F71" s="2">
        <f>C71-E71</f>
        <v>30000</v>
      </c>
      <c r="G71" s="2">
        <f>D71-E71</f>
        <v>30000</v>
      </c>
      <c r="H71" s="12"/>
    </row>
    <row r="72" spans="1:8" x14ac:dyDescent="0.25">
      <c r="A72" s="25"/>
      <c r="B72" s="27" t="s">
        <v>14</v>
      </c>
      <c r="C72" s="2"/>
      <c r="D72" s="2"/>
      <c r="E72" s="96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1011818.87</v>
      </c>
      <c r="E73" s="97">
        <f>SUM(E69:E72)</f>
        <v>885047.76</v>
      </c>
      <c r="F73" s="8">
        <f>SUM(F69:F72)</f>
        <v>126771.11000000003</v>
      </c>
      <c r="G73" s="8">
        <f>SUM(G69:G72)</f>
        <v>126771.11000000003</v>
      </c>
      <c r="H73" s="12"/>
    </row>
    <row r="74" spans="1:8" x14ac:dyDescent="0.25">
      <c r="A74" s="25"/>
      <c r="B74" s="18"/>
      <c r="C74" s="2"/>
      <c r="D74" s="2"/>
      <c r="E74" s="96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18"/>
      <c r="E75" s="96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v>1199582.96</v>
      </c>
      <c r="E76" s="96">
        <f>43617.35+89117.35+43617.35+67471.91+52508.45+55487.21+44524.59+44524.59+44524.59+44524.59+62270.25</f>
        <v>592188.23</v>
      </c>
      <c r="F76" s="2">
        <f>C76-E76</f>
        <v>607394.73</v>
      </c>
      <c r="G76" s="2">
        <f>D76-E76</f>
        <v>607394.73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v>824008.79</v>
      </c>
      <c r="E77" s="96">
        <f>65119.58+36394.25+745.65+23126.19+7219.48+320382.17+60826.33+59042.04+42133.39+17030</f>
        <v>632019.07999999996</v>
      </c>
      <c r="F77" s="2">
        <f>C77-E77</f>
        <v>191989.71000000008</v>
      </c>
      <c r="G77" s="2">
        <f>D77-E77</f>
        <v>191989.71000000008</v>
      </c>
      <c r="H77" s="12"/>
    </row>
    <row r="78" spans="1:8" x14ac:dyDescent="0.25">
      <c r="A78" s="25"/>
      <c r="B78" s="27" t="s">
        <v>13</v>
      </c>
      <c r="C78" s="2"/>
      <c r="D78" s="2"/>
      <c r="E78" s="96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96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2023591.75</v>
      </c>
      <c r="E80" s="97">
        <f>SUM(E76:E79)</f>
        <v>1224207.31</v>
      </c>
      <c r="F80" s="8">
        <f>SUM(F76:F79)</f>
        <v>799384.44000000006</v>
      </c>
      <c r="G80" s="8">
        <f>SUM(G76:G79)</f>
        <v>799384.44000000006</v>
      </c>
      <c r="H80" s="12"/>
    </row>
    <row r="81" spans="1:8" x14ac:dyDescent="0.25">
      <c r="A81" s="25"/>
      <c r="B81" s="18"/>
      <c r="C81" s="2"/>
      <c r="D81" s="2"/>
      <c r="E81" s="96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18"/>
      <c r="E82" s="96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v>3169869.2</v>
      </c>
      <c r="E83" s="96">
        <f>238901.81+278901.81+238901.81+278901.81+344605.81+237251.81+237251.81+237251.81+237251.81+237858.85+345754.85</f>
        <v>2912833.99</v>
      </c>
      <c r="F83" s="2">
        <f>C83-E83</f>
        <v>257035.20999999996</v>
      </c>
      <c r="G83" s="2">
        <f>D83-E83</f>
        <v>257035.20999999996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v>192388</v>
      </c>
      <c r="E84" s="96">
        <f>23860+10876.16+18548.32+55650+27930+6989+16668+29843.54</f>
        <v>190365.02000000002</v>
      </c>
      <c r="F84" s="2">
        <f>C84-E84</f>
        <v>2022.9799999999814</v>
      </c>
      <c r="G84" s="2">
        <f>D84-E84</f>
        <v>2022.9799999999814</v>
      </c>
      <c r="H84" s="12"/>
    </row>
    <row r="85" spans="1:8" x14ac:dyDescent="0.25">
      <c r="A85" s="25"/>
      <c r="B85" s="27" t="s">
        <v>13</v>
      </c>
      <c r="C85" s="2"/>
      <c r="D85" s="2"/>
      <c r="E85" s="96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96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3362257.2</v>
      </c>
      <c r="E87" s="97">
        <f>SUM(E83:E86)</f>
        <v>3103199.0100000002</v>
      </c>
      <c r="F87" s="8">
        <f>SUM(F83:F86)</f>
        <v>259058.18999999994</v>
      </c>
      <c r="G87" s="8">
        <f>SUM(G83:G86)</f>
        <v>259058.18999999994</v>
      </c>
      <c r="H87" s="12"/>
    </row>
    <row r="88" spans="1:8" x14ac:dyDescent="0.25">
      <c r="A88" s="25"/>
      <c r="B88" s="18"/>
      <c r="C88" s="2"/>
      <c r="D88" s="2"/>
      <c r="E88" s="96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96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v>1224893.68</v>
      </c>
      <c r="E90" s="96">
        <f>82617.57+102617.57+82617.57+102617.57+124557.57+82617.57+82617.57+82617.57+82617.57+82617.57+124673.57</f>
        <v>1032789.2700000003</v>
      </c>
      <c r="F90" s="2">
        <f>C90-E90</f>
        <v>192104.40999999968</v>
      </c>
      <c r="G90" s="2">
        <f>D90-E90</f>
        <v>192104.40999999968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v>208968</v>
      </c>
      <c r="E91" s="96">
        <f>6000+5454+2500+36480+12246+13690+9400+33205</f>
        <v>118975</v>
      </c>
      <c r="F91" s="2">
        <f>C91-E91</f>
        <v>89993</v>
      </c>
      <c r="G91" s="2">
        <f>D91-E91</f>
        <v>89993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v>30000</v>
      </c>
      <c r="E92" s="96"/>
      <c r="F92" s="2">
        <f>C92-E92</f>
        <v>30000</v>
      </c>
      <c r="G92" s="2">
        <f>D92-E92</f>
        <v>30000</v>
      </c>
      <c r="H92" s="12"/>
    </row>
    <row r="93" spans="1:8" x14ac:dyDescent="0.25">
      <c r="A93" s="25"/>
      <c r="B93" s="27" t="s">
        <v>14</v>
      </c>
      <c r="C93" s="2"/>
      <c r="D93" s="2"/>
      <c r="E93" s="96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1463861.68</v>
      </c>
      <c r="E94" s="97">
        <f>SUM(E90:E93)</f>
        <v>1151764.2700000003</v>
      </c>
      <c r="F94" s="8">
        <f>SUM(F90:F93)</f>
        <v>312097.40999999968</v>
      </c>
      <c r="G94" s="8">
        <f>SUM(G90:G93)</f>
        <v>312097.40999999968</v>
      </c>
      <c r="H94" s="12"/>
    </row>
    <row r="95" spans="1:8" x14ac:dyDescent="0.25">
      <c r="A95" s="25"/>
      <c r="B95" s="18"/>
      <c r="C95" s="2"/>
      <c r="D95" s="2"/>
      <c r="E95" s="96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96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v>927669.04</v>
      </c>
      <c r="E97" s="96">
        <f>63960.58+78960.58+123960.58+64700.76+121993.43+54700.76+52700.76+52700.76+52700.76+52700.76+79211.26</f>
        <v>798290.99</v>
      </c>
      <c r="F97" s="2">
        <f>C97-E97</f>
        <v>129378.05000000005</v>
      </c>
      <c r="G97" s="2">
        <f>D97-E97</f>
        <v>129378.05000000005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v>103520</v>
      </c>
      <c r="E98" s="96">
        <f>3000+9240+27855+3030+8002+2024+3090</f>
        <v>56241</v>
      </c>
      <c r="F98" s="2">
        <f>C98-E98</f>
        <v>47279</v>
      </c>
      <c r="G98" s="2">
        <f>D98-E98</f>
        <v>47279</v>
      </c>
      <c r="H98" s="12"/>
    </row>
    <row r="99" spans="1:8" x14ac:dyDescent="0.25">
      <c r="A99" s="25"/>
      <c r="B99" s="27" t="s">
        <v>13</v>
      </c>
      <c r="C99" s="2"/>
      <c r="D99" s="2"/>
      <c r="E99" s="96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96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1031189.04</v>
      </c>
      <c r="E101" s="97">
        <f>SUM(E97:E100)</f>
        <v>854531.99</v>
      </c>
      <c r="F101" s="8">
        <f>SUM(F97:F100)</f>
        <v>176657.05000000005</v>
      </c>
      <c r="G101" s="8">
        <f>SUM(G97:G100)</f>
        <v>176657.05000000005</v>
      </c>
      <c r="H101" s="12"/>
    </row>
    <row r="102" spans="1:8" x14ac:dyDescent="0.25">
      <c r="A102" s="25"/>
      <c r="B102" s="18"/>
      <c r="C102" s="2"/>
      <c r="D102" s="2"/>
      <c r="E102" s="96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96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v>1134720.48</v>
      </c>
      <c r="E104" s="96">
        <f>84930+99930+85263.57+99930+123055+84930+84930+87535.18+85754.62+85754.62+123771.62</f>
        <v>1045784.61</v>
      </c>
      <c r="F104" s="2">
        <f>C104-E104</f>
        <v>88935.87</v>
      </c>
      <c r="G104" s="2">
        <f>D104-E104</f>
        <v>88935.87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v>67403.05</v>
      </c>
      <c r="E105" s="96">
        <f>515+12069+23850+8400+7120</f>
        <v>51954</v>
      </c>
      <c r="F105" s="2">
        <f>C105-E105</f>
        <v>15449.050000000003</v>
      </c>
      <c r="G105" s="2">
        <f>D105-E105</f>
        <v>15449.050000000003</v>
      </c>
      <c r="H105" s="12"/>
    </row>
    <row r="106" spans="1:8" x14ac:dyDescent="0.25">
      <c r="A106" s="25"/>
      <c r="B106" s="27" t="s">
        <v>13</v>
      </c>
      <c r="C106" s="2"/>
      <c r="D106" s="2"/>
      <c r="E106" s="96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96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1202123.53</v>
      </c>
      <c r="E108" s="97">
        <f>SUM(E104:E107)</f>
        <v>1097738.6099999999</v>
      </c>
      <c r="F108" s="8">
        <f>SUM(F104:F107)</f>
        <v>104384.92</v>
      </c>
      <c r="G108" s="8">
        <f>SUM(G104:G107)</f>
        <v>104384.92</v>
      </c>
      <c r="H108" s="12"/>
    </row>
    <row r="109" spans="1:8" x14ac:dyDescent="0.25">
      <c r="A109" s="25"/>
      <c r="B109" s="18"/>
      <c r="C109" s="2"/>
      <c r="D109" s="2"/>
      <c r="E109" s="96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96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96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v>130000</v>
      </c>
      <c r="E112" s="96"/>
      <c r="F112" s="2">
        <f>C112-E112</f>
        <v>130000</v>
      </c>
      <c r="G112" s="2">
        <f>D112-E112</f>
        <v>130000</v>
      </c>
      <c r="H112" s="12"/>
    </row>
    <row r="113" spans="1:8" x14ac:dyDescent="0.25">
      <c r="A113" s="25"/>
      <c r="B113" s="27" t="s">
        <v>13</v>
      </c>
      <c r="C113" s="2"/>
      <c r="D113" s="2"/>
      <c r="E113" s="96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96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130000</v>
      </c>
      <c r="E115" s="97">
        <f>SUM(E111:E114)</f>
        <v>0</v>
      </c>
      <c r="F115" s="8">
        <f>SUM(F111:F114)</f>
        <v>130000</v>
      </c>
      <c r="G115" s="8">
        <f>SUM(G111:G114)</f>
        <v>130000</v>
      </c>
      <c r="H115" s="12"/>
    </row>
    <row r="116" spans="1:8" ht="15.75" thickBot="1" x14ac:dyDescent="0.3">
      <c r="A116" s="35"/>
      <c r="B116" s="36"/>
      <c r="C116" s="9"/>
      <c r="D116" s="9"/>
      <c r="E116" s="98"/>
      <c r="F116" s="9"/>
      <c r="G116" s="32"/>
      <c r="H116" s="12"/>
    </row>
    <row r="117" spans="1:8" x14ac:dyDescent="0.25">
      <c r="C117" s="12"/>
      <c r="D117" s="12"/>
      <c r="E117" s="101"/>
      <c r="F117" s="12"/>
      <c r="G117" s="12"/>
      <c r="H117" s="12"/>
    </row>
    <row r="118" spans="1:8" x14ac:dyDescent="0.25">
      <c r="C118" s="12"/>
      <c r="D118" s="12"/>
      <c r="E118" s="101">
        <f>E15+E22+E29+E36+E43+E50+E57+E73+E80+E87+E94+E101+E108+E115+E172+E173</f>
        <v>25938752.929999996</v>
      </c>
      <c r="F118" s="12"/>
      <c r="G118" s="12"/>
      <c r="H118" s="12"/>
    </row>
    <row r="119" spans="1:8" x14ac:dyDescent="0.25">
      <c r="C119" s="12"/>
      <c r="D119" s="12"/>
      <c r="E119" s="101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99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99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99"/>
      <c r="F122" s="10"/>
      <c r="G122" s="10"/>
      <c r="H122" s="12"/>
    </row>
    <row r="123" spans="1:8" x14ac:dyDescent="0.25">
      <c r="A123" s="22" t="s">
        <v>253</v>
      </c>
      <c r="B123" s="34"/>
      <c r="C123" s="10"/>
      <c r="D123" s="10"/>
      <c r="E123" s="99"/>
      <c r="F123" s="10"/>
      <c r="G123" s="10"/>
      <c r="H123" s="12"/>
    </row>
    <row r="124" spans="1:8" x14ac:dyDescent="0.25">
      <c r="A124" s="33"/>
      <c r="B124" s="34"/>
      <c r="C124" s="10"/>
      <c r="D124" s="10"/>
      <c r="E124" s="99"/>
      <c r="F124" s="10"/>
      <c r="G124" s="10"/>
      <c r="H124" s="12"/>
    </row>
    <row r="125" spans="1:8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7" t="s">
        <v>7</v>
      </c>
      <c r="F125" s="15" t="s">
        <v>8</v>
      </c>
      <c r="G125" s="15" t="s">
        <v>8</v>
      </c>
      <c r="H125" s="12"/>
    </row>
    <row r="126" spans="1:8" x14ac:dyDescent="0.25">
      <c r="A126" s="116"/>
      <c r="B126" s="116"/>
      <c r="C126" s="116"/>
      <c r="D126" s="116"/>
      <c r="E126" s="118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00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v>38596</v>
      </c>
      <c r="E128" s="96"/>
      <c r="F128" s="2">
        <f t="shared" ref="F128:F131" si="2">C128-E128</f>
        <v>38596</v>
      </c>
      <c r="G128" s="2">
        <f t="shared" ref="G128:G156" si="3">D128-E128</f>
        <v>38596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v>430000</v>
      </c>
      <c r="E129" s="96">
        <f>19047.59+5400+3600+6000+20575+6975+7500</f>
        <v>69097.59</v>
      </c>
      <c r="F129" s="2">
        <f t="shared" si="2"/>
        <v>360902.41000000003</v>
      </c>
      <c r="G129" s="2">
        <f t="shared" si="3"/>
        <v>360902.41000000003</v>
      </c>
      <c r="H129" s="12"/>
    </row>
    <row r="130" spans="1:10" x14ac:dyDescent="0.25">
      <c r="A130" s="18"/>
      <c r="B130" s="84" t="s">
        <v>88</v>
      </c>
      <c r="C130" s="85">
        <v>20000</v>
      </c>
      <c r="D130" s="85">
        <v>20000</v>
      </c>
      <c r="E130" s="96">
        <f>30000+19849+25142.05</f>
        <v>74991.05</v>
      </c>
      <c r="F130" s="2">
        <f t="shared" si="2"/>
        <v>-54991.05</v>
      </c>
      <c r="G130" s="2">
        <f t="shared" si="3"/>
        <v>-54991.05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v>300000</v>
      </c>
      <c r="E131" s="96"/>
      <c r="F131" s="2">
        <f t="shared" si="2"/>
        <v>300000</v>
      </c>
      <c r="G131" s="2">
        <f t="shared" si="3"/>
        <v>300000</v>
      </c>
      <c r="H131" s="12"/>
    </row>
    <row r="132" spans="1:10" x14ac:dyDescent="0.25">
      <c r="A132" s="18"/>
      <c r="B132" s="84" t="s">
        <v>166</v>
      </c>
      <c r="C132" s="85">
        <v>0</v>
      </c>
      <c r="D132" s="85">
        <v>0</v>
      </c>
      <c r="E132" s="96"/>
      <c r="F132" s="2"/>
      <c r="G132" s="2"/>
      <c r="H132" s="12"/>
    </row>
    <row r="133" spans="1:10" x14ac:dyDescent="0.25">
      <c r="A133" s="18"/>
      <c r="B133" s="18" t="s">
        <v>143</v>
      </c>
      <c r="C133" s="2">
        <v>145000</v>
      </c>
      <c r="D133" s="2">
        <v>145000</v>
      </c>
      <c r="E133" s="96">
        <f>3000+3990+38040+43508+12125</f>
        <v>100663</v>
      </c>
      <c r="F133" s="2">
        <f t="shared" ref="F133:F155" si="4">C133-E133</f>
        <v>44337</v>
      </c>
      <c r="G133" s="2">
        <f t="shared" ref="G133:G155" si="5">D133-E133</f>
        <v>44337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v>120000</v>
      </c>
      <c r="E134" s="96">
        <f>3450+10915</f>
        <v>14365</v>
      </c>
      <c r="F134" s="2">
        <f t="shared" si="4"/>
        <v>105635</v>
      </c>
      <c r="G134" s="2">
        <f t="shared" si="5"/>
        <v>105635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v>75000</v>
      </c>
      <c r="E135" s="96">
        <f>1775</f>
        <v>1775</v>
      </c>
      <c r="F135" s="2">
        <f t="shared" si="4"/>
        <v>73225</v>
      </c>
      <c r="G135" s="2">
        <f t="shared" si="5"/>
        <v>73225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v>1500000</v>
      </c>
      <c r="E136" s="96">
        <f>214375+103410+218450+95575+191615+108890+193970+288520+81940+103755+151410</f>
        <v>1751910</v>
      </c>
      <c r="F136" s="2">
        <f t="shared" si="4"/>
        <v>-251910</v>
      </c>
      <c r="G136" s="2">
        <f t="shared" si="5"/>
        <v>-251910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v>100000</v>
      </c>
      <c r="E137" s="96"/>
      <c r="F137" s="2">
        <f t="shared" si="4"/>
        <v>100000</v>
      </c>
      <c r="G137" s="2">
        <f t="shared" si="5"/>
        <v>100000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f>150000-100000</f>
        <v>50000</v>
      </c>
      <c r="D138" s="2">
        <f>150000-100000</f>
        <v>50000</v>
      </c>
      <c r="E138" s="96"/>
      <c r="F138" s="2">
        <f t="shared" si="4"/>
        <v>50000</v>
      </c>
      <c r="G138" s="2">
        <f t="shared" si="5"/>
        <v>50000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v>70000</v>
      </c>
      <c r="E139" s="96"/>
      <c r="F139" s="2">
        <f t="shared" si="4"/>
        <v>70000</v>
      </c>
      <c r="G139" s="2">
        <f t="shared" si="5"/>
        <v>70000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v>300000</v>
      </c>
      <c r="E140" s="96">
        <f>1160+28831+300+600+750</f>
        <v>31641</v>
      </c>
      <c r="F140" s="2">
        <f t="shared" si="4"/>
        <v>268359</v>
      </c>
      <c r="G140" s="2">
        <f t="shared" si="5"/>
        <v>268359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v>20000</v>
      </c>
      <c r="E141" s="96">
        <f>3550+900</f>
        <v>4450</v>
      </c>
      <c r="F141" s="2">
        <f t="shared" si="4"/>
        <v>15550</v>
      </c>
      <c r="G141" s="2">
        <f t="shared" si="5"/>
        <v>15550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v>15000</v>
      </c>
      <c r="E142" s="96"/>
      <c r="F142" s="2">
        <f t="shared" si="4"/>
        <v>15000</v>
      </c>
      <c r="G142" s="2">
        <f t="shared" si="5"/>
        <v>15000</v>
      </c>
      <c r="J142" s="12"/>
    </row>
    <row r="143" spans="1:10" x14ac:dyDescent="0.25">
      <c r="A143" s="18"/>
      <c r="B143" s="84" t="s">
        <v>51</v>
      </c>
      <c r="C143" s="85">
        <f>750000-300000</f>
        <v>450000</v>
      </c>
      <c r="D143" s="85">
        <f>750000-300000</f>
        <v>450000</v>
      </c>
      <c r="E143" s="96">
        <f>14250+40863.89+16600+33570.54+8900+4725</f>
        <v>118909.43</v>
      </c>
      <c r="F143" s="2">
        <f t="shared" si="4"/>
        <v>331090.57</v>
      </c>
      <c r="G143" s="2">
        <f t="shared" si="5"/>
        <v>331090.57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v>50000</v>
      </c>
      <c r="E144" s="96">
        <v>8500</v>
      </c>
      <c r="F144" s="2">
        <f t="shared" si="4"/>
        <v>41500</v>
      </c>
      <c r="G144" s="2">
        <f t="shared" si="5"/>
        <v>41500</v>
      </c>
    </row>
    <row r="145" spans="1:7" x14ac:dyDescent="0.25">
      <c r="A145" s="18"/>
      <c r="B145" s="18" t="s">
        <v>223</v>
      </c>
      <c r="C145" s="2">
        <v>455427.6</v>
      </c>
      <c r="D145" s="2">
        <v>455427.6</v>
      </c>
      <c r="E145" s="96"/>
      <c r="F145" s="2">
        <f t="shared" si="4"/>
        <v>455427.6</v>
      </c>
      <c r="G145" s="2">
        <f t="shared" si="5"/>
        <v>455427.6</v>
      </c>
    </row>
    <row r="146" spans="1:7" x14ac:dyDescent="0.25">
      <c r="A146" s="18"/>
      <c r="B146" s="84" t="s">
        <v>210</v>
      </c>
      <c r="C146" s="85">
        <f>1200000-700000</f>
        <v>500000</v>
      </c>
      <c r="D146" s="85">
        <f>1200000-700000</f>
        <v>500000</v>
      </c>
      <c r="E146" s="96">
        <f>2200+25000+152824+30000+1200+28060+402559</f>
        <v>641843</v>
      </c>
      <c r="F146" s="2">
        <f t="shared" si="4"/>
        <v>-141843</v>
      </c>
      <c r="G146" s="2">
        <f t="shared" si="5"/>
        <v>-141843</v>
      </c>
    </row>
    <row r="147" spans="1:7" x14ac:dyDescent="0.25">
      <c r="A147" s="18"/>
      <c r="B147" s="18" t="s">
        <v>211</v>
      </c>
      <c r="C147" s="2">
        <v>500000</v>
      </c>
      <c r="D147" s="2">
        <v>500000</v>
      </c>
      <c r="E147" s="96"/>
      <c r="F147" s="2">
        <f t="shared" si="4"/>
        <v>500000</v>
      </c>
      <c r="G147" s="2">
        <f t="shared" si="5"/>
        <v>500000</v>
      </c>
    </row>
    <row r="148" spans="1:7" x14ac:dyDescent="0.25">
      <c r="A148" s="18"/>
      <c r="B148" s="18" t="s">
        <v>212</v>
      </c>
      <c r="C148" s="2">
        <v>300000</v>
      </c>
      <c r="D148" s="2">
        <v>300000</v>
      </c>
      <c r="E148" s="96">
        <f>4116.65+40000+30000+9360+3380.25</f>
        <v>86856.9</v>
      </c>
      <c r="F148" s="2">
        <f t="shared" si="4"/>
        <v>213143.1</v>
      </c>
      <c r="G148" s="2">
        <f t="shared" si="5"/>
        <v>213143.1</v>
      </c>
    </row>
    <row r="149" spans="1:7" x14ac:dyDescent="0.25">
      <c r="A149" s="18"/>
      <c r="B149" s="18" t="s">
        <v>213</v>
      </c>
      <c r="C149" s="2">
        <v>375000</v>
      </c>
      <c r="D149" s="2">
        <v>375000</v>
      </c>
      <c r="E149" s="96">
        <f>1500+1000</f>
        <v>2500</v>
      </c>
      <c r="F149" s="2">
        <f t="shared" si="4"/>
        <v>372500</v>
      </c>
      <c r="G149" s="2">
        <f t="shared" si="5"/>
        <v>372500</v>
      </c>
    </row>
    <row r="150" spans="1:7" x14ac:dyDescent="0.25">
      <c r="A150" s="18"/>
      <c r="B150" s="84" t="s">
        <v>32</v>
      </c>
      <c r="C150" s="85">
        <f>250000-100000</f>
        <v>150000</v>
      </c>
      <c r="D150" s="85">
        <f>250000-100000</f>
        <v>150000</v>
      </c>
      <c r="E150" s="96">
        <f>945.85+400+15186+493.34+758</f>
        <v>17783.189999999999</v>
      </c>
      <c r="F150" s="2">
        <f t="shared" si="4"/>
        <v>132216.81</v>
      </c>
      <c r="G150" s="2">
        <f t="shared" si="5"/>
        <v>132216.81</v>
      </c>
    </row>
    <row r="151" spans="1:7" x14ac:dyDescent="0.25">
      <c r="A151" s="18"/>
      <c r="B151" s="18" t="s">
        <v>96</v>
      </c>
      <c r="C151" s="2">
        <v>776404</v>
      </c>
      <c r="D151" s="2">
        <v>776404</v>
      </c>
      <c r="E151" s="96">
        <f>194101+194101+388202+194101</f>
        <v>970505</v>
      </c>
      <c r="F151" s="2">
        <f t="shared" si="4"/>
        <v>-194101</v>
      </c>
      <c r="G151" s="2">
        <f t="shared" si="5"/>
        <v>-194101</v>
      </c>
    </row>
    <row r="152" spans="1:7" x14ac:dyDescent="0.25">
      <c r="A152" s="18"/>
      <c r="B152" s="86" t="s">
        <v>241</v>
      </c>
      <c r="C152" s="87">
        <v>100000</v>
      </c>
      <c r="D152" s="87">
        <v>100000</v>
      </c>
      <c r="E152" s="96">
        <v>100000</v>
      </c>
      <c r="F152" s="2">
        <f t="shared" si="4"/>
        <v>0</v>
      </c>
      <c r="G152" s="2">
        <f t="shared" si="5"/>
        <v>0</v>
      </c>
    </row>
    <row r="153" spans="1:7" x14ac:dyDescent="0.25">
      <c r="A153" s="18"/>
      <c r="B153" s="86" t="s">
        <v>242</v>
      </c>
      <c r="C153" s="87">
        <v>200000</v>
      </c>
      <c r="D153" s="87">
        <v>200000</v>
      </c>
      <c r="E153" s="96"/>
      <c r="F153" s="2">
        <f t="shared" si="4"/>
        <v>200000</v>
      </c>
      <c r="G153" s="2">
        <f t="shared" si="5"/>
        <v>200000</v>
      </c>
    </row>
    <row r="154" spans="1:7" x14ac:dyDescent="0.25">
      <c r="A154" s="18"/>
      <c r="B154" s="86" t="s">
        <v>243</v>
      </c>
      <c r="C154" s="87">
        <v>800000</v>
      </c>
      <c r="D154" s="87">
        <v>800000</v>
      </c>
      <c r="E154" s="96">
        <v>800000</v>
      </c>
      <c r="F154" s="2">
        <f t="shared" si="4"/>
        <v>0</v>
      </c>
      <c r="G154" s="2">
        <f t="shared" si="5"/>
        <v>0</v>
      </c>
    </row>
    <row r="155" spans="1:7" x14ac:dyDescent="0.25">
      <c r="A155" s="18"/>
      <c r="B155" s="86" t="s">
        <v>244</v>
      </c>
      <c r="C155" s="87">
        <v>400000</v>
      </c>
      <c r="D155" s="87">
        <v>400000</v>
      </c>
      <c r="E155" s="96">
        <v>400000</v>
      </c>
      <c r="F155" s="2">
        <f t="shared" si="4"/>
        <v>0</v>
      </c>
      <c r="G155" s="2">
        <f t="shared" si="5"/>
        <v>0</v>
      </c>
    </row>
    <row r="156" spans="1:7" x14ac:dyDescent="0.25">
      <c r="A156" s="37"/>
      <c r="B156" s="37"/>
      <c r="C156" s="6"/>
      <c r="D156" s="6"/>
      <c r="E156" s="102"/>
      <c r="F156" s="2"/>
      <c r="G156" s="2">
        <f t="shared" si="3"/>
        <v>0</v>
      </c>
    </row>
    <row r="157" spans="1:7" x14ac:dyDescent="0.25">
      <c r="A157" s="38"/>
      <c r="B157" s="28" t="s">
        <v>27</v>
      </c>
      <c r="C157" s="8">
        <f>SUM(C128:C156)</f>
        <v>8240427.5999999996</v>
      </c>
      <c r="D157" s="8">
        <f>SUM(D128:D156)</f>
        <v>8240427.5999999996</v>
      </c>
      <c r="E157" s="97">
        <f>SUM(E128:E156)</f>
        <v>5195790.16</v>
      </c>
      <c r="F157" s="8">
        <f>SUM(F128:F156)</f>
        <v>3044637.4400000004</v>
      </c>
      <c r="G157" s="8">
        <f>SUM(G128:G156)</f>
        <v>3044637.4400000004</v>
      </c>
    </row>
    <row r="158" spans="1:7" x14ac:dyDescent="0.25">
      <c r="C158" s="7"/>
    </row>
    <row r="159" spans="1:7" x14ac:dyDescent="0.25">
      <c r="C159" s="14"/>
      <c r="E159" s="103"/>
    </row>
    <row r="160" spans="1:7" x14ac:dyDescent="0.25">
      <c r="C160" s="14"/>
    </row>
    <row r="162" spans="1:9" x14ac:dyDescent="0.25">
      <c r="A162" s="13" t="s">
        <v>0</v>
      </c>
      <c r="B162" s="34"/>
      <c r="C162" s="10"/>
      <c r="D162" s="10"/>
      <c r="E162" s="99">
        <f>E159-E161</f>
        <v>0</v>
      </c>
      <c r="F162" s="10"/>
      <c r="G162" s="10"/>
    </row>
    <row r="163" spans="1:9" x14ac:dyDescent="0.25">
      <c r="A163" s="13" t="s">
        <v>1</v>
      </c>
      <c r="B163" s="34"/>
      <c r="C163" s="10"/>
      <c r="D163" s="10"/>
      <c r="E163" s="99"/>
      <c r="F163" s="10"/>
      <c r="G163" s="10"/>
    </row>
    <row r="164" spans="1:9" x14ac:dyDescent="0.25">
      <c r="A164" s="13" t="s">
        <v>2</v>
      </c>
      <c r="B164" s="34"/>
      <c r="C164" s="10"/>
      <c r="D164" s="10"/>
      <c r="E164" s="99"/>
      <c r="F164" s="10"/>
      <c r="G164" s="10"/>
    </row>
    <row r="165" spans="1:9" x14ac:dyDescent="0.25">
      <c r="A165" s="22" t="s">
        <v>253</v>
      </c>
      <c r="B165" s="34"/>
      <c r="C165" s="10"/>
      <c r="D165" s="10"/>
      <c r="E165" s="99"/>
      <c r="F165" s="10"/>
      <c r="G165" s="10"/>
    </row>
    <row r="166" spans="1:9" x14ac:dyDescent="0.25">
      <c r="A166" s="33"/>
      <c r="B166" s="34"/>
      <c r="C166" s="10"/>
      <c r="D166" s="10"/>
      <c r="E166" s="99"/>
      <c r="F166" s="10"/>
      <c r="G166" s="10"/>
    </row>
    <row r="167" spans="1:9" x14ac:dyDescent="0.25">
      <c r="A167" s="115" t="s">
        <v>3</v>
      </c>
      <c r="B167" s="115" t="s">
        <v>4</v>
      </c>
      <c r="C167" s="115" t="s">
        <v>5</v>
      </c>
      <c r="D167" s="115" t="s">
        <v>6</v>
      </c>
      <c r="E167" s="117" t="s">
        <v>7</v>
      </c>
      <c r="F167" s="15" t="s">
        <v>8</v>
      </c>
      <c r="G167" s="15" t="s">
        <v>8</v>
      </c>
    </row>
    <row r="168" spans="1:9" x14ac:dyDescent="0.25">
      <c r="A168" s="116"/>
      <c r="B168" s="116"/>
      <c r="C168" s="116"/>
      <c r="D168" s="116"/>
      <c r="E168" s="118"/>
      <c r="F168" s="16" t="s">
        <v>5</v>
      </c>
      <c r="G168" s="16" t="s">
        <v>6</v>
      </c>
    </row>
    <row r="169" spans="1:9" x14ac:dyDescent="0.25">
      <c r="A169" s="17"/>
      <c r="B169" s="17"/>
      <c r="C169" s="17"/>
      <c r="D169" s="17"/>
      <c r="E169" s="94"/>
      <c r="F169" s="17"/>
      <c r="G169" s="17"/>
    </row>
    <row r="170" spans="1:9" x14ac:dyDescent="0.25">
      <c r="A170" s="18"/>
      <c r="B170" s="26" t="s">
        <v>53</v>
      </c>
      <c r="C170" s="18"/>
      <c r="D170" s="18"/>
      <c r="E170" s="95"/>
      <c r="F170" s="18"/>
      <c r="G170" s="18"/>
    </row>
    <row r="171" spans="1:9" x14ac:dyDescent="0.25">
      <c r="A171" s="18"/>
      <c r="B171" s="27" t="s">
        <v>11</v>
      </c>
      <c r="C171" s="2"/>
      <c r="D171" s="2"/>
      <c r="E171" s="96"/>
      <c r="F171" s="2"/>
      <c r="G171" s="2"/>
    </row>
    <row r="172" spans="1:9" x14ac:dyDescent="0.25">
      <c r="A172" s="18"/>
      <c r="B172" s="4" t="s">
        <v>58</v>
      </c>
      <c r="C172" s="2">
        <v>320000</v>
      </c>
      <c r="D172" s="2">
        <v>320000</v>
      </c>
      <c r="E172" s="96">
        <f>16993+74825.49+65490.16+14605.54+162894.26+4994.81</f>
        <v>339803.26000000007</v>
      </c>
      <c r="F172" s="2">
        <f t="shared" ref="F172:F192" si="6">C172-E172</f>
        <v>-19803.260000000068</v>
      </c>
      <c r="G172" s="2">
        <f t="shared" ref="G172:G192" si="7">D172-E172</f>
        <v>-19803.260000000068</v>
      </c>
    </row>
    <row r="173" spans="1:9" x14ac:dyDescent="0.25">
      <c r="A173" s="18"/>
      <c r="B173" s="4" t="s">
        <v>59</v>
      </c>
      <c r="C173" s="2">
        <v>1000000</v>
      </c>
      <c r="D173" s="2">
        <v>1000000</v>
      </c>
      <c r="E173" s="96">
        <f>122000+120000+120000+120000+120000+120000+118000+118000+115544</f>
        <v>1073544</v>
      </c>
      <c r="F173" s="2">
        <f t="shared" si="6"/>
        <v>-73544</v>
      </c>
      <c r="G173" s="2">
        <f t="shared" si="7"/>
        <v>-73544</v>
      </c>
      <c r="I173" s="14">
        <f>E173*12</f>
        <v>12882528</v>
      </c>
    </row>
    <row r="174" spans="1:9" x14ac:dyDescent="0.25">
      <c r="A174" s="18"/>
      <c r="B174" s="27" t="s">
        <v>12</v>
      </c>
      <c r="C174" s="2"/>
      <c r="D174" s="2"/>
      <c r="E174" s="96"/>
      <c r="F174" s="2">
        <f t="shared" si="6"/>
        <v>0</v>
      </c>
      <c r="G174" s="2">
        <f t="shared" si="7"/>
        <v>0</v>
      </c>
    </row>
    <row r="175" spans="1:9" x14ac:dyDescent="0.25">
      <c r="A175" s="18"/>
      <c r="B175" s="4" t="s">
        <v>54</v>
      </c>
      <c r="C175" s="2">
        <v>2419990.09</v>
      </c>
      <c r="D175" s="2">
        <v>2419990.09</v>
      </c>
      <c r="E175" s="96">
        <f>78500+434768.95+5950+4083.08+3358.6</f>
        <v>526660.63</v>
      </c>
      <c r="F175" s="2">
        <f t="shared" si="6"/>
        <v>1893329.46</v>
      </c>
      <c r="G175" s="2">
        <f t="shared" si="7"/>
        <v>1893329.46</v>
      </c>
      <c r="I175" s="14">
        <f>C175/4</f>
        <v>604997.52249999996</v>
      </c>
    </row>
    <row r="176" spans="1:9" x14ac:dyDescent="0.25">
      <c r="A176" s="18"/>
      <c r="B176" s="4" t="s">
        <v>55</v>
      </c>
      <c r="C176" s="2">
        <v>15000</v>
      </c>
      <c r="D176" s="2">
        <v>15000</v>
      </c>
      <c r="E176" s="96"/>
      <c r="F176" s="2">
        <f t="shared" si="6"/>
        <v>15000</v>
      </c>
      <c r="G176" s="2">
        <f t="shared" si="7"/>
        <v>15000</v>
      </c>
    </row>
    <row r="177" spans="1:7" x14ac:dyDescent="0.25">
      <c r="A177" s="18"/>
      <c r="B177" s="4" t="s">
        <v>56</v>
      </c>
      <c r="C177" s="2">
        <v>20000</v>
      </c>
      <c r="D177" s="2">
        <v>20000</v>
      </c>
      <c r="E177" s="96"/>
      <c r="F177" s="2">
        <f t="shared" si="6"/>
        <v>20000</v>
      </c>
      <c r="G177" s="2">
        <f t="shared" si="7"/>
        <v>20000</v>
      </c>
    </row>
    <row r="178" spans="1:7" x14ac:dyDescent="0.25">
      <c r="A178" s="18"/>
      <c r="B178" s="4" t="s">
        <v>160</v>
      </c>
      <c r="C178" s="2">
        <v>2419990.09</v>
      </c>
      <c r="D178" s="2">
        <v>2419990.09</v>
      </c>
      <c r="E178" s="96">
        <v>715512</v>
      </c>
      <c r="F178" s="2">
        <f t="shared" si="6"/>
        <v>1704478.0899999999</v>
      </c>
      <c r="G178" s="2">
        <f t="shared" si="7"/>
        <v>1704478.0899999999</v>
      </c>
    </row>
    <row r="179" spans="1:7" x14ac:dyDescent="0.25">
      <c r="A179" s="18"/>
      <c r="B179" s="4" t="s">
        <v>161</v>
      </c>
      <c r="C179" s="2">
        <v>483998.02</v>
      </c>
      <c r="D179" s="2">
        <v>483998.02</v>
      </c>
      <c r="E179" s="96">
        <f>2000+23750+4000+8000+12000+27100+46134</f>
        <v>122984</v>
      </c>
      <c r="F179" s="2">
        <f t="shared" ref="F179" si="8">C179-E179</f>
        <v>361014.02</v>
      </c>
      <c r="G179" s="2">
        <f t="shared" ref="G179" si="9">D179-E179</f>
        <v>361014.02</v>
      </c>
    </row>
    <row r="180" spans="1:7" x14ac:dyDescent="0.25">
      <c r="A180" s="18"/>
      <c r="B180" s="55" t="s">
        <v>162</v>
      </c>
      <c r="C180" s="2">
        <v>412021.38</v>
      </c>
      <c r="D180" s="2">
        <v>412021.38</v>
      </c>
      <c r="E180" s="96"/>
      <c r="F180" s="2">
        <f t="shared" si="6"/>
        <v>412021.38</v>
      </c>
      <c r="G180" s="2">
        <f t="shared" si="7"/>
        <v>412021.38</v>
      </c>
    </row>
    <row r="181" spans="1:7" x14ac:dyDescent="0.25">
      <c r="A181" s="18"/>
      <c r="B181" s="55" t="s">
        <v>225</v>
      </c>
      <c r="C181" s="2"/>
      <c r="D181" s="2"/>
      <c r="E181" s="96"/>
      <c r="F181" s="2"/>
      <c r="G181" s="2"/>
    </row>
    <row r="182" spans="1:7" x14ac:dyDescent="0.25">
      <c r="A182" s="18"/>
      <c r="B182" s="82" t="s">
        <v>226</v>
      </c>
      <c r="C182" s="2">
        <v>10000</v>
      </c>
      <c r="D182" s="2">
        <v>10000</v>
      </c>
      <c r="E182" s="96"/>
      <c r="F182" s="2">
        <f t="shared" ref="F182:F186" si="10">C182-E182</f>
        <v>10000</v>
      </c>
      <c r="G182" s="2">
        <f t="shared" ref="G182:G186" si="11">D182-E182</f>
        <v>10000</v>
      </c>
    </row>
    <row r="183" spans="1:7" x14ac:dyDescent="0.25">
      <c r="A183" s="18"/>
      <c r="B183" s="55" t="s">
        <v>227</v>
      </c>
      <c r="C183" s="2">
        <v>10000</v>
      </c>
      <c r="D183" s="2">
        <v>10000</v>
      </c>
      <c r="E183" s="96"/>
      <c r="F183" s="2">
        <f t="shared" si="10"/>
        <v>10000</v>
      </c>
      <c r="G183" s="2">
        <f t="shared" si="11"/>
        <v>10000</v>
      </c>
    </row>
    <row r="184" spans="1:7" x14ac:dyDescent="0.25">
      <c r="A184" s="18"/>
      <c r="B184" s="4" t="s">
        <v>228</v>
      </c>
      <c r="C184" s="2">
        <v>100000</v>
      </c>
      <c r="D184" s="2">
        <v>100000</v>
      </c>
      <c r="E184" s="96"/>
      <c r="F184" s="2">
        <f t="shared" si="10"/>
        <v>100000</v>
      </c>
      <c r="G184" s="2">
        <f t="shared" si="11"/>
        <v>100000</v>
      </c>
    </row>
    <row r="185" spans="1:7" x14ac:dyDescent="0.25">
      <c r="A185" s="18"/>
      <c r="B185" s="4" t="s">
        <v>229</v>
      </c>
      <c r="C185" s="2">
        <v>300000</v>
      </c>
      <c r="D185" s="2">
        <v>300000</v>
      </c>
      <c r="E185" s="96">
        <f>74000+13819+86641+41775+11100</f>
        <v>227335</v>
      </c>
      <c r="F185" s="2">
        <f t="shared" si="10"/>
        <v>72665</v>
      </c>
      <c r="G185" s="2">
        <f t="shared" si="11"/>
        <v>72665</v>
      </c>
    </row>
    <row r="186" spans="1:7" x14ac:dyDescent="0.25">
      <c r="A186" s="18"/>
      <c r="B186" s="4" t="s">
        <v>105</v>
      </c>
      <c r="C186" s="2">
        <v>150000</v>
      </c>
      <c r="D186" s="2">
        <v>150000</v>
      </c>
      <c r="E186" s="96">
        <v>47995</v>
      </c>
      <c r="F186" s="2">
        <f t="shared" si="10"/>
        <v>102005</v>
      </c>
      <c r="G186" s="2">
        <f t="shared" si="11"/>
        <v>102005</v>
      </c>
    </row>
    <row r="187" spans="1:7" x14ac:dyDescent="0.25">
      <c r="A187" s="18"/>
      <c r="B187" s="27" t="s">
        <v>13</v>
      </c>
      <c r="C187" s="2"/>
      <c r="D187" s="2"/>
      <c r="E187" s="96"/>
      <c r="F187" s="2">
        <f t="shared" si="6"/>
        <v>0</v>
      </c>
      <c r="G187" s="2">
        <f t="shared" si="7"/>
        <v>0</v>
      </c>
    </row>
    <row r="188" spans="1:7" x14ac:dyDescent="0.25">
      <c r="A188" s="18"/>
      <c r="B188" s="4" t="s">
        <v>62</v>
      </c>
      <c r="C188" s="2"/>
      <c r="D188" s="2"/>
      <c r="E188" s="96"/>
      <c r="F188" s="2">
        <f t="shared" si="6"/>
        <v>0</v>
      </c>
      <c r="G188" s="2">
        <f t="shared" si="7"/>
        <v>0</v>
      </c>
    </row>
    <row r="189" spans="1:7" x14ac:dyDescent="0.25">
      <c r="A189" s="18"/>
      <c r="B189" s="83" t="s">
        <v>230</v>
      </c>
      <c r="C189" s="2">
        <v>500000</v>
      </c>
      <c r="D189" s="2">
        <v>500000</v>
      </c>
      <c r="E189" s="96"/>
      <c r="F189" s="2">
        <f t="shared" ref="F189" si="12">C189-E189</f>
        <v>500000</v>
      </c>
      <c r="G189" s="2">
        <f t="shared" ref="G189" si="13">D189-E189</f>
        <v>500000</v>
      </c>
    </row>
    <row r="190" spans="1:7" x14ac:dyDescent="0.25">
      <c r="A190" s="18"/>
      <c r="B190" s="88" t="s">
        <v>231</v>
      </c>
      <c r="C190" s="85"/>
      <c r="D190" s="85"/>
      <c r="E190" s="96"/>
      <c r="F190" s="2"/>
      <c r="G190" s="2"/>
    </row>
    <row r="191" spans="1:7" x14ac:dyDescent="0.25">
      <c r="A191" s="18"/>
      <c r="B191" s="89" t="s">
        <v>232</v>
      </c>
      <c r="C191" s="85">
        <f>2000000-500000</f>
        <v>1500000</v>
      </c>
      <c r="D191" s="85">
        <f>2000000-500000</f>
        <v>1500000</v>
      </c>
      <c r="E191" s="96">
        <f>644135+285846+127080</f>
        <v>1057061</v>
      </c>
      <c r="F191" s="2">
        <f t="shared" si="6"/>
        <v>442939</v>
      </c>
      <c r="G191" s="2">
        <f t="shared" si="7"/>
        <v>442939</v>
      </c>
    </row>
    <row r="192" spans="1:7" x14ac:dyDescent="0.25">
      <c r="A192" s="18"/>
      <c r="B192" s="88" t="s">
        <v>233</v>
      </c>
      <c r="C192" s="85">
        <v>0</v>
      </c>
      <c r="D192" s="85">
        <v>0</v>
      </c>
      <c r="E192" s="96"/>
      <c r="F192" s="2">
        <f t="shared" si="6"/>
        <v>0</v>
      </c>
      <c r="G192" s="2">
        <f t="shared" si="7"/>
        <v>0</v>
      </c>
    </row>
    <row r="193" spans="1:12" x14ac:dyDescent="0.25">
      <c r="A193" s="18"/>
      <c r="B193" s="86" t="s">
        <v>246</v>
      </c>
      <c r="C193" s="87">
        <f>500000+100000</f>
        <v>600000</v>
      </c>
      <c r="D193" s="87">
        <f>500000+100000</f>
        <v>600000</v>
      </c>
      <c r="E193" s="96">
        <v>171367.11</v>
      </c>
      <c r="F193" s="2">
        <f t="shared" ref="F193:F194" si="14">C193-E193</f>
        <v>428632.89</v>
      </c>
      <c r="G193" s="2">
        <f t="shared" ref="G193:G194" si="15">D193-E193</f>
        <v>428632.89</v>
      </c>
    </row>
    <row r="194" spans="1:12" x14ac:dyDescent="0.25">
      <c r="A194" s="18"/>
      <c r="B194" s="90" t="s">
        <v>245</v>
      </c>
      <c r="C194" s="87">
        <v>20000</v>
      </c>
      <c r="D194" s="87">
        <v>20000</v>
      </c>
      <c r="E194" s="96"/>
      <c r="F194" s="2">
        <f t="shared" si="14"/>
        <v>20000</v>
      </c>
      <c r="G194" s="2">
        <f t="shared" si="15"/>
        <v>20000</v>
      </c>
    </row>
    <row r="195" spans="1:12" x14ac:dyDescent="0.25">
      <c r="A195" s="18"/>
      <c r="B195" s="4"/>
      <c r="C195" s="2"/>
      <c r="D195" s="2"/>
      <c r="E195" s="96"/>
      <c r="F195" s="2"/>
      <c r="G195" s="2"/>
    </row>
    <row r="196" spans="1:12" x14ac:dyDescent="0.25">
      <c r="A196" s="18"/>
      <c r="B196" s="4"/>
      <c r="C196" s="2"/>
      <c r="D196" s="2"/>
      <c r="E196" s="96"/>
      <c r="F196" s="2"/>
      <c r="G196" s="2"/>
    </row>
    <row r="197" spans="1:12" x14ac:dyDescent="0.25">
      <c r="A197" s="18"/>
      <c r="B197" s="39" t="s">
        <v>27</v>
      </c>
      <c r="C197" s="8">
        <f>SUM(C172:C196)</f>
        <v>10280999.579999998</v>
      </c>
      <c r="D197" s="8">
        <f>SUM(D172:D196)</f>
        <v>10280999.579999998</v>
      </c>
      <c r="E197" s="97">
        <f>SUM(E172:E196)</f>
        <v>4282262</v>
      </c>
      <c r="F197" s="8">
        <f>SUM(F172:F196)</f>
        <v>5998737.5800000001</v>
      </c>
      <c r="G197" s="8">
        <f>SUM(G172:G196)</f>
        <v>5998737.5800000001</v>
      </c>
    </row>
    <row r="198" spans="1:12" ht="15.75" thickBot="1" x14ac:dyDescent="0.3">
      <c r="A198" s="40"/>
      <c r="B198" s="41" t="s">
        <v>64</v>
      </c>
      <c r="C198" s="20">
        <f>C197+C157+C115+C108+C101+C94+C87+C80+C73+C57+C50+C43+C36+C29+C22+C15</f>
        <v>48399801.709999993</v>
      </c>
      <c r="D198" s="20">
        <f>D197+D157+D115+D108+D101+D94+D87+D80+D73+D57+D50+D43+D36+D29+D22+D15</f>
        <v>48399801.709999993</v>
      </c>
      <c r="E198" s="104">
        <f>E197+E157+E115+E108+E101+E94+E87+E80+E73+E57+E50+E43+E36+E29+E22+E15</f>
        <v>34003457.829999991</v>
      </c>
      <c r="F198" s="20">
        <f>F197+F157+F115+F108+F101+F94+F87+F80+F73+F57+F50+F43+F36+F29+F22+F15</f>
        <v>14396343.879999999</v>
      </c>
      <c r="G198" s="20">
        <f>G197+G157+G115+G108+G101+G94+G87+G80+G73+G57+G50+G43+G36+G29+G22+G15</f>
        <v>14396343.879999999</v>
      </c>
    </row>
    <row r="199" spans="1:12" ht="15.75" thickTop="1" x14ac:dyDescent="0.25">
      <c r="C199" s="12"/>
      <c r="D199" s="12"/>
      <c r="E199" s="101"/>
      <c r="F199" s="12"/>
      <c r="G199" s="12"/>
    </row>
    <row r="200" spans="1:12" x14ac:dyDescent="0.25">
      <c r="B200" s="13" t="s">
        <v>65</v>
      </c>
      <c r="C200" s="12"/>
      <c r="D200" s="12"/>
      <c r="E200" s="101"/>
      <c r="F200" s="12"/>
      <c r="G200" s="12"/>
    </row>
    <row r="201" spans="1:12" x14ac:dyDescent="0.25">
      <c r="C201" s="12"/>
      <c r="D201" s="12"/>
      <c r="E201" s="101"/>
      <c r="F201" s="12"/>
      <c r="G201" s="12"/>
    </row>
    <row r="202" spans="1:12" x14ac:dyDescent="0.25">
      <c r="C202" s="12"/>
      <c r="D202" s="12"/>
      <c r="E202" s="101"/>
      <c r="F202" s="12"/>
      <c r="G202" s="12"/>
    </row>
    <row r="203" spans="1:12" x14ac:dyDescent="0.25">
      <c r="B203" s="42" t="s">
        <v>66</v>
      </c>
      <c r="C203" s="12"/>
      <c r="D203" s="12"/>
      <c r="E203" s="101"/>
      <c r="F203" s="12"/>
      <c r="G203" s="12"/>
    </row>
    <row r="204" spans="1:12" x14ac:dyDescent="0.25">
      <c r="B204" s="13" t="s">
        <v>67</v>
      </c>
      <c r="C204" s="12"/>
      <c r="D204" s="114"/>
      <c r="E204" s="114"/>
      <c r="F204" s="12"/>
      <c r="G204" s="12"/>
    </row>
    <row r="205" spans="1:12" x14ac:dyDescent="0.25">
      <c r="C205" s="12"/>
      <c r="D205" s="12"/>
      <c r="E205" s="101"/>
      <c r="F205" s="12"/>
      <c r="G205" s="12"/>
      <c r="H205" s="54">
        <v>0.8</v>
      </c>
      <c r="I205" s="12">
        <v>2159415</v>
      </c>
      <c r="L205" s="13">
        <f>20*20</f>
        <v>400</v>
      </c>
    </row>
    <row r="206" spans="1:12" x14ac:dyDescent="0.25">
      <c r="C206" s="12" t="s">
        <v>150</v>
      </c>
      <c r="D206" s="12">
        <f>5518028.2+D46</f>
        <v>6688560.2400000002</v>
      </c>
      <c r="E206" s="101">
        <v>1646631.99</v>
      </c>
      <c r="F206" s="12"/>
      <c r="G206" s="12"/>
      <c r="H206" s="54">
        <v>0.2</v>
      </c>
      <c r="I206" s="12">
        <v>539854</v>
      </c>
      <c r="L206" s="13">
        <f>15*20</f>
        <v>300</v>
      </c>
    </row>
    <row r="207" spans="1:12" x14ac:dyDescent="0.25">
      <c r="C207" s="12" t="s">
        <v>151</v>
      </c>
      <c r="D207" s="12">
        <f>D198-D206</f>
        <v>41711241.469999991</v>
      </c>
      <c r="E207" s="101">
        <v>130701.19</v>
      </c>
      <c r="F207" s="12"/>
      <c r="G207" s="12"/>
      <c r="I207" s="12"/>
    </row>
    <row r="208" spans="1:12" x14ac:dyDescent="0.25">
      <c r="C208" s="53">
        <v>0.2</v>
      </c>
      <c r="D208" s="12"/>
      <c r="E208" s="101">
        <v>133869.85</v>
      </c>
      <c r="F208" s="12"/>
      <c r="G208" s="12"/>
      <c r="I208" s="12"/>
      <c r="L208" s="13">
        <f>SUM(L205:L207)</f>
        <v>700</v>
      </c>
    </row>
    <row r="209" spans="3:9" x14ac:dyDescent="0.25">
      <c r="C209" s="53">
        <v>0.05</v>
      </c>
      <c r="D209" s="12">
        <v>404890.34</v>
      </c>
      <c r="E209" s="101">
        <v>14850</v>
      </c>
      <c r="F209" s="12"/>
      <c r="G209" s="12"/>
      <c r="I209" s="12">
        <f>SUM(I205:I208)</f>
        <v>2699269</v>
      </c>
    </row>
    <row r="210" spans="3:9" x14ac:dyDescent="0.25">
      <c r="C210" s="12" t="s">
        <v>112</v>
      </c>
      <c r="D210" s="12"/>
      <c r="E210" s="101">
        <v>7200</v>
      </c>
      <c r="F210" s="12"/>
      <c r="G210" s="12">
        <f>I209-E198</f>
        <v>-31304188.829999991</v>
      </c>
      <c r="I210" s="12"/>
    </row>
    <row r="211" spans="3:9" x14ac:dyDescent="0.25">
      <c r="C211" s="12"/>
      <c r="D211" s="12"/>
      <c r="E211" s="101"/>
      <c r="F211" s="12"/>
      <c r="G211" s="12"/>
      <c r="I211" s="12"/>
    </row>
    <row r="212" spans="3:9" x14ac:dyDescent="0.25">
      <c r="C212" s="12"/>
      <c r="D212" s="12"/>
      <c r="E212" s="101"/>
      <c r="F212" s="12"/>
      <c r="G212" s="12"/>
      <c r="I212" s="12"/>
    </row>
    <row r="213" spans="3:9" x14ac:dyDescent="0.25">
      <c r="C213" s="12" t="s">
        <v>135</v>
      </c>
      <c r="D213" s="12">
        <f>SUM(D206:D212)</f>
        <v>48804692.049999997</v>
      </c>
      <c r="E213" s="101">
        <f>SUM(E206:E212)</f>
        <v>1933253.03</v>
      </c>
      <c r="F213" s="12"/>
      <c r="G213" s="12"/>
      <c r="I213" s="12"/>
    </row>
    <row r="214" spans="3:9" x14ac:dyDescent="0.25">
      <c r="C214" s="12"/>
      <c r="D214" s="12"/>
      <c r="E214" s="101">
        <f>E198-E213</f>
        <v>32070204.79999999</v>
      </c>
      <c r="F214" s="12"/>
      <c r="G214" s="12"/>
      <c r="I214" s="12"/>
    </row>
    <row r="215" spans="3:9" x14ac:dyDescent="0.25">
      <c r="C215" s="12"/>
      <c r="D215" s="12">
        <f>32391227</f>
        <v>32391227</v>
      </c>
      <c r="E215" s="101">
        <f>E213-E198</f>
        <v>-32070204.79999999</v>
      </c>
      <c r="F215" s="12"/>
      <c r="G215" s="12"/>
      <c r="I215" s="12"/>
    </row>
    <row r="216" spans="3:9" x14ac:dyDescent="0.25">
      <c r="C216" s="12"/>
      <c r="D216" s="12">
        <f>D215*5%</f>
        <v>1619561.35</v>
      </c>
      <c r="E216" s="101"/>
      <c r="F216" s="12"/>
      <c r="G216" s="12"/>
    </row>
    <row r="217" spans="3:9" x14ac:dyDescent="0.25">
      <c r="C217" s="12"/>
      <c r="D217" s="12">
        <f>D216/4</f>
        <v>404890.33750000002</v>
      </c>
      <c r="E217" s="101">
        <f>E172+E173</f>
        <v>1413347.26</v>
      </c>
      <c r="F217" s="12"/>
      <c r="G217" s="12"/>
    </row>
    <row r="218" spans="3:9" x14ac:dyDescent="0.25">
      <c r="C218" s="12"/>
      <c r="D218" s="12"/>
      <c r="E218" s="101"/>
      <c r="F218" s="12"/>
      <c r="G218" s="12"/>
    </row>
    <row r="219" spans="3:9" x14ac:dyDescent="0.25">
      <c r="C219" s="12"/>
      <c r="D219" s="12"/>
      <c r="E219" s="101">
        <f>E206+E207</f>
        <v>1777333.18</v>
      </c>
      <c r="F219" s="12"/>
      <c r="G219" s="12"/>
    </row>
    <row r="220" spans="3:9" x14ac:dyDescent="0.25">
      <c r="C220" s="12"/>
      <c r="D220" s="12"/>
      <c r="E220" s="101"/>
      <c r="F220" s="12"/>
      <c r="G220" s="12"/>
    </row>
    <row r="221" spans="3:9" x14ac:dyDescent="0.25">
      <c r="C221" s="12"/>
      <c r="D221" s="12"/>
      <c r="E221" s="101"/>
      <c r="F221" s="12"/>
      <c r="G221" s="12"/>
    </row>
    <row r="222" spans="3:9" x14ac:dyDescent="0.25">
      <c r="C222" s="12"/>
      <c r="D222" s="12"/>
      <c r="E222" s="101"/>
      <c r="F222" s="12"/>
      <c r="G222" s="12"/>
    </row>
    <row r="223" spans="3:9" x14ac:dyDescent="0.25">
      <c r="C223" s="12"/>
      <c r="D223" s="12"/>
      <c r="E223" s="101"/>
      <c r="F223" s="12"/>
      <c r="G223" s="12"/>
    </row>
    <row r="224" spans="3:9" x14ac:dyDescent="0.25">
      <c r="C224" s="12"/>
      <c r="D224" s="12"/>
      <c r="E224" s="101"/>
      <c r="F224" s="12"/>
      <c r="G224" s="12"/>
    </row>
    <row r="225" spans="3:7" x14ac:dyDescent="0.25">
      <c r="C225" s="12"/>
      <c r="D225" s="12"/>
      <c r="E225" s="101"/>
      <c r="F225" s="12"/>
      <c r="G225" s="12"/>
    </row>
    <row r="226" spans="3:7" x14ac:dyDescent="0.25">
      <c r="C226" s="12"/>
      <c r="D226" s="12"/>
      <c r="E226" s="101"/>
      <c r="F226" s="12"/>
      <c r="G226" s="12"/>
    </row>
    <row r="227" spans="3:7" x14ac:dyDescent="0.25">
      <c r="C227" s="12"/>
      <c r="D227" s="12"/>
      <c r="E227" s="101"/>
      <c r="F227" s="12"/>
      <c r="G227" s="12"/>
    </row>
    <row r="228" spans="3:7" x14ac:dyDescent="0.25">
      <c r="C228" s="12"/>
      <c r="D228" s="12"/>
      <c r="E228" s="101"/>
      <c r="F228" s="12"/>
      <c r="G228" s="12"/>
    </row>
    <row r="229" spans="3:7" x14ac:dyDescent="0.25">
      <c r="C229" s="12"/>
      <c r="D229" s="12"/>
      <c r="E229" s="101"/>
      <c r="F229" s="12"/>
      <c r="G229" s="12"/>
    </row>
    <row r="230" spans="3:7" x14ac:dyDescent="0.25">
      <c r="C230" s="12"/>
      <c r="D230" s="12"/>
      <c r="E230" s="101"/>
      <c r="F230" s="12"/>
      <c r="G230" s="12"/>
    </row>
    <row r="231" spans="3:7" x14ac:dyDescent="0.25">
      <c r="C231" s="12"/>
      <c r="D231" s="12"/>
      <c r="E231" s="101"/>
      <c r="F231" s="12"/>
      <c r="G231" s="12"/>
    </row>
    <row r="232" spans="3:7" x14ac:dyDescent="0.25">
      <c r="C232" s="12"/>
      <c r="D232" s="12"/>
      <c r="E232" s="101"/>
      <c r="F232" s="12"/>
      <c r="G232" s="12"/>
    </row>
    <row r="233" spans="3:7" x14ac:dyDescent="0.25">
      <c r="C233" s="12"/>
      <c r="D233" s="12"/>
      <c r="E233" s="101"/>
      <c r="F233" s="12"/>
      <c r="G233" s="12"/>
    </row>
    <row r="234" spans="3:7" x14ac:dyDescent="0.25">
      <c r="C234" s="12"/>
      <c r="D234" s="12"/>
      <c r="E234" s="101"/>
      <c r="F234" s="12"/>
      <c r="G234" s="12"/>
    </row>
    <row r="235" spans="3:7" x14ac:dyDescent="0.25">
      <c r="C235" s="12"/>
      <c r="D235" s="12"/>
      <c r="E235" s="101"/>
      <c r="F235" s="12"/>
      <c r="G235" s="12"/>
    </row>
    <row r="236" spans="3:7" x14ac:dyDescent="0.25">
      <c r="C236" s="12"/>
      <c r="D236" s="12"/>
      <c r="E236" s="101"/>
      <c r="F236" s="12"/>
      <c r="G236" s="12"/>
    </row>
    <row r="237" spans="3:7" x14ac:dyDescent="0.25">
      <c r="C237" s="12"/>
      <c r="D237" s="12"/>
      <c r="E237" s="101"/>
      <c r="F237" s="12"/>
      <c r="G237" s="12"/>
    </row>
    <row r="238" spans="3:7" x14ac:dyDescent="0.25">
      <c r="C238" s="12"/>
      <c r="D238" s="12"/>
      <c r="E238" s="101"/>
      <c r="F238" s="12"/>
      <c r="G238" s="12"/>
    </row>
    <row r="239" spans="3:7" x14ac:dyDescent="0.25">
      <c r="C239" s="12"/>
      <c r="D239" s="12"/>
      <c r="E239" s="101"/>
      <c r="F239" s="12"/>
      <c r="G239" s="12"/>
    </row>
    <row r="240" spans="3:7" x14ac:dyDescent="0.25">
      <c r="C240" s="12"/>
      <c r="D240" s="12"/>
      <c r="E240" s="101"/>
      <c r="F240" s="12"/>
      <c r="G240" s="12"/>
    </row>
    <row r="241" spans="3:7" x14ac:dyDescent="0.25">
      <c r="C241" s="12"/>
      <c r="D241" s="12"/>
      <c r="E241" s="101"/>
      <c r="F241" s="12"/>
      <c r="G241" s="12"/>
    </row>
    <row r="242" spans="3:7" x14ac:dyDescent="0.25">
      <c r="C242" s="12"/>
      <c r="D242" s="12"/>
      <c r="E242" s="101"/>
      <c r="F242" s="12"/>
      <c r="G242" s="12"/>
    </row>
    <row r="243" spans="3:7" x14ac:dyDescent="0.25">
      <c r="C243" s="12"/>
      <c r="D243" s="12"/>
      <c r="E243" s="101"/>
      <c r="F243" s="12"/>
      <c r="G243" s="12"/>
    </row>
    <row r="244" spans="3:7" x14ac:dyDescent="0.25">
      <c r="C244" s="12"/>
      <c r="D244" s="12"/>
      <c r="E244" s="101"/>
      <c r="F244" s="12"/>
      <c r="G244" s="12"/>
    </row>
    <row r="245" spans="3:7" x14ac:dyDescent="0.25">
      <c r="C245" s="12"/>
      <c r="D245" s="12"/>
      <c r="E245" s="101"/>
      <c r="F245" s="12"/>
      <c r="G245" s="12"/>
    </row>
    <row r="246" spans="3:7" x14ac:dyDescent="0.25">
      <c r="C246" s="12"/>
      <c r="D246" s="12"/>
      <c r="E246" s="101"/>
      <c r="F246" s="12"/>
      <c r="G246" s="12"/>
    </row>
    <row r="247" spans="3:7" x14ac:dyDescent="0.25">
      <c r="C247" s="12"/>
      <c r="D247" s="12"/>
      <c r="E247" s="101"/>
      <c r="F247" s="12"/>
      <c r="G247" s="12"/>
    </row>
    <row r="248" spans="3:7" x14ac:dyDescent="0.25">
      <c r="C248" s="12"/>
      <c r="D248" s="12"/>
      <c r="E248" s="101"/>
      <c r="F248" s="12"/>
      <c r="G248" s="12"/>
    </row>
    <row r="249" spans="3:7" x14ac:dyDescent="0.25">
      <c r="C249" s="12"/>
      <c r="D249" s="12"/>
      <c r="E249" s="101"/>
      <c r="F249" s="12"/>
      <c r="G249" s="12"/>
    </row>
    <row r="250" spans="3:7" x14ac:dyDescent="0.25">
      <c r="C250" s="12"/>
      <c r="D250" s="12"/>
      <c r="E250" s="101"/>
      <c r="F250" s="12"/>
      <c r="G250" s="12"/>
    </row>
    <row r="251" spans="3:7" x14ac:dyDescent="0.25">
      <c r="C251" s="12"/>
      <c r="D251" s="12"/>
      <c r="E251" s="101"/>
      <c r="F251" s="12"/>
      <c r="G251" s="12"/>
    </row>
    <row r="252" spans="3:7" x14ac:dyDescent="0.25">
      <c r="C252" s="12"/>
      <c r="D252" s="12"/>
      <c r="E252" s="101"/>
      <c r="F252" s="12"/>
      <c r="G252" s="12"/>
    </row>
    <row r="253" spans="3:7" x14ac:dyDescent="0.25">
      <c r="C253" s="12"/>
      <c r="D253" s="12"/>
      <c r="E253" s="101"/>
      <c r="F253" s="12"/>
      <c r="G253" s="12"/>
    </row>
    <row r="254" spans="3:7" x14ac:dyDescent="0.25">
      <c r="C254" s="12"/>
      <c r="D254" s="12"/>
      <c r="E254" s="101"/>
      <c r="F254" s="12"/>
      <c r="G254" s="12"/>
    </row>
    <row r="255" spans="3:7" x14ac:dyDescent="0.25">
      <c r="C255" s="12"/>
      <c r="D255" s="12"/>
      <c r="E255" s="101"/>
      <c r="F255" s="12"/>
      <c r="G255" s="12"/>
    </row>
    <row r="256" spans="3:7" x14ac:dyDescent="0.25">
      <c r="C256" s="12"/>
      <c r="D256" s="12"/>
      <c r="E256" s="101"/>
      <c r="F256" s="12"/>
      <c r="G256" s="12"/>
    </row>
    <row r="257" spans="3:7" x14ac:dyDescent="0.25">
      <c r="C257" s="12"/>
      <c r="D257" s="12"/>
      <c r="E257" s="101"/>
      <c r="F257" s="12"/>
      <c r="G257" s="12"/>
    </row>
    <row r="258" spans="3:7" x14ac:dyDescent="0.25">
      <c r="C258" s="12"/>
      <c r="D258" s="12"/>
      <c r="E258" s="101"/>
      <c r="F258" s="12"/>
      <c r="G258" s="12"/>
    </row>
    <row r="259" spans="3:7" x14ac:dyDescent="0.25">
      <c r="C259" s="12"/>
      <c r="D259" s="12"/>
      <c r="E259" s="101"/>
      <c r="F259" s="12"/>
      <c r="G259" s="12"/>
    </row>
    <row r="260" spans="3:7" x14ac:dyDescent="0.25">
      <c r="C260" s="12"/>
      <c r="D260" s="12"/>
      <c r="E260" s="101"/>
      <c r="F260" s="12"/>
      <c r="G260" s="12"/>
    </row>
    <row r="261" spans="3:7" x14ac:dyDescent="0.25">
      <c r="C261" s="12"/>
      <c r="D261" s="12"/>
      <c r="E261" s="101"/>
      <c r="F261" s="12"/>
      <c r="G261" s="12"/>
    </row>
    <row r="262" spans="3:7" x14ac:dyDescent="0.25">
      <c r="C262" s="12"/>
      <c r="D262" s="12"/>
      <c r="E262" s="101"/>
      <c r="F262" s="12"/>
      <c r="G262" s="12"/>
    </row>
    <row r="263" spans="3:7" x14ac:dyDescent="0.25">
      <c r="C263" s="12"/>
      <c r="D263" s="12"/>
      <c r="E263" s="101"/>
      <c r="F263" s="12"/>
      <c r="G263" s="12"/>
    </row>
    <row r="264" spans="3:7" x14ac:dyDescent="0.25">
      <c r="C264" s="12"/>
      <c r="D264" s="12"/>
      <c r="E264" s="101"/>
      <c r="F264" s="12"/>
      <c r="G264" s="12"/>
    </row>
    <row r="265" spans="3:7" x14ac:dyDescent="0.25">
      <c r="C265" s="12"/>
      <c r="D265" s="12"/>
      <c r="E265" s="101"/>
      <c r="F265" s="12"/>
      <c r="G265" s="12"/>
    </row>
    <row r="266" spans="3:7" x14ac:dyDescent="0.25">
      <c r="C266" s="12"/>
      <c r="D266" s="12"/>
      <c r="E266" s="101"/>
      <c r="F266" s="12"/>
      <c r="G266" s="12"/>
    </row>
    <row r="267" spans="3:7" x14ac:dyDescent="0.25">
      <c r="C267" s="12"/>
      <c r="D267" s="12"/>
      <c r="E267" s="101"/>
      <c r="F267" s="12"/>
      <c r="G267" s="12"/>
    </row>
    <row r="268" spans="3:7" x14ac:dyDescent="0.25">
      <c r="C268" s="12"/>
      <c r="D268" s="12"/>
      <c r="E268" s="101"/>
      <c r="F268" s="12"/>
      <c r="G268" s="12"/>
    </row>
    <row r="269" spans="3:7" x14ac:dyDescent="0.25">
      <c r="C269" s="12"/>
      <c r="D269" s="12"/>
      <c r="E269" s="101"/>
      <c r="F269" s="12"/>
      <c r="G269" s="12"/>
    </row>
    <row r="270" spans="3:7" x14ac:dyDescent="0.25">
      <c r="C270" s="12"/>
      <c r="D270" s="12"/>
      <c r="E270" s="101"/>
      <c r="F270" s="12"/>
      <c r="G270" s="12"/>
    </row>
    <row r="271" spans="3:7" x14ac:dyDescent="0.25">
      <c r="C271" s="12"/>
      <c r="D271" s="12"/>
      <c r="E271" s="101"/>
      <c r="F271" s="12"/>
      <c r="G271" s="12"/>
    </row>
    <row r="272" spans="3:7" x14ac:dyDescent="0.25">
      <c r="C272" s="12"/>
      <c r="D272" s="12"/>
      <c r="E272" s="101"/>
      <c r="F272" s="12"/>
      <c r="G272" s="12"/>
    </row>
    <row r="273" spans="3:7" x14ac:dyDescent="0.25">
      <c r="C273" s="12"/>
      <c r="D273" s="12"/>
      <c r="E273" s="101"/>
      <c r="F273" s="12"/>
      <c r="G273" s="12"/>
    </row>
    <row r="274" spans="3:7" x14ac:dyDescent="0.25">
      <c r="C274" s="12"/>
      <c r="D274" s="12"/>
      <c r="E274" s="101"/>
      <c r="F274" s="12"/>
      <c r="G274" s="12"/>
    </row>
    <row r="275" spans="3:7" x14ac:dyDescent="0.25">
      <c r="C275" s="12"/>
      <c r="D275" s="12"/>
      <c r="E275" s="101"/>
      <c r="F275" s="12"/>
      <c r="G275" s="12"/>
    </row>
    <row r="276" spans="3:7" x14ac:dyDescent="0.25">
      <c r="C276" s="12"/>
      <c r="D276" s="12"/>
      <c r="E276" s="101"/>
      <c r="F276" s="12"/>
      <c r="G276" s="12"/>
    </row>
    <row r="277" spans="3:7" x14ac:dyDescent="0.25">
      <c r="C277" s="12"/>
      <c r="D277" s="12"/>
      <c r="E277" s="101"/>
      <c r="F277" s="12"/>
      <c r="G277" s="12"/>
    </row>
    <row r="278" spans="3:7" x14ac:dyDescent="0.25">
      <c r="C278" s="12"/>
      <c r="D278" s="12"/>
      <c r="E278" s="101"/>
      <c r="F278" s="12"/>
      <c r="G278" s="12"/>
    </row>
    <row r="279" spans="3:7" x14ac:dyDescent="0.25">
      <c r="C279" s="12"/>
      <c r="D279" s="12"/>
      <c r="E279" s="101"/>
      <c r="F279" s="12"/>
      <c r="G279" s="12"/>
    </row>
    <row r="280" spans="3:7" x14ac:dyDescent="0.25">
      <c r="C280" s="12"/>
      <c r="D280" s="12"/>
      <c r="E280" s="101"/>
      <c r="F280" s="12"/>
      <c r="G280" s="12"/>
    </row>
    <row r="281" spans="3:7" x14ac:dyDescent="0.25">
      <c r="C281" s="12"/>
      <c r="D281" s="12"/>
      <c r="E281" s="101"/>
      <c r="F281" s="12"/>
      <c r="G281" s="12"/>
    </row>
    <row r="282" spans="3:7" x14ac:dyDescent="0.25">
      <c r="C282" s="12"/>
      <c r="D282" s="12"/>
      <c r="E282" s="101"/>
      <c r="F282" s="12"/>
      <c r="G282" s="12"/>
    </row>
    <row r="283" spans="3:7" x14ac:dyDescent="0.25">
      <c r="C283" s="12"/>
      <c r="D283" s="12"/>
      <c r="E283" s="101"/>
      <c r="F283" s="12"/>
      <c r="G283" s="12"/>
    </row>
    <row r="284" spans="3:7" x14ac:dyDescent="0.25">
      <c r="C284" s="12"/>
      <c r="D284" s="12"/>
      <c r="E284" s="101"/>
      <c r="F284" s="12"/>
      <c r="G284" s="12"/>
    </row>
    <row r="285" spans="3:7" x14ac:dyDescent="0.25">
      <c r="C285" s="12"/>
      <c r="D285" s="12"/>
      <c r="E285" s="101"/>
      <c r="F285" s="12"/>
      <c r="G285" s="12"/>
    </row>
    <row r="286" spans="3:7" x14ac:dyDescent="0.25">
      <c r="C286" s="12"/>
      <c r="D286" s="12"/>
      <c r="E286" s="101"/>
      <c r="F286" s="12"/>
      <c r="G286" s="12"/>
    </row>
    <row r="287" spans="3:7" x14ac:dyDescent="0.25">
      <c r="C287" s="12"/>
      <c r="D287" s="12"/>
      <c r="E287" s="101"/>
      <c r="F287" s="12"/>
      <c r="G287" s="12"/>
    </row>
    <row r="288" spans="3:7" x14ac:dyDescent="0.25">
      <c r="C288" s="12"/>
      <c r="D288" s="12"/>
      <c r="E288" s="101"/>
      <c r="F288" s="12"/>
      <c r="G288" s="12"/>
    </row>
    <row r="289" spans="3:7" x14ac:dyDescent="0.25">
      <c r="C289" s="12"/>
      <c r="D289" s="12"/>
      <c r="E289" s="101"/>
      <c r="F289" s="12"/>
      <c r="G289" s="12"/>
    </row>
    <row r="290" spans="3:7" x14ac:dyDescent="0.25">
      <c r="C290" s="12"/>
      <c r="D290" s="12"/>
      <c r="E290" s="101"/>
      <c r="F290" s="12"/>
      <c r="G290" s="12"/>
    </row>
    <row r="291" spans="3:7" x14ac:dyDescent="0.25">
      <c r="C291" s="12"/>
      <c r="D291" s="12"/>
      <c r="E291" s="101"/>
      <c r="F291" s="12"/>
      <c r="G291" s="12"/>
    </row>
    <row r="292" spans="3:7" x14ac:dyDescent="0.25">
      <c r="C292" s="12"/>
      <c r="D292" s="12"/>
      <c r="E292" s="101"/>
      <c r="F292" s="12"/>
      <c r="G292" s="12"/>
    </row>
    <row r="293" spans="3:7" x14ac:dyDescent="0.25">
      <c r="C293" s="12"/>
      <c r="D293" s="12"/>
      <c r="E293" s="101"/>
      <c r="F293" s="12"/>
      <c r="G293" s="12"/>
    </row>
    <row r="294" spans="3:7" x14ac:dyDescent="0.25">
      <c r="C294" s="12"/>
      <c r="D294" s="12"/>
      <c r="E294" s="101"/>
      <c r="F294" s="12"/>
      <c r="G294" s="12"/>
    </row>
    <row r="295" spans="3:7" x14ac:dyDescent="0.25">
      <c r="C295" s="12"/>
      <c r="D295" s="12"/>
      <c r="E295" s="101"/>
      <c r="F295" s="12"/>
      <c r="G295" s="12"/>
    </row>
    <row r="296" spans="3:7" x14ac:dyDescent="0.25">
      <c r="C296" s="12"/>
      <c r="D296" s="12"/>
      <c r="E296" s="101"/>
      <c r="F296" s="12"/>
      <c r="G296" s="12"/>
    </row>
    <row r="297" spans="3:7" x14ac:dyDescent="0.25">
      <c r="C297" s="12"/>
      <c r="D297" s="12"/>
      <c r="E297" s="101"/>
      <c r="F297" s="12"/>
      <c r="G297" s="12"/>
    </row>
    <row r="298" spans="3:7" x14ac:dyDescent="0.25">
      <c r="C298" s="12"/>
      <c r="D298" s="12"/>
      <c r="E298" s="101"/>
      <c r="F298" s="12"/>
      <c r="G298" s="12"/>
    </row>
    <row r="299" spans="3:7" x14ac:dyDescent="0.25">
      <c r="C299" s="12"/>
      <c r="D299" s="12"/>
      <c r="E299" s="101"/>
      <c r="F299" s="12"/>
      <c r="G299" s="12"/>
    </row>
    <row r="300" spans="3:7" x14ac:dyDescent="0.25">
      <c r="C300" s="12"/>
      <c r="D300" s="12"/>
      <c r="E300" s="101"/>
      <c r="F300" s="12"/>
      <c r="G300" s="12"/>
    </row>
    <row r="301" spans="3:7" x14ac:dyDescent="0.25">
      <c r="C301" s="12"/>
      <c r="D301" s="12"/>
      <c r="E301" s="101"/>
      <c r="F301" s="12"/>
      <c r="G301" s="12"/>
    </row>
    <row r="302" spans="3:7" x14ac:dyDescent="0.25">
      <c r="C302" s="12"/>
      <c r="D302" s="12"/>
      <c r="E302" s="101"/>
      <c r="F302" s="12"/>
      <c r="G302" s="12"/>
    </row>
    <row r="303" spans="3:7" x14ac:dyDescent="0.25">
      <c r="C303" s="12"/>
      <c r="D303" s="12"/>
      <c r="E303" s="101"/>
      <c r="F303" s="12"/>
      <c r="G303" s="12"/>
    </row>
    <row r="304" spans="3:7" x14ac:dyDescent="0.25">
      <c r="C304" s="12"/>
      <c r="D304" s="12"/>
      <c r="E304" s="101"/>
      <c r="F304" s="12"/>
      <c r="G304" s="12"/>
    </row>
    <row r="305" spans="3:7" x14ac:dyDescent="0.25">
      <c r="C305" s="12"/>
      <c r="D305" s="12"/>
      <c r="E305" s="101"/>
      <c r="F305" s="12"/>
      <c r="G305" s="12"/>
    </row>
    <row r="306" spans="3:7" x14ac:dyDescent="0.25">
      <c r="C306" s="12"/>
      <c r="D306" s="12"/>
      <c r="E306" s="101"/>
      <c r="F306" s="12"/>
      <c r="G306" s="12"/>
    </row>
    <row r="307" spans="3:7" x14ac:dyDescent="0.25">
      <c r="C307" s="12"/>
      <c r="D307" s="12"/>
      <c r="E307" s="101"/>
      <c r="F307" s="12"/>
      <c r="G307" s="12"/>
    </row>
    <row r="308" spans="3:7" x14ac:dyDescent="0.25">
      <c r="C308" s="12"/>
      <c r="D308" s="12"/>
      <c r="E308" s="101"/>
      <c r="F308" s="12"/>
      <c r="G308" s="12"/>
    </row>
    <row r="309" spans="3:7" x14ac:dyDescent="0.25">
      <c r="C309" s="12"/>
      <c r="D309" s="12"/>
      <c r="E309" s="101"/>
      <c r="F309" s="12"/>
      <c r="G309" s="12"/>
    </row>
    <row r="310" spans="3:7" x14ac:dyDescent="0.25">
      <c r="C310" s="12"/>
      <c r="D310" s="12"/>
      <c r="E310" s="101"/>
      <c r="F310" s="12"/>
      <c r="G310" s="12"/>
    </row>
    <row r="311" spans="3:7" x14ac:dyDescent="0.25">
      <c r="C311" s="12"/>
      <c r="D311" s="12"/>
      <c r="E311" s="101"/>
      <c r="F311" s="12"/>
      <c r="G311" s="12"/>
    </row>
    <row r="312" spans="3:7" x14ac:dyDescent="0.25">
      <c r="C312" s="12"/>
      <c r="D312" s="12"/>
      <c r="E312" s="101"/>
      <c r="F312" s="12"/>
      <c r="G312" s="12"/>
    </row>
    <row r="313" spans="3:7" x14ac:dyDescent="0.25">
      <c r="C313" s="12"/>
      <c r="D313" s="12"/>
      <c r="E313" s="101"/>
      <c r="F313" s="12"/>
      <c r="G313" s="12"/>
    </row>
    <row r="314" spans="3:7" x14ac:dyDescent="0.25">
      <c r="C314" s="12"/>
      <c r="D314" s="12"/>
      <c r="E314" s="101"/>
      <c r="F314" s="12"/>
      <c r="G314" s="12"/>
    </row>
    <row r="315" spans="3:7" x14ac:dyDescent="0.25">
      <c r="C315" s="12"/>
      <c r="D315" s="12"/>
      <c r="E315" s="101"/>
      <c r="F315" s="12"/>
      <c r="G315" s="12"/>
    </row>
    <row r="316" spans="3:7" x14ac:dyDescent="0.25">
      <c r="C316" s="12"/>
      <c r="D316" s="12"/>
      <c r="E316" s="101"/>
      <c r="F316" s="12"/>
      <c r="G316" s="12"/>
    </row>
    <row r="317" spans="3:7" x14ac:dyDescent="0.25">
      <c r="C317" s="12"/>
      <c r="D317" s="12"/>
      <c r="E317" s="101"/>
      <c r="F317" s="12"/>
      <c r="G317" s="12"/>
    </row>
    <row r="318" spans="3:7" x14ac:dyDescent="0.25">
      <c r="C318" s="12"/>
      <c r="D318" s="12"/>
      <c r="E318" s="101"/>
      <c r="F318" s="12"/>
      <c r="G318" s="12"/>
    </row>
    <row r="319" spans="3:7" x14ac:dyDescent="0.25">
      <c r="C319" s="12"/>
      <c r="D319" s="12"/>
      <c r="E319" s="101"/>
      <c r="F319" s="12"/>
      <c r="G319" s="12"/>
    </row>
    <row r="320" spans="3:7" x14ac:dyDescent="0.25">
      <c r="C320" s="12"/>
      <c r="D320" s="12"/>
      <c r="E320" s="101"/>
      <c r="F320" s="12"/>
      <c r="G320" s="12"/>
    </row>
    <row r="321" spans="3:7" x14ac:dyDescent="0.25">
      <c r="C321" s="12"/>
      <c r="D321" s="12"/>
      <c r="E321" s="101"/>
      <c r="F321" s="12"/>
      <c r="G321" s="12"/>
    </row>
    <row r="322" spans="3:7" x14ac:dyDescent="0.25">
      <c r="C322" s="12"/>
      <c r="D322" s="12"/>
      <c r="E322" s="101"/>
      <c r="F322" s="12"/>
      <c r="G322" s="12"/>
    </row>
    <row r="323" spans="3:7" x14ac:dyDescent="0.25">
      <c r="C323" s="12"/>
      <c r="D323" s="12"/>
      <c r="E323" s="101"/>
      <c r="F323" s="12"/>
      <c r="G323" s="12"/>
    </row>
    <row r="324" spans="3:7" x14ac:dyDescent="0.25">
      <c r="C324" s="12"/>
      <c r="D324" s="12"/>
      <c r="E324" s="101"/>
      <c r="F324" s="12"/>
      <c r="G324" s="12"/>
    </row>
    <row r="325" spans="3:7" x14ac:dyDescent="0.25">
      <c r="C325" s="12"/>
      <c r="D325" s="12"/>
      <c r="E325" s="101"/>
      <c r="F325" s="12"/>
      <c r="G325" s="12"/>
    </row>
    <row r="326" spans="3:7" x14ac:dyDescent="0.25">
      <c r="C326" s="12"/>
      <c r="D326" s="12"/>
      <c r="E326" s="101"/>
      <c r="F326" s="12"/>
      <c r="G326" s="12"/>
    </row>
    <row r="327" spans="3:7" x14ac:dyDescent="0.25">
      <c r="C327" s="12"/>
      <c r="D327" s="12"/>
      <c r="E327" s="101"/>
      <c r="F327" s="12"/>
      <c r="G327" s="12"/>
    </row>
    <row r="328" spans="3:7" x14ac:dyDescent="0.25">
      <c r="C328" s="12"/>
      <c r="D328" s="12"/>
      <c r="E328" s="101"/>
      <c r="F328" s="12"/>
      <c r="G328" s="12"/>
    </row>
    <row r="329" spans="3:7" x14ac:dyDescent="0.25">
      <c r="C329" s="12"/>
      <c r="D329" s="12"/>
      <c r="E329" s="101"/>
      <c r="F329" s="12"/>
      <c r="G329" s="12"/>
    </row>
    <row r="330" spans="3:7" x14ac:dyDescent="0.25">
      <c r="C330" s="12"/>
      <c r="D330" s="12"/>
      <c r="E330" s="101"/>
      <c r="F330" s="12"/>
      <c r="G330" s="12"/>
    </row>
    <row r="331" spans="3:7" x14ac:dyDescent="0.25">
      <c r="C331" s="12"/>
      <c r="D331" s="12"/>
      <c r="E331" s="101"/>
      <c r="F331" s="12"/>
      <c r="G331" s="12"/>
    </row>
    <row r="332" spans="3:7" x14ac:dyDescent="0.25">
      <c r="C332" s="12"/>
      <c r="D332" s="12"/>
      <c r="E332" s="101"/>
      <c r="F332" s="12"/>
      <c r="G332" s="12"/>
    </row>
    <row r="333" spans="3:7" x14ac:dyDescent="0.25">
      <c r="C333" s="12"/>
      <c r="D333" s="12"/>
      <c r="E333" s="101"/>
      <c r="F333" s="12"/>
      <c r="G333" s="12"/>
    </row>
    <row r="334" spans="3:7" x14ac:dyDescent="0.25">
      <c r="C334" s="12"/>
      <c r="D334" s="12"/>
      <c r="E334" s="101"/>
      <c r="F334" s="12"/>
      <c r="G334" s="12"/>
    </row>
    <row r="335" spans="3:7" x14ac:dyDescent="0.25">
      <c r="C335" s="12"/>
      <c r="D335" s="12"/>
      <c r="E335" s="101"/>
      <c r="F335" s="12"/>
      <c r="G335" s="12"/>
    </row>
    <row r="336" spans="3:7" x14ac:dyDescent="0.25">
      <c r="C336" s="12"/>
      <c r="D336" s="12"/>
      <c r="E336" s="101"/>
      <c r="F336" s="12"/>
      <c r="G336" s="12"/>
    </row>
    <row r="337" spans="3:7" x14ac:dyDescent="0.25">
      <c r="C337" s="12"/>
      <c r="D337" s="12"/>
      <c r="E337" s="101"/>
      <c r="F337" s="12"/>
      <c r="G337" s="12"/>
    </row>
    <row r="338" spans="3:7" x14ac:dyDescent="0.25">
      <c r="C338" s="12"/>
      <c r="D338" s="12"/>
      <c r="E338" s="101"/>
      <c r="F338" s="12"/>
      <c r="G338" s="12"/>
    </row>
    <row r="339" spans="3:7" x14ac:dyDescent="0.25">
      <c r="C339" s="12"/>
      <c r="D339" s="12"/>
      <c r="E339" s="101"/>
      <c r="F339" s="12"/>
      <c r="G339" s="12"/>
    </row>
    <row r="340" spans="3:7" x14ac:dyDescent="0.25">
      <c r="C340" s="12"/>
      <c r="D340" s="12"/>
      <c r="E340" s="101"/>
      <c r="F340" s="12"/>
      <c r="G340" s="12"/>
    </row>
    <row r="341" spans="3:7" x14ac:dyDescent="0.25">
      <c r="C341" s="12"/>
      <c r="D341" s="12"/>
      <c r="E341" s="101"/>
      <c r="F341" s="12"/>
      <c r="G341" s="12"/>
    </row>
    <row r="342" spans="3:7" x14ac:dyDescent="0.25">
      <c r="C342" s="12"/>
      <c r="D342" s="12"/>
      <c r="E342" s="101"/>
      <c r="F342" s="12"/>
      <c r="G342" s="12"/>
    </row>
    <row r="343" spans="3:7" x14ac:dyDescent="0.25">
      <c r="C343" s="12"/>
      <c r="D343" s="12"/>
      <c r="E343" s="101"/>
      <c r="F343" s="12"/>
      <c r="G343" s="12"/>
    </row>
    <row r="344" spans="3:7" x14ac:dyDescent="0.25">
      <c r="C344" s="12"/>
      <c r="D344" s="12"/>
      <c r="E344" s="101"/>
      <c r="F344" s="12"/>
      <c r="G344" s="12"/>
    </row>
    <row r="345" spans="3:7" x14ac:dyDescent="0.25">
      <c r="C345" s="12"/>
      <c r="D345" s="12"/>
      <c r="E345" s="101"/>
      <c r="F345" s="12"/>
      <c r="G345" s="12"/>
    </row>
    <row r="346" spans="3:7" x14ac:dyDescent="0.25">
      <c r="C346" s="12"/>
      <c r="D346" s="12"/>
      <c r="E346" s="101"/>
      <c r="F346" s="12"/>
      <c r="G346" s="12"/>
    </row>
    <row r="347" spans="3:7" x14ac:dyDescent="0.25">
      <c r="C347" s="12"/>
      <c r="D347" s="12"/>
      <c r="E347" s="101"/>
      <c r="F347" s="12"/>
      <c r="G347" s="12"/>
    </row>
    <row r="348" spans="3:7" x14ac:dyDescent="0.25">
      <c r="C348" s="12"/>
      <c r="D348" s="12"/>
      <c r="E348" s="101"/>
      <c r="F348" s="12"/>
      <c r="G348" s="12"/>
    </row>
    <row r="349" spans="3:7" x14ac:dyDescent="0.25">
      <c r="C349" s="12"/>
      <c r="D349" s="12"/>
      <c r="E349" s="101"/>
      <c r="F349" s="12"/>
      <c r="G349" s="12"/>
    </row>
    <row r="350" spans="3:7" x14ac:dyDescent="0.25">
      <c r="C350" s="12"/>
      <c r="D350" s="12"/>
      <c r="E350" s="101"/>
      <c r="F350" s="12"/>
      <c r="G350" s="12"/>
    </row>
    <row r="351" spans="3:7" x14ac:dyDescent="0.25">
      <c r="C351" s="12"/>
      <c r="D351" s="12"/>
      <c r="E351" s="101"/>
      <c r="F351" s="12"/>
      <c r="G351" s="12"/>
    </row>
    <row r="352" spans="3:7" x14ac:dyDescent="0.25">
      <c r="C352" s="12"/>
      <c r="D352" s="12"/>
      <c r="E352" s="101"/>
      <c r="F352" s="12"/>
      <c r="G352" s="12"/>
    </row>
    <row r="353" spans="3:7" x14ac:dyDescent="0.25">
      <c r="C353" s="12"/>
      <c r="D353" s="12"/>
      <c r="E353" s="101"/>
      <c r="F353" s="12"/>
      <c r="G353" s="12"/>
    </row>
    <row r="354" spans="3:7" x14ac:dyDescent="0.25">
      <c r="C354" s="12"/>
      <c r="D354" s="12"/>
      <c r="E354" s="101"/>
      <c r="F354" s="12"/>
      <c r="G354" s="12"/>
    </row>
    <row r="355" spans="3:7" x14ac:dyDescent="0.25">
      <c r="C355" s="12"/>
      <c r="D355" s="12"/>
      <c r="E355" s="101"/>
      <c r="F355" s="12"/>
      <c r="G355" s="12"/>
    </row>
    <row r="356" spans="3:7" x14ac:dyDescent="0.25">
      <c r="C356" s="12"/>
      <c r="D356" s="12"/>
      <c r="E356" s="101"/>
      <c r="F356" s="12"/>
      <c r="G356" s="12"/>
    </row>
    <row r="357" spans="3:7" x14ac:dyDescent="0.25">
      <c r="C357" s="12"/>
      <c r="D357" s="12"/>
      <c r="E357" s="101"/>
      <c r="F357" s="12"/>
      <c r="G357" s="12"/>
    </row>
    <row r="358" spans="3:7" x14ac:dyDescent="0.25">
      <c r="C358" s="12"/>
      <c r="D358" s="12"/>
      <c r="E358" s="101"/>
      <c r="F358" s="12"/>
      <c r="G358" s="12"/>
    </row>
    <row r="359" spans="3:7" x14ac:dyDescent="0.25">
      <c r="C359" s="12"/>
      <c r="D359" s="12"/>
      <c r="E359" s="101"/>
      <c r="F359" s="12"/>
      <c r="G359" s="12"/>
    </row>
    <row r="360" spans="3:7" x14ac:dyDescent="0.25">
      <c r="C360" s="12"/>
      <c r="D360" s="12"/>
      <c r="E360" s="101"/>
      <c r="F360" s="12"/>
      <c r="G360" s="12"/>
    </row>
    <row r="361" spans="3:7" x14ac:dyDescent="0.25">
      <c r="C361" s="12"/>
      <c r="D361" s="12"/>
      <c r="E361" s="101"/>
      <c r="F361" s="12"/>
      <c r="G361" s="12"/>
    </row>
    <row r="362" spans="3:7" x14ac:dyDescent="0.25">
      <c r="C362" s="12"/>
      <c r="D362" s="12"/>
      <c r="E362" s="101"/>
      <c r="F362" s="12"/>
      <c r="G362" s="12"/>
    </row>
    <row r="363" spans="3:7" x14ac:dyDescent="0.25">
      <c r="C363" s="12"/>
      <c r="D363" s="12"/>
      <c r="E363" s="101"/>
      <c r="F363" s="12"/>
      <c r="G363" s="12"/>
    </row>
    <row r="364" spans="3:7" x14ac:dyDescent="0.25">
      <c r="C364" s="12"/>
      <c r="D364" s="12"/>
      <c r="E364" s="101"/>
      <c r="F364" s="12"/>
      <c r="G364" s="12"/>
    </row>
    <row r="365" spans="3:7" x14ac:dyDescent="0.25">
      <c r="C365" s="12"/>
      <c r="D365" s="12"/>
      <c r="E365" s="101"/>
      <c r="F365" s="12"/>
      <c r="G365" s="12"/>
    </row>
    <row r="366" spans="3:7" x14ac:dyDescent="0.25">
      <c r="C366" s="12"/>
      <c r="D366" s="12"/>
      <c r="E366" s="101"/>
      <c r="F366" s="12"/>
      <c r="G366" s="12"/>
    </row>
    <row r="367" spans="3:7" x14ac:dyDescent="0.25">
      <c r="C367" s="12"/>
      <c r="D367" s="12"/>
      <c r="E367" s="101"/>
      <c r="F367" s="12"/>
      <c r="G367" s="12"/>
    </row>
    <row r="368" spans="3:7" x14ac:dyDescent="0.25">
      <c r="C368" s="12"/>
      <c r="D368" s="12"/>
      <c r="E368" s="101"/>
      <c r="F368" s="12"/>
      <c r="G368" s="12"/>
    </row>
    <row r="369" spans="3:7" x14ac:dyDescent="0.25">
      <c r="C369" s="12"/>
      <c r="D369" s="12"/>
      <c r="E369" s="101"/>
      <c r="F369" s="12"/>
      <c r="G369" s="12"/>
    </row>
    <row r="370" spans="3:7" x14ac:dyDescent="0.25">
      <c r="C370" s="12"/>
      <c r="D370" s="12"/>
      <c r="E370" s="101"/>
      <c r="F370" s="12"/>
      <c r="G370" s="12"/>
    </row>
    <row r="371" spans="3:7" x14ac:dyDescent="0.25">
      <c r="C371" s="12"/>
      <c r="D371" s="12"/>
      <c r="E371" s="101"/>
      <c r="F371" s="12"/>
      <c r="G371" s="12"/>
    </row>
    <row r="372" spans="3:7" x14ac:dyDescent="0.25">
      <c r="C372" s="12"/>
      <c r="D372" s="12"/>
      <c r="E372" s="101"/>
      <c r="F372" s="12"/>
      <c r="G372" s="12"/>
    </row>
    <row r="373" spans="3:7" x14ac:dyDescent="0.25">
      <c r="C373" s="12"/>
      <c r="D373" s="12"/>
      <c r="E373" s="101"/>
      <c r="F373" s="12"/>
      <c r="G373" s="12"/>
    </row>
  </sheetData>
  <mergeCells count="21">
    <mergeCell ref="D204:E204"/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  <mergeCell ref="A125:A126"/>
    <mergeCell ref="B125:B126"/>
    <mergeCell ref="C125:C126"/>
    <mergeCell ref="D125:D126"/>
    <mergeCell ref="E125:E126"/>
    <mergeCell ref="A167:A168"/>
    <mergeCell ref="B167:B168"/>
    <mergeCell ref="C167:C168"/>
    <mergeCell ref="D167:D168"/>
    <mergeCell ref="E167:E168"/>
  </mergeCells>
  <pageMargins left="0.18" right="0.11" top="0.42" bottom="0.33" header="0.4" footer="0.3"/>
  <pageSetup scale="8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3"/>
  <sheetViews>
    <sheetView tabSelected="1" topLeftCell="A185" zoomScale="130" zoomScaleNormal="130" workbookViewId="0">
      <selection activeCell="E200" sqref="E200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7.28515625" style="13" customWidth="1"/>
    <col min="4" max="4" width="14.7109375" style="13" bestFit="1" customWidth="1"/>
    <col min="5" max="5" width="16" style="13" customWidth="1"/>
    <col min="6" max="6" width="16.28515625" style="13" customWidth="1"/>
    <col min="7" max="7" width="15.7109375" style="13" customWidth="1"/>
    <col min="8" max="8" width="13.85546875" style="13" bestFit="1" customWidth="1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247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>
        <f>8428.54/6</f>
        <v>1404.7566666666669</v>
      </c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>
        <f>14568.64/9</f>
        <v>1618.7377777777776</v>
      </c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v>1738387.04</v>
      </c>
      <c r="E11" s="2">
        <f>137223.36+167223.36+137223.36+157223.36+189811.36+137223.36+137223.36+138222.36+138222.36+138222.36+166964.92+136738.92</f>
        <v>1781522.4399999995</v>
      </c>
      <c r="F11" s="2">
        <f>C11-E11</f>
        <v>-43135.399999999441</v>
      </c>
      <c r="G11" s="2">
        <f>D11-E11</f>
        <v>-43135.399999999441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v>1215123.27</v>
      </c>
      <c r="E12" s="2">
        <f>68133.9+66346.33+10000+43240.91+52836.91+112317.5+214312+88720.39+398667.38+108260.56+28941.08+41830.36</f>
        <v>1233607.3200000003</v>
      </c>
      <c r="F12" s="2">
        <f t="shared" ref="F12:F13" si="0">C12-E12</f>
        <v>-18484.050000000279</v>
      </c>
      <c r="G12" s="2">
        <f t="shared" ref="G12:G13" si="1">D12-E12</f>
        <v>-18484.050000000279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v>150000</v>
      </c>
      <c r="E13" s="2">
        <v>220000</v>
      </c>
      <c r="F13" s="2">
        <f t="shared" si="0"/>
        <v>-70000</v>
      </c>
      <c r="G13" s="2">
        <f t="shared" si="1"/>
        <v>-70000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3103510.31</v>
      </c>
      <c r="E15" s="8">
        <f>SUM(E11:E14)</f>
        <v>3235129.76</v>
      </c>
      <c r="F15" s="8">
        <f>SUM(F11:F14)</f>
        <v>-131619.44999999972</v>
      </c>
      <c r="G15" s="8">
        <f>SUM(G11:G14)</f>
        <v>-131619.44999999972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v>8585093.1600000001</v>
      </c>
      <c r="E18" s="2">
        <f>603278.41+936306.35+603278.41+623357.41+843407.41+603357.41+603357.41+603368.68+603368.68+603368.68+843418.68+603368.68</f>
        <v>8073236.209999999</v>
      </c>
      <c r="F18" s="2">
        <f>C18-E18</f>
        <v>511856.95000000112</v>
      </c>
      <c r="G18" s="2">
        <f>D18-E18</f>
        <v>511856.95000000112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v>1180936.3600000001</v>
      </c>
      <c r="E19" s="2">
        <f>119020+28460+11000+12060+116756+32818+133520+33877+167130+101765+22295</f>
        <v>778701</v>
      </c>
      <c r="F19" s="2">
        <f>C19-E19</f>
        <v>402235.3600000001</v>
      </c>
      <c r="G19" s="2">
        <f>D19-E19</f>
        <v>402235.3600000001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v>120000</v>
      </c>
      <c r="E20" s="2">
        <v>124695</v>
      </c>
      <c r="F20" s="2">
        <f>C20-E20</f>
        <v>-4695</v>
      </c>
      <c r="G20" s="2">
        <f>D20-E20</f>
        <v>-4695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9886029.5199999996</v>
      </c>
      <c r="E22" s="8">
        <f>SUM(E18:E21)</f>
        <v>8976632.209999999</v>
      </c>
      <c r="F22" s="8">
        <f>SUM(F18:F21)</f>
        <v>909397.31000000122</v>
      </c>
      <c r="G22" s="8">
        <f>SUM(G18:G21)</f>
        <v>909397.31000000122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v>1080068.32</v>
      </c>
      <c r="E25" s="2">
        <f>81375.15+96375.15+81375.15+96524.11+117488.61+81524.11+81524.11+81524.11+81524.11+81524.11+117488.61+81524.11</f>
        <v>1079771.44</v>
      </c>
      <c r="F25" s="2">
        <f>C25-E25</f>
        <v>296.88000000012107</v>
      </c>
      <c r="G25" s="2">
        <f>D25-E25</f>
        <v>296.88000000012107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v>151285.45000000001</v>
      </c>
      <c r="E26" s="2">
        <f>4140+6862+7000+17697+14586</f>
        <v>50285</v>
      </c>
      <c r="F26" s="2">
        <f>C26-E26</f>
        <v>101000.45000000001</v>
      </c>
      <c r="G26" s="2">
        <f>D26-E26</f>
        <v>101000.45000000001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v>30000</v>
      </c>
      <c r="E27" s="2">
        <v>4950</v>
      </c>
      <c r="F27" s="2">
        <f>C27-E27</f>
        <v>25050</v>
      </c>
      <c r="G27" s="2">
        <f>D27-E27</f>
        <v>25050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1261353.77</v>
      </c>
      <c r="E29" s="8">
        <f>SUM(E25:E28)</f>
        <v>1135006.44</v>
      </c>
      <c r="F29" s="8">
        <f>SUM(F25:F28)</f>
        <v>126347.33000000013</v>
      </c>
      <c r="G29" s="8">
        <f>SUM(G25:G28)</f>
        <v>126347.33000000013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v>833611.96</v>
      </c>
      <c r="E32" s="2">
        <f>63327.47+73327.47+63327.47+73327.47+89719.47+63374.55+63327.47+63327.47+63327.47+63408.11+89872.11+63408.11</f>
        <v>833074.6399999999</v>
      </c>
      <c r="F32" s="2">
        <f>C32-E32</f>
        <v>537.32000000006519</v>
      </c>
      <c r="G32" s="2">
        <f>D32-E32</f>
        <v>537.32000000006519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v>118966.2</v>
      </c>
      <c r="E33" s="2">
        <f>2000+2930+6487+4000+46007+2000+840+3045+2000</f>
        <v>69309</v>
      </c>
      <c r="F33" s="2">
        <f>C33-E33</f>
        <v>49657.2</v>
      </c>
      <c r="G33" s="2">
        <f>D33-E33</f>
        <v>49657.2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v>25000</v>
      </c>
      <c r="E34" s="2"/>
      <c r="F34" s="2">
        <f>C34-E34</f>
        <v>25000</v>
      </c>
      <c r="G34" s="2">
        <f>D34-E34</f>
        <v>25000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977578.15999999992</v>
      </c>
      <c r="E36" s="8">
        <f>SUM(E32:E35)</f>
        <v>902383.6399999999</v>
      </c>
      <c r="F36" s="8">
        <f>SUM(F32:F35)</f>
        <v>75194.520000000062</v>
      </c>
      <c r="G36" s="8">
        <f>SUM(G32:G35)</f>
        <v>75194.520000000062</v>
      </c>
      <c r="L36" s="12"/>
    </row>
    <row r="37" spans="1:13" x14ac:dyDescent="0.25">
      <c r="A37" s="25"/>
      <c r="B37" s="18"/>
      <c r="C37" s="2"/>
      <c r="D37" s="2"/>
      <c r="E37" s="2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v>686641.8</v>
      </c>
      <c r="E39" s="2">
        <f>53003.9+58003.9+53003.9+58003.9+73301.4+53003.9+53003.9+53003.9+53003.9+53003.9+73301.4+53003.9</f>
        <v>686641.80000000016</v>
      </c>
      <c r="F39" s="2">
        <f>C39-E39</f>
        <v>0</v>
      </c>
      <c r="G39" s="2">
        <f>D39-E39</f>
        <v>0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v>114943.85</v>
      </c>
      <c r="E40" s="2">
        <f>2000+5200+4218+24350+19795+6723.5+4007.75</f>
        <v>66294.25</v>
      </c>
      <c r="F40" s="2">
        <f>C40-E40</f>
        <v>48649.600000000006</v>
      </c>
      <c r="G40" s="2">
        <f>D40-E40</f>
        <v>48649.600000000006</v>
      </c>
    </row>
    <row r="41" spans="1:13" x14ac:dyDescent="0.25">
      <c r="A41" s="25"/>
      <c r="B41" s="27" t="s">
        <v>13</v>
      </c>
      <c r="C41" s="2">
        <v>35000</v>
      </c>
      <c r="D41" s="2">
        <v>35000</v>
      </c>
      <c r="E41" s="2">
        <v>8995</v>
      </c>
      <c r="F41" s="2">
        <f>C41-E41</f>
        <v>26005</v>
      </c>
      <c r="G41" s="2">
        <f>D41-E41</f>
        <v>26005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836585.65</v>
      </c>
      <c r="E43" s="8">
        <f>SUM(E39:E42)</f>
        <v>761931.05000000016</v>
      </c>
      <c r="F43" s="8">
        <f>SUM(F39:F42)</f>
        <v>74654.600000000006</v>
      </c>
      <c r="G43" s="8">
        <f>SUM(G39:G42)</f>
        <v>74654.600000000006</v>
      </c>
    </row>
    <row r="44" spans="1:13" x14ac:dyDescent="0.25">
      <c r="A44" s="25"/>
      <c r="B44" s="18"/>
      <c r="C44" s="2"/>
      <c r="D44" s="2"/>
      <c r="E44" s="2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v>1170532.04</v>
      </c>
      <c r="E46" s="2">
        <f>46303.17+61303.17+46303.17+61303.17+66713.67+46303.17+46303.17+46303.17+46303.17+46303.17+66213.67+46303.17</f>
        <v>625959.03999999992</v>
      </c>
      <c r="F46" s="2">
        <f>C46-E46</f>
        <v>544573.00000000012</v>
      </c>
      <c r="G46" s="2">
        <f>D46-E46</f>
        <v>544573.00000000012</v>
      </c>
    </row>
    <row r="47" spans="1:13" x14ac:dyDescent="0.25">
      <c r="A47" s="25"/>
      <c r="B47" s="27" t="s">
        <v>12</v>
      </c>
      <c r="C47" s="2">
        <v>225508</v>
      </c>
      <c r="D47" s="2">
        <v>225508</v>
      </c>
      <c r="E47" s="2">
        <f>9700+1000+1000+1000+36061+41748.75+4080+1000+5700+16902+11122.04</f>
        <v>129313.79000000001</v>
      </c>
      <c r="F47" s="2">
        <f>C47-E47</f>
        <v>96194.209999999992</v>
      </c>
      <c r="G47" s="2">
        <f>D47-E47</f>
        <v>96194.209999999992</v>
      </c>
    </row>
    <row r="48" spans="1:13" x14ac:dyDescent="0.25">
      <c r="A48" s="25"/>
      <c r="B48" s="27" t="s">
        <v>13</v>
      </c>
      <c r="C48" s="2">
        <v>25000</v>
      </c>
      <c r="D48" s="2">
        <v>25000</v>
      </c>
      <c r="E48" s="2">
        <v>25000</v>
      </c>
      <c r="F48" s="2">
        <f>C48-E48</f>
        <v>0</v>
      </c>
      <c r="G48" s="2">
        <f>D48-E48</f>
        <v>0</v>
      </c>
      <c r="H48" s="12"/>
    </row>
    <row r="49" spans="1:8" x14ac:dyDescent="0.25">
      <c r="A49" s="25"/>
      <c r="B49" s="27" t="s">
        <v>14</v>
      </c>
      <c r="C49" s="2"/>
      <c r="D49" s="2"/>
      <c r="E49" s="2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1421040.04</v>
      </c>
      <c r="E50" s="8">
        <f>SUM(E46:E49)</f>
        <v>780272.83</v>
      </c>
      <c r="F50" s="8">
        <f>SUM(F46:F49)</f>
        <v>640767.21000000008</v>
      </c>
      <c r="G50" s="8">
        <f>SUM(G46:G49)</f>
        <v>640767.21000000008</v>
      </c>
      <c r="H50" s="12"/>
    </row>
    <row r="51" spans="1:8" x14ac:dyDescent="0.25">
      <c r="A51" s="25"/>
      <c r="B51" s="18"/>
      <c r="C51" s="2"/>
      <c r="D51" s="2"/>
      <c r="E51" s="2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2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v>1726562.96</v>
      </c>
      <c r="E53" s="2">
        <f>127589.33+162589.33+127589.33+162589.33+190014.83+127589.33+127589.33+127589.33+127589.33+127661.01+190150.51+127661.01</f>
        <v>1726202</v>
      </c>
      <c r="F53" s="2">
        <f>C53-E53</f>
        <v>360.95999999996275</v>
      </c>
      <c r="G53" s="2">
        <f>D53-E53</f>
        <v>360.95999999996275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v>380872.05</v>
      </c>
      <c r="E54" s="2">
        <f>7700+17777+1200+20827.9+18450+78025.44+62720.5+26159+22255+27733+4580</f>
        <v>287427.83999999997</v>
      </c>
      <c r="F54" s="2">
        <f>C54-E54</f>
        <v>93444.210000000021</v>
      </c>
      <c r="G54" s="2">
        <f>D54-E54</f>
        <v>93444.210000000021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v>60000</v>
      </c>
      <c r="E55" s="2">
        <v>55740</v>
      </c>
      <c r="F55" s="2">
        <f>C55-E55</f>
        <v>4260</v>
      </c>
      <c r="G55" s="2">
        <f>D55-E55</f>
        <v>4260</v>
      </c>
      <c r="H55" s="12"/>
    </row>
    <row r="56" spans="1:8" x14ac:dyDescent="0.25">
      <c r="A56" s="25"/>
      <c r="B56" s="27" t="s">
        <v>14</v>
      </c>
      <c r="C56" s="2"/>
      <c r="D56" s="2"/>
      <c r="E56" s="2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2167435.0099999998</v>
      </c>
      <c r="E57" s="8">
        <f>SUM(E53:E56)</f>
        <v>2069369.8399999999</v>
      </c>
      <c r="F57" s="8">
        <f>SUM(F53:F56)</f>
        <v>98065.169999999984</v>
      </c>
      <c r="G57" s="8">
        <f>SUM(G53:G56)</f>
        <v>98065.169999999984</v>
      </c>
      <c r="H57" s="12"/>
    </row>
    <row r="58" spans="1:8" ht="15.75" thickBot="1" x14ac:dyDescent="0.3">
      <c r="A58" s="30"/>
      <c r="B58" s="31"/>
      <c r="C58" s="9"/>
      <c r="D58" s="9"/>
      <c r="E58" s="9"/>
      <c r="F58" s="9"/>
      <c r="G58" s="32"/>
      <c r="H58" s="12"/>
    </row>
    <row r="59" spans="1:8" x14ac:dyDescent="0.25">
      <c r="A59" s="33"/>
      <c r="B59" s="34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10"/>
      <c r="F62" s="10"/>
      <c r="G62" s="10"/>
      <c r="H62" s="12"/>
    </row>
    <row r="63" spans="1:8" x14ac:dyDescent="0.25">
      <c r="A63" s="22" t="s">
        <v>247</v>
      </c>
      <c r="B63" s="34"/>
      <c r="C63" s="10"/>
      <c r="D63" s="10"/>
      <c r="E63" s="10"/>
      <c r="F63" s="10"/>
      <c r="G63" s="10"/>
      <c r="H63" s="12"/>
    </row>
    <row r="64" spans="1:8" x14ac:dyDescent="0.25">
      <c r="A64" s="33"/>
      <c r="B64" s="34"/>
      <c r="C64" s="10"/>
      <c r="D64" s="10"/>
      <c r="E64" s="10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5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6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9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2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v>858385.92000000004</v>
      </c>
      <c r="E69" s="2">
        <f>65251.06+75251.06+65251.06+75251.06+92503.06+65251.06+65314.76+65251.06+65251.06+65251.06+92651.46+65329.46</f>
        <v>857807.22</v>
      </c>
      <c r="F69" s="2">
        <f>C69-E69</f>
        <v>578.70000000006985</v>
      </c>
      <c r="G69" s="2">
        <f>D69-E69</f>
        <v>578.70000000006985</v>
      </c>
      <c r="H69" s="12">
        <f>857807.22-E69</f>
        <v>0</v>
      </c>
    </row>
    <row r="70" spans="1:8" x14ac:dyDescent="0.25">
      <c r="A70" s="25"/>
      <c r="B70" s="27" t="s">
        <v>12</v>
      </c>
      <c r="C70" s="2">
        <v>123432.95</v>
      </c>
      <c r="D70" s="2">
        <v>123432.95</v>
      </c>
      <c r="E70" s="2">
        <f>2000+5300+2000+23853+34197+5971+3496+25452+4801+1000</f>
        <v>108070</v>
      </c>
      <c r="F70" s="2">
        <f>C70-E70</f>
        <v>15362.949999999997</v>
      </c>
      <c r="G70" s="2">
        <f>D70-E70</f>
        <v>15362.949999999997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v>30000</v>
      </c>
      <c r="E71" s="2">
        <v>30000</v>
      </c>
      <c r="F71" s="2">
        <f>C71-E71</f>
        <v>0</v>
      </c>
      <c r="G71" s="2">
        <f>D71-E71</f>
        <v>0</v>
      </c>
      <c r="H71" s="12"/>
    </row>
    <row r="72" spans="1:8" x14ac:dyDescent="0.25">
      <c r="A72" s="25"/>
      <c r="B72" s="27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1011818.87</v>
      </c>
      <c r="E73" s="8">
        <f>SUM(E69:E72)</f>
        <v>995877.22</v>
      </c>
      <c r="F73" s="8">
        <f>SUM(F69:F72)</f>
        <v>15941.650000000067</v>
      </c>
      <c r="G73" s="8">
        <f>SUM(G69:G72)</f>
        <v>15941.650000000067</v>
      </c>
      <c r="H73" s="12"/>
    </row>
    <row r="74" spans="1:8" x14ac:dyDescent="0.25">
      <c r="A74" s="25"/>
      <c r="B74" s="18"/>
      <c r="C74" s="2"/>
      <c r="D74" s="2"/>
      <c r="E74" s="2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18"/>
      <c r="E75" s="2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v>1199582.96</v>
      </c>
      <c r="E76" s="2">
        <f>43617.35+89117.35+43617.35+67471.91+52508.45+55487.21+44524.59+44524.59+44524.59+44524.59+62270.25+23924.75</f>
        <v>616112.98</v>
      </c>
      <c r="F76" s="2">
        <f>C76-E76</f>
        <v>583469.98</v>
      </c>
      <c r="G76" s="2">
        <f>D76-E76</f>
        <v>583469.98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v>824008.79</v>
      </c>
      <c r="E77" s="2">
        <f>65119.58+36394.25+745.65+23126.19+7219.48+320382.17+60826.33+59042.04+42133.39+17030+139539.14</f>
        <v>771558.22</v>
      </c>
      <c r="F77" s="2">
        <f>C77-E77</f>
        <v>52450.570000000065</v>
      </c>
      <c r="G77" s="2">
        <f>D77-E77</f>
        <v>52450.570000000065</v>
      </c>
      <c r="H77" s="12"/>
    </row>
    <row r="78" spans="1:8" x14ac:dyDescent="0.25">
      <c r="A78" s="25"/>
      <c r="B78" s="27" t="s">
        <v>13</v>
      </c>
      <c r="C78" s="2"/>
      <c r="D78" s="2"/>
      <c r="E78" s="2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2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2023591.75</v>
      </c>
      <c r="E80" s="8">
        <f>SUM(E76:E79)</f>
        <v>1387671.2</v>
      </c>
      <c r="F80" s="8">
        <f>SUM(F76:F79)</f>
        <v>635920.55000000005</v>
      </c>
      <c r="G80" s="8">
        <f>SUM(G76:G79)</f>
        <v>635920.55000000005</v>
      </c>
      <c r="H80" s="12"/>
    </row>
    <row r="81" spans="1:8" x14ac:dyDescent="0.25">
      <c r="A81" s="25"/>
      <c r="B81" s="18"/>
      <c r="C81" s="2"/>
      <c r="D81" s="2"/>
      <c r="E81" s="2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18"/>
      <c r="E82" s="2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v>3169869.2</v>
      </c>
      <c r="E83" s="2">
        <f>238901.81+278901.81+238901.81+278901.81+344605.81+237251.81+237251.81+237251.81+237251.81+237858.85+345754.85+237858.85</f>
        <v>3150692.8400000003</v>
      </c>
      <c r="F83" s="2">
        <f>C83-E83</f>
        <v>19176.35999999987</v>
      </c>
      <c r="G83" s="2">
        <f>D83-E83</f>
        <v>19176.35999999987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v>192388</v>
      </c>
      <c r="E84" s="2">
        <f>23860+10876.16+18548.32+55650+27930+6989+16668+29843.54+7500</f>
        <v>197865.02000000002</v>
      </c>
      <c r="F84" s="2">
        <f>C84-E84</f>
        <v>-5477.0200000000186</v>
      </c>
      <c r="G84" s="2">
        <f>D84-E84</f>
        <v>-5477.0200000000186</v>
      </c>
      <c r="H84" s="12"/>
    </row>
    <row r="85" spans="1:8" x14ac:dyDescent="0.25">
      <c r="A85" s="25"/>
      <c r="B85" s="27" t="s">
        <v>13</v>
      </c>
      <c r="C85" s="2"/>
      <c r="D85" s="2"/>
      <c r="E85" s="2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2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3362257.2</v>
      </c>
      <c r="E87" s="8">
        <f>SUM(E83:E86)</f>
        <v>3348557.8600000003</v>
      </c>
      <c r="F87" s="8">
        <f>SUM(F83:F86)</f>
        <v>13699.339999999851</v>
      </c>
      <c r="G87" s="8">
        <f>SUM(G83:G86)</f>
        <v>13699.339999999851</v>
      </c>
      <c r="H87" s="12"/>
    </row>
    <row r="88" spans="1:8" x14ac:dyDescent="0.25">
      <c r="A88" s="25"/>
      <c r="B88" s="18"/>
      <c r="C88" s="2"/>
      <c r="D88" s="2"/>
      <c r="E88" s="2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2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v>1224893.68</v>
      </c>
      <c r="E90" s="2">
        <f>82617.57+102617.57+82617.57+102617.57+124557.57+82617.57+82617.57+82617.57+82617.57+82617.57+124673.57+82617.57</f>
        <v>1115406.8400000003</v>
      </c>
      <c r="F90" s="2">
        <f>C90-E90</f>
        <v>109486.83999999962</v>
      </c>
      <c r="G90" s="2">
        <f>D90-E90</f>
        <v>109486.83999999962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v>208968</v>
      </c>
      <c r="E91" s="2">
        <f>6000+5454+2500+36480+12246+13690+9400+33205+2000</f>
        <v>120975</v>
      </c>
      <c r="F91" s="2">
        <f>C91-E91</f>
        <v>87993</v>
      </c>
      <c r="G91" s="2">
        <f>D91-E91</f>
        <v>87993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v>30000</v>
      </c>
      <c r="E92" s="2">
        <v>7797</v>
      </c>
      <c r="F92" s="2">
        <f>C92-E92</f>
        <v>22203</v>
      </c>
      <c r="G92" s="2">
        <f>D92-E92</f>
        <v>22203</v>
      </c>
      <c r="H92" s="12"/>
    </row>
    <row r="93" spans="1:8" x14ac:dyDescent="0.25">
      <c r="A93" s="25"/>
      <c r="B93" s="27" t="s">
        <v>14</v>
      </c>
      <c r="C93" s="2"/>
      <c r="D93" s="2"/>
      <c r="E93" s="2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1463861.68</v>
      </c>
      <c r="E94" s="8">
        <f>SUM(E90:E93)</f>
        <v>1244178.8400000003</v>
      </c>
      <c r="F94" s="8">
        <f>SUM(F90:F93)</f>
        <v>219682.83999999962</v>
      </c>
      <c r="G94" s="8">
        <f>SUM(G90:G93)</f>
        <v>219682.83999999962</v>
      </c>
      <c r="H94" s="12"/>
    </row>
    <row r="95" spans="1:8" x14ac:dyDescent="0.25">
      <c r="A95" s="25"/>
      <c r="B95" s="18"/>
      <c r="C95" s="2"/>
      <c r="D95" s="2"/>
      <c r="E95" s="2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2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v>927669.04</v>
      </c>
      <c r="E97" s="2">
        <f>63960.58+78960.58+123960.58+64700.76+121993.43+54700.76+52700.76+52700.76+52700.76+52700.76+79211.26+54700.76</f>
        <v>852991.75</v>
      </c>
      <c r="F97" s="2">
        <f>C97-E97</f>
        <v>74677.290000000037</v>
      </c>
      <c r="G97" s="2">
        <f>D97-E97</f>
        <v>74677.290000000037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v>103520</v>
      </c>
      <c r="E98" s="2">
        <f>3000+9240+27855+3030+8002+2024+3090+3000</f>
        <v>59241</v>
      </c>
      <c r="F98" s="2">
        <f>C98-E98</f>
        <v>44279</v>
      </c>
      <c r="G98" s="2">
        <f>D98-E98</f>
        <v>44279</v>
      </c>
      <c r="H98" s="12"/>
    </row>
    <row r="99" spans="1:8" x14ac:dyDescent="0.25">
      <c r="A99" s="25"/>
      <c r="B99" s="27" t="s">
        <v>13</v>
      </c>
      <c r="C99" s="2"/>
      <c r="D99" s="2"/>
      <c r="E99" s="2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1031189.04</v>
      </c>
      <c r="E101" s="8">
        <f>SUM(E97:E100)</f>
        <v>912232.75</v>
      </c>
      <c r="F101" s="8">
        <f>SUM(F97:F100)</f>
        <v>118956.29000000004</v>
      </c>
      <c r="G101" s="8">
        <f>SUM(G97:G100)</f>
        <v>118956.29000000004</v>
      </c>
      <c r="H101" s="12"/>
    </row>
    <row r="102" spans="1:8" x14ac:dyDescent="0.25">
      <c r="A102" s="25"/>
      <c r="B102" s="18"/>
      <c r="C102" s="2"/>
      <c r="D102" s="2"/>
      <c r="E102" s="2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v>1134720.48</v>
      </c>
      <c r="E104" s="2">
        <f>84930+99930+85263.57+99930+123055+84930+84930+87535.18+85754.62+85754.62+123771.62+85754.62</f>
        <v>1131539.23</v>
      </c>
      <c r="F104" s="2">
        <f>C104-E104</f>
        <v>3181.25</v>
      </c>
      <c r="G104" s="2">
        <f>D104-E104</f>
        <v>3181.25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v>67403.05</v>
      </c>
      <c r="E105" s="2">
        <f>515+12069+23850+8400+7120+7560</f>
        <v>59514</v>
      </c>
      <c r="F105" s="2">
        <f>C105-E105</f>
        <v>7889.0500000000029</v>
      </c>
      <c r="G105" s="2">
        <f>D105-E105</f>
        <v>7889.0500000000029</v>
      </c>
      <c r="H105" s="12"/>
    </row>
    <row r="106" spans="1:8" x14ac:dyDescent="0.25">
      <c r="A106" s="25"/>
      <c r="B106" s="27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1202123.53</v>
      </c>
      <c r="E108" s="8">
        <f>SUM(E104:E107)</f>
        <v>1191053.23</v>
      </c>
      <c r="F108" s="8">
        <f>SUM(F104:F107)</f>
        <v>11070.300000000003</v>
      </c>
      <c r="G108" s="8">
        <f>SUM(G104:G107)</f>
        <v>11070.300000000003</v>
      </c>
      <c r="H108" s="12"/>
    </row>
    <row r="109" spans="1:8" x14ac:dyDescent="0.25">
      <c r="A109" s="25"/>
      <c r="B109" s="18"/>
      <c r="C109" s="2"/>
      <c r="D109" s="2"/>
      <c r="E109" s="2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v>130000</v>
      </c>
      <c r="E112" s="2"/>
      <c r="F112" s="2">
        <f>C112-E112</f>
        <v>130000</v>
      </c>
      <c r="G112" s="2">
        <f>D112-E112</f>
        <v>130000</v>
      </c>
      <c r="H112" s="12"/>
    </row>
    <row r="113" spans="1:8" x14ac:dyDescent="0.25">
      <c r="A113" s="25"/>
      <c r="B113" s="27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130000</v>
      </c>
      <c r="E115" s="8">
        <f>SUM(E111:E114)</f>
        <v>0</v>
      </c>
      <c r="F115" s="8">
        <f>SUM(F111:F114)</f>
        <v>130000</v>
      </c>
      <c r="G115" s="8">
        <f>SUM(G111:G114)</f>
        <v>130000</v>
      </c>
      <c r="H115" s="12"/>
    </row>
    <row r="116" spans="1:8" ht="15.75" thickBot="1" x14ac:dyDescent="0.3">
      <c r="A116" s="35"/>
      <c r="B116" s="36"/>
      <c r="C116" s="9"/>
      <c r="D116" s="9"/>
      <c r="E116" s="9"/>
      <c r="F116" s="9"/>
      <c r="G116" s="3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/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251</v>
      </c>
      <c r="B120" s="34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10"/>
      <c r="F122" s="10"/>
      <c r="G122" s="10"/>
      <c r="H122" s="12"/>
    </row>
    <row r="123" spans="1:8" x14ac:dyDescent="0.25">
      <c r="A123" s="22" t="s">
        <v>247</v>
      </c>
      <c r="B123" s="34"/>
      <c r="C123" s="10"/>
      <c r="D123" s="10"/>
      <c r="E123" s="10"/>
      <c r="F123" s="10"/>
      <c r="G123" s="10"/>
      <c r="H123" s="12"/>
    </row>
    <row r="124" spans="1:8" x14ac:dyDescent="0.25">
      <c r="A124" s="33"/>
      <c r="B124" s="34"/>
      <c r="C124" s="10"/>
      <c r="D124" s="10"/>
      <c r="E124" s="10"/>
      <c r="F124" s="10"/>
      <c r="G124" s="10"/>
      <c r="H124" s="12"/>
    </row>
    <row r="125" spans="1:8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5" t="s">
        <v>7</v>
      </c>
      <c r="F125" s="15" t="s">
        <v>8</v>
      </c>
      <c r="G125" s="15" t="s">
        <v>8</v>
      </c>
      <c r="H125" s="12"/>
    </row>
    <row r="126" spans="1:8" x14ac:dyDescent="0.25">
      <c r="A126" s="116"/>
      <c r="B126" s="116"/>
      <c r="C126" s="116"/>
      <c r="D126" s="116"/>
      <c r="E126" s="116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v>38596</v>
      </c>
      <c r="E128" s="2"/>
      <c r="F128" s="2">
        <f t="shared" ref="F128:F155" si="2">C128-E128</f>
        <v>38596</v>
      </c>
      <c r="G128" s="2">
        <f t="shared" ref="G128:G156" si="3">D128-E128</f>
        <v>38596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v>430000</v>
      </c>
      <c r="E129" s="2">
        <f>19047.59+5400+3600+6000+20575+6975+7500+44170</f>
        <v>113267.59</v>
      </c>
      <c r="F129" s="2">
        <f t="shared" si="2"/>
        <v>316732.41000000003</v>
      </c>
      <c r="G129" s="2">
        <f t="shared" si="3"/>
        <v>316732.41000000003</v>
      </c>
      <c r="H129" s="12"/>
    </row>
    <row r="130" spans="1:10" x14ac:dyDescent="0.25">
      <c r="A130" s="18"/>
      <c r="B130" s="84" t="s">
        <v>88</v>
      </c>
      <c r="C130" s="85">
        <v>20000</v>
      </c>
      <c r="D130" s="85">
        <v>20000</v>
      </c>
      <c r="E130" s="2">
        <f>30000+19849+25142.05</f>
        <v>74991.05</v>
      </c>
      <c r="F130" s="2">
        <f t="shared" si="2"/>
        <v>-54991.05</v>
      </c>
      <c r="G130" s="2">
        <f t="shared" si="3"/>
        <v>-54991.05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v>300000</v>
      </c>
      <c r="E131" s="2"/>
      <c r="F131" s="2">
        <f t="shared" si="2"/>
        <v>300000</v>
      </c>
      <c r="G131" s="2">
        <f t="shared" si="3"/>
        <v>300000</v>
      </c>
      <c r="H131" s="12"/>
    </row>
    <row r="132" spans="1:10" x14ac:dyDescent="0.25">
      <c r="A132" s="18"/>
      <c r="B132" s="84" t="s">
        <v>166</v>
      </c>
      <c r="C132" s="85">
        <v>0</v>
      </c>
      <c r="D132" s="85">
        <v>0</v>
      </c>
      <c r="E132" s="2"/>
      <c r="F132" s="2"/>
      <c r="G132" s="2"/>
      <c r="H132" s="12"/>
    </row>
    <row r="133" spans="1:10" x14ac:dyDescent="0.25">
      <c r="A133" s="18"/>
      <c r="B133" s="18" t="s">
        <v>143</v>
      </c>
      <c r="C133" s="2">
        <v>145000</v>
      </c>
      <c r="D133" s="2">
        <v>145000</v>
      </c>
      <c r="E133" s="2">
        <f>3000+3990+38040+43508+36125</f>
        <v>124663</v>
      </c>
      <c r="F133" s="2">
        <f t="shared" si="2"/>
        <v>20337</v>
      </c>
      <c r="G133" s="2">
        <f t="shared" si="3"/>
        <v>20337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v>120000</v>
      </c>
      <c r="E134" s="2">
        <f>3450+10915+600</f>
        <v>14965</v>
      </c>
      <c r="F134" s="2">
        <f t="shared" si="2"/>
        <v>105035</v>
      </c>
      <c r="G134" s="2">
        <f t="shared" si="3"/>
        <v>105035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v>75000</v>
      </c>
      <c r="E135" s="2">
        <f>1775</f>
        <v>1775</v>
      </c>
      <c r="F135" s="2">
        <f t="shared" si="2"/>
        <v>73225</v>
      </c>
      <c r="G135" s="2">
        <f t="shared" si="3"/>
        <v>73225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v>1500000</v>
      </c>
      <c r="E136" s="2">
        <f>214375+103410+218450+95575+191615+108890+193970+288520+81940+103755+151410+170345</f>
        <v>1922255</v>
      </c>
      <c r="F136" s="2">
        <f t="shared" si="2"/>
        <v>-422255</v>
      </c>
      <c r="G136" s="2">
        <f t="shared" si="3"/>
        <v>-422255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v>100000</v>
      </c>
      <c r="E137" s="2"/>
      <c r="F137" s="2">
        <f t="shared" si="2"/>
        <v>100000</v>
      </c>
      <c r="G137" s="2">
        <f t="shared" si="3"/>
        <v>100000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f>150000-100000</f>
        <v>50000</v>
      </c>
      <c r="D138" s="2">
        <f>150000-100000</f>
        <v>50000</v>
      </c>
      <c r="E138" s="2"/>
      <c r="F138" s="2">
        <f t="shared" si="2"/>
        <v>50000</v>
      </c>
      <c r="G138" s="2">
        <f t="shared" si="3"/>
        <v>50000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v>70000</v>
      </c>
      <c r="E139" s="2">
        <v>1021</v>
      </c>
      <c r="F139" s="2">
        <f t="shared" si="2"/>
        <v>68979</v>
      </c>
      <c r="G139" s="2">
        <f t="shared" si="3"/>
        <v>68979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v>300000</v>
      </c>
      <c r="E140" s="2">
        <f>1160+28831+300+600+750+65220</f>
        <v>96861</v>
      </c>
      <c r="F140" s="2">
        <f t="shared" si="2"/>
        <v>203139</v>
      </c>
      <c r="G140" s="2">
        <f t="shared" si="3"/>
        <v>203139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v>20000</v>
      </c>
      <c r="E141" s="2">
        <f>3550+900</f>
        <v>4450</v>
      </c>
      <c r="F141" s="2">
        <f t="shared" si="2"/>
        <v>15550</v>
      </c>
      <c r="G141" s="2">
        <f t="shared" si="3"/>
        <v>15550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v>15000</v>
      </c>
      <c r="E142" s="2">
        <v>14993</v>
      </c>
      <c r="F142" s="2">
        <f t="shared" si="2"/>
        <v>7</v>
      </c>
      <c r="G142" s="2">
        <f t="shared" si="3"/>
        <v>7</v>
      </c>
      <c r="J142" s="12"/>
    </row>
    <row r="143" spans="1:10" x14ac:dyDescent="0.25">
      <c r="A143" s="18"/>
      <c r="B143" s="84" t="s">
        <v>51</v>
      </c>
      <c r="C143" s="85">
        <f>750000-300000</f>
        <v>450000</v>
      </c>
      <c r="D143" s="85">
        <f>750000-300000</f>
        <v>450000</v>
      </c>
      <c r="E143" s="2">
        <f>14250+40863.89+16600+33570.54+8900+4725+630</f>
        <v>119539.43</v>
      </c>
      <c r="F143" s="2">
        <f t="shared" si="2"/>
        <v>330460.57</v>
      </c>
      <c r="G143" s="2">
        <f t="shared" si="3"/>
        <v>330460.57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v>50000</v>
      </c>
      <c r="E144" s="2">
        <v>8500</v>
      </c>
      <c r="F144" s="2">
        <f t="shared" si="2"/>
        <v>41500</v>
      </c>
      <c r="G144" s="2">
        <f t="shared" si="3"/>
        <v>41500</v>
      </c>
    </row>
    <row r="145" spans="1:10" x14ac:dyDescent="0.25">
      <c r="A145" s="18"/>
      <c r="B145" s="18" t="s">
        <v>223</v>
      </c>
      <c r="C145" s="2">
        <v>455427.6</v>
      </c>
      <c r="D145" s="2">
        <v>455427.6</v>
      </c>
      <c r="E145" s="2"/>
      <c r="F145" s="2">
        <f t="shared" si="2"/>
        <v>455427.6</v>
      </c>
      <c r="G145" s="2">
        <f t="shared" si="3"/>
        <v>455427.6</v>
      </c>
    </row>
    <row r="146" spans="1:10" x14ac:dyDescent="0.25">
      <c r="A146" s="18"/>
      <c r="B146" s="84" t="s">
        <v>210</v>
      </c>
      <c r="C146" s="85">
        <f>1200000-700000</f>
        <v>500000</v>
      </c>
      <c r="D146" s="85">
        <f>1200000-700000</f>
        <v>500000</v>
      </c>
      <c r="E146" s="2">
        <f>2200+25000+152824+30000+1200+28060+402559+63420</f>
        <v>705263</v>
      </c>
      <c r="F146" s="2">
        <f t="shared" si="2"/>
        <v>-205263</v>
      </c>
      <c r="G146" s="2">
        <f t="shared" si="3"/>
        <v>-205263</v>
      </c>
    </row>
    <row r="147" spans="1:10" x14ac:dyDescent="0.25">
      <c r="A147" s="18"/>
      <c r="B147" s="18" t="s">
        <v>211</v>
      </c>
      <c r="C147" s="2">
        <v>500000</v>
      </c>
      <c r="D147" s="2">
        <v>500000</v>
      </c>
      <c r="E147" s="2"/>
      <c r="F147" s="2">
        <f t="shared" si="2"/>
        <v>500000</v>
      </c>
      <c r="G147" s="2">
        <f t="shared" si="3"/>
        <v>500000</v>
      </c>
    </row>
    <row r="148" spans="1:10" x14ac:dyDescent="0.25">
      <c r="A148" s="18"/>
      <c r="B148" s="18" t="s">
        <v>212</v>
      </c>
      <c r="C148" s="2">
        <v>300000</v>
      </c>
      <c r="D148" s="2">
        <v>300000</v>
      </c>
      <c r="E148" s="2">
        <f>4116.65+40000+30000+9360+3380.25+15275</f>
        <v>102131.9</v>
      </c>
      <c r="F148" s="2">
        <f t="shared" si="2"/>
        <v>197868.1</v>
      </c>
      <c r="G148" s="2">
        <f t="shared" si="3"/>
        <v>197868.1</v>
      </c>
    </row>
    <row r="149" spans="1:10" x14ac:dyDescent="0.25">
      <c r="A149" s="18"/>
      <c r="B149" s="18" t="s">
        <v>213</v>
      </c>
      <c r="C149" s="2">
        <v>375000</v>
      </c>
      <c r="D149" s="2">
        <v>375000</v>
      </c>
      <c r="E149" s="2">
        <f>1500+1000+6500</f>
        <v>9000</v>
      </c>
      <c r="F149" s="2">
        <f t="shared" si="2"/>
        <v>366000</v>
      </c>
      <c r="G149" s="2">
        <f t="shared" si="3"/>
        <v>366000</v>
      </c>
    </row>
    <row r="150" spans="1:10" x14ac:dyDescent="0.25">
      <c r="A150" s="18"/>
      <c r="B150" s="84" t="s">
        <v>32</v>
      </c>
      <c r="C150" s="85">
        <f>250000-100000</f>
        <v>150000</v>
      </c>
      <c r="D150" s="85">
        <f>250000-100000</f>
        <v>150000</v>
      </c>
      <c r="E150" s="2">
        <f>945.85+400+15186+493.34+758+7540</f>
        <v>25323.19</v>
      </c>
      <c r="F150" s="2">
        <f t="shared" si="2"/>
        <v>124676.81</v>
      </c>
      <c r="G150" s="2">
        <f t="shared" si="3"/>
        <v>124676.81</v>
      </c>
    </row>
    <row r="151" spans="1:10" x14ac:dyDescent="0.25">
      <c r="A151" s="18"/>
      <c r="B151" s="18" t="s">
        <v>96</v>
      </c>
      <c r="C151" s="2">
        <v>776404</v>
      </c>
      <c r="D151" s="2">
        <v>776404</v>
      </c>
      <c r="E151" s="2">
        <f>194101+194101+388202+194101</f>
        <v>970505</v>
      </c>
      <c r="F151" s="2">
        <f t="shared" si="2"/>
        <v>-194101</v>
      </c>
      <c r="G151" s="2">
        <f t="shared" si="3"/>
        <v>-194101</v>
      </c>
    </row>
    <row r="152" spans="1:10" x14ac:dyDescent="0.25">
      <c r="A152" s="18"/>
      <c r="B152" s="86" t="s">
        <v>241</v>
      </c>
      <c r="C152" s="87">
        <v>100000</v>
      </c>
      <c r="D152" s="87">
        <v>100000</v>
      </c>
      <c r="E152" s="2">
        <v>100000</v>
      </c>
      <c r="F152" s="2">
        <f t="shared" si="2"/>
        <v>0</v>
      </c>
      <c r="G152" s="2">
        <f t="shared" si="3"/>
        <v>0</v>
      </c>
    </row>
    <row r="153" spans="1:10" x14ac:dyDescent="0.25">
      <c r="A153" s="18"/>
      <c r="B153" s="86" t="s">
        <v>242</v>
      </c>
      <c r="C153" s="87">
        <v>200000</v>
      </c>
      <c r="D153" s="87">
        <v>200000</v>
      </c>
      <c r="E153" s="2"/>
      <c r="F153" s="2">
        <f t="shared" si="2"/>
        <v>200000</v>
      </c>
      <c r="G153" s="2">
        <f t="shared" si="3"/>
        <v>200000</v>
      </c>
    </row>
    <row r="154" spans="1:10" x14ac:dyDescent="0.25">
      <c r="A154" s="18"/>
      <c r="B154" s="86" t="s">
        <v>243</v>
      </c>
      <c r="C154" s="87">
        <v>800000</v>
      </c>
      <c r="D154" s="87">
        <v>800000</v>
      </c>
      <c r="E154" s="2">
        <v>800000</v>
      </c>
      <c r="F154" s="2">
        <f t="shared" si="2"/>
        <v>0</v>
      </c>
      <c r="G154" s="2">
        <f t="shared" si="3"/>
        <v>0</v>
      </c>
    </row>
    <row r="155" spans="1:10" x14ac:dyDescent="0.25">
      <c r="A155" s="18"/>
      <c r="B155" s="86" t="s">
        <v>244</v>
      </c>
      <c r="C155" s="87">
        <v>400000</v>
      </c>
      <c r="D155" s="87">
        <v>400000</v>
      </c>
      <c r="E155" s="2">
        <v>400000</v>
      </c>
      <c r="F155" s="2">
        <f t="shared" si="2"/>
        <v>0</v>
      </c>
      <c r="G155" s="2">
        <f t="shared" si="3"/>
        <v>0</v>
      </c>
    </row>
    <row r="156" spans="1:10" x14ac:dyDescent="0.25">
      <c r="A156" s="37"/>
      <c r="B156" s="37"/>
      <c r="C156" s="6"/>
      <c r="D156" s="6"/>
      <c r="E156" s="6"/>
      <c r="F156" s="2"/>
      <c r="G156" s="2">
        <f t="shared" si="3"/>
        <v>0</v>
      </c>
    </row>
    <row r="157" spans="1:10" x14ac:dyDescent="0.25">
      <c r="A157" s="38"/>
      <c r="B157" s="28" t="s">
        <v>27</v>
      </c>
      <c r="C157" s="8">
        <f>SUM(C128:C156)</f>
        <v>8240427.5999999996</v>
      </c>
      <c r="D157" s="8">
        <f>SUM(D128:D156)</f>
        <v>8240427.5999999996</v>
      </c>
      <c r="E157" s="8">
        <f>SUM(E128:E156)</f>
        <v>5609504.1600000001</v>
      </c>
      <c r="F157" s="8">
        <f>SUM(F128:F156)</f>
        <v>2630923.4400000004</v>
      </c>
      <c r="G157" s="8">
        <f>SUM(G128:G156)</f>
        <v>2630923.4400000004</v>
      </c>
    </row>
    <row r="158" spans="1:10" x14ac:dyDescent="0.25">
      <c r="C158" s="7"/>
      <c r="D158" s="7"/>
    </row>
    <row r="159" spans="1:10" x14ac:dyDescent="0.25">
      <c r="C159" s="14"/>
      <c r="D159" s="14"/>
      <c r="E159" s="14"/>
      <c r="J159" s="13">
        <f>35*15</f>
        <v>525</v>
      </c>
    </row>
    <row r="160" spans="1:10" x14ac:dyDescent="0.25">
      <c r="C160" s="14"/>
      <c r="D160" s="14"/>
      <c r="J160" s="13">
        <f>13*2*2</f>
        <v>52</v>
      </c>
    </row>
    <row r="162" spans="1:10" x14ac:dyDescent="0.25">
      <c r="A162" s="13" t="s">
        <v>0</v>
      </c>
      <c r="B162" s="34"/>
      <c r="C162" s="10"/>
      <c r="D162" s="10"/>
      <c r="E162" s="10"/>
      <c r="F162" s="10"/>
      <c r="G162" s="10"/>
      <c r="J162" s="13">
        <v>30000</v>
      </c>
    </row>
    <row r="163" spans="1:10" x14ac:dyDescent="0.25">
      <c r="A163" s="13" t="s">
        <v>1</v>
      </c>
      <c r="B163" s="34"/>
      <c r="C163" s="10"/>
      <c r="D163" s="10"/>
      <c r="E163" s="10"/>
      <c r="F163" s="10"/>
      <c r="G163" s="10"/>
      <c r="J163" s="13">
        <v>100</v>
      </c>
    </row>
    <row r="164" spans="1:10" x14ac:dyDescent="0.25">
      <c r="A164" s="13" t="s">
        <v>2</v>
      </c>
      <c r="B164" s="34"/>
      <c r="C164" s="10"/>
      <c r="D164" s="10"/>
      <c r="E164" s="10"/>
      <c r="F164" s="10"/>
      <c r="G164" s="10"/>
      <c r="J164" s="13">
        <f>J162/J163</f>
        <v>300</v>
      </c>
    </row>
    <row r="165" spans="1:10" x14ac:dyDescent="0.25">
      <c r="A165" s="22" t="s">
        <v>247</v>
      </c>
      <c r="B165" s="34"/>
      <c r="C165" s="10"/>
      <c r="D165" s="10"/>
      <c r="E165" s="10"/>
      <c r="F165" s="10"/>
      <c r="G165" s="10"/>
    </row>
    <row r="166" spans="1:10" x14ac:dyDescent="0.25">
      <c r="A166" s="33"/>
      <c r="B166" s="34"/>
      <c r="C166" s="10"/>
      <c r="D166" s="10"/>
      <c r="E166" s="10"/>
      <c r="F166" s="10"/>
      <c r="G166" s="10"/>
    </row>
    <row r="167" spans="1:10" x14ac:dyDescent="0.25">
      <c r="A167" s="115" t="s">
        <v>3</v>
      </c>
      <c r="B167" s="115" t="s">
        <v>4</v>
      </c>
      <c r="C167" s="115" t="s">
        <v>5</v>
      </c>
      <c r="D167" s="115" t="s">
        <v>5</v>
      </c>
      <c r="E167" s="115" t="s">
        <v>7</v>
      </c>
      <c r="F167" s="15" t="s">
        <v>8</v>
      </c>
      <c r="G167" s="15" t="s">
        <v>8</v>
      </c>
    </row>
    <row r="168" spans="1:10" x14ac:dyDescent="0.25">
      <c r="A168" s="116"/>
      <c r="B168" s="116"/>
      <c r="C168" s="116"/>
      <c r="D168" s="116"/>
      <c r="E168" s="116"/>
      <c r="F168" s="16" t="s">
        <v>5</v>
      </c>
      <c r="G168" s="16" t="s">
        <v>6</v>
      </c>
    </row>
    <row r="169" spans="1:10" x14ac:dyDescent="0.25">
      <c r="A169" s="17"/>
      <c r="B169" s="17"/>
      <c r="C169" s="17"/>
      <c r="D169" s="17"/>
      <c r="E169" s="17"/>
      <c r="F169" s="17"/>
      <c r="G169" s="17"/>
    </row>
    <row r="170" spans="1:10" x14ac:dyDescent="0.25">
      <c r="A170" s="18"/>
      <c r="B170" s="26" t="s">
        <v>53</v>
      </c>
      <c r="C170" s="18"/>
      <c r="D170" s="18"/>
      <c r="E170" s="18"/>
      <c r="F170" s="18"/>
      <c r="G170" s="18"/>
    </row>
    <row r="171" spans="1:10" x14ac:dyDescent="0.25">
      <c r="A171" s="18"/>
      <c r="B171" s="27" t="s">
        <v>11</v>
      </c>
      <c r="C171" s="2"/>
      <c r="D171" s="2"/>
      <c r="E171" s="2"/>
      <c r="F171" s="2"/>
      <c r="G171" s="2"/>
    </row>
    <row r="172" spans="1:10" x14ac:dyDescent="0.25">
      <c r="A172" s="18"/>
      <c r="B172" s="4" t="s">
        <v>58</v>
      </c>
      <c r="C172" s="2">
        <v>320000</v>
      </c>
      <c r="D172" s="2">
        <v>320000</v>
      </c>
      <c r="E172" s="2">
        <f>16993+74825.49+65490.16+14605.54+162894.26+4994.81</f>
        <v>339803.26000000007</v>
      </c>
      <c r="F172" s="2">
        <f t="shared" ref="F172:F194" si="4">C172-E172</f>
        <v>-19803.260000000068</v>
      </c>
      <c r="G172" s="2">
        <f t="shared" ref="G172:G194" si="5">D172-E172</f>
        <v>-19803.260000000068</v>
      </c>
    </row>
    <row r="173" spans="1:10" x14ac:dyDescent="0.25">
      <c r="A173" s="18"/>
      <c r="B173" s="4" t="s">
        <v>59</v>
      </c>
      <c r="C173" s="2">
        <v>1000000</v>
      </c>
      <c r="D173" s="2">
        <v>1000000</v>
      </c>
      <c r="E173" s="2">
        <f>122000+120000+120000+120000+120000+120000+118000+118000+115544+133044</f>
        <v>1206588</v>
      </c>
      <c r="F173" s="2">
        <f t="shared" si="4"/>
        <v>-206588</v>
      </c>
      <c r="G173" s="2">
        <f t="shared" si="5"/>
        <v>-206588</v>
      </c>
      <c r="I173" s="14">
        <f>E173*12</f>
        <v>14479056</v>
      </c>
    </row>
    <row r="174" spans="1:10" x14ac:dyDescent="0.25">
      <c r="A174" s="18"/>
      <c r="B174" s="27" t="s">
        <v>12</v>
      </c>
      <c r="C174" s="2"/>
      <c r="D174" s="2"/>
      <c r="E174" s="2"/>
      <c r="F174" s="2">
        <f t="shared" si="4"/>
        <v>0</v>
      </c>
      <c r="G174" s="2">
        <f t="shared" si="5"/>
        <v>0</v>
      </c>
    </row>
    <row r="175" spans="1:10" x14ac:dyDescent="0.25">
      <c r="A175" s="18"/>
      <c r="B175" s="4" t="s">
        <v>54</v>
      </c>
      <c r="C175" s="2">
        <v>2419990.09</v>
      </c>
      <c r="D175" s="2">
        <v>2419990.09</v>
      </c>
      <c r="E175" s="2">
        <f>78500+434768.95+5950+4083.08+3358.6+554500</f>
        <v>1081160.6299999999</v>
      </c>
      <c r="F175" s="2">
        <f t="shared" si="4"/>
        <v>1338829.46</v>
      </c>
      <c r="G175" s="2">
        <f t="shared" si="5"/>
        <v>1338829.46</v>
      </c>
      <c r="I175" s="14">
        <f>C175/4</f>
        <v>604997.52249999996</v>
      </c>
    </row>
    <row r="176" spans="1:10" x14ac:dyDescent="0.25">
      <c r="A176" s="18"/>
      <c r="B176" s="4" t="s">
        <v>55</v>
      </c>
      <c r="C176" s="2">
        <v>15000</v>
      </c>
      <c r="D176" s="2">
        <v>15000</v>
      </c>
      <c r="E176" s="2"/>
      <c r="F176" s="2">
        <f t="shared" si="4"/>
        <v>15000</v>
      </c>
      <c r="G176" s="2">
        <f t="shared" si="5"/>
        <v>15000</v>
      </c>
    </row>
    <row r="177" spans="1:7" x14ac:dyDescent="0.25">
      <c r="A177" s="18"/>
      <c r="B177" s="4" t="s">
        <v>56</v>
      </c>
      <c r="C177" s="2">
        <v>20000</v>
      </c>
      <c r="D177" s="2">
        <v>20000</v>
      </c>
      <c r="E177" s="2"/>
      <c r="F177" s="2">
        <f t="shared" si="4"/>
        <v>20000</v>
      </c>
      <c r="G177" s="2">
        <f t="shared" si="5"/>
        <v>20000</v>
      </c>
    </row>
    <row r="178" spans="1:7" x14ac:dyDescent="0.25">
      <c r="A178" s="18"/>
      <c r="B178" s="4" t="s">
        <v>160</v>
      </c>
      <c r="C178" s="2">
        <v>2419990.09</v>
      </c>
      <c r="D178" s="2">
        <v>2419990.09</v>
      </c>
      <c r="E178" s="2">
        <v>819302</v>
      </c>
      <c r="F178" s="2">
        <f t="shared" si="4"/>
        <v>1600688.0899999999</v>
      </c>
      <c r="G178" s="2">
        <f t="shared" si="5"/>
        <v>1600688.0899999999</v>
      </c>
    </row>
    <row r="179" spans="1:7" x14ac:dyDescent="0.25">
      <c r="A179" s="18"/>
      <c r="B179" s="4" t="s">
        <v>161</v>
      </c>
      <c r="C179" s="2">
        <v>483998.02</v>
      </c>
      <c r="D179" s="2">
        <v>483998.02</v>
      </c>
      <c r="E179" s="2">
        <v>148627.5</v>
      </c>
      <c r="F179" s="2">
        <f t="shared" si="4"/>
        <v>335370.52</v>
      </c>
      <c r="G179" s="2">
        <f t="shared" si="5"/>
        <v>335370.52</v>
      </c>
    </row>
    <row r="180" spans="1:7" x14ac:dyDescent="0.25">
      <c r="A180" s="18"/>
      <c r="B180" s="55" t="s">
        <v>162</v>
      </c>
      <c r="C180" s="2">
        <v>412021.38</v>
      </c>
      <c r="D180" s="2">
        <v>412021.38</v>
      </c>
      <c r="E180" s="2"/>
      <c r="F180" s="2">
        <f t="shared" si="4"/>
        <v>412021.38</v>
      </c>
      <c r="G180" s="2">
        <f t="shared" si="5"/>
        <v>412021.38</v>
      </c>
    </row>
    <row r="181" spans="1:7" x14ac:dyDescent="0.25">
      <c r="A181" s="18"/>
      <c r="B181" s="55" t="s">
        <v>225</v>
      </c>
      <c r="C181" s="2"/>
      <c r="D181" s="2"/>
      <c r="E181" s="2"/>
      <c r="F181" s="2"/>
      <c r="G181" s="2"/>
    </row>
    <row r="182" spans="1:7" x14ac:dyDescent="0.25">
      <c r="A182" s="18"/>
      <c r="B182" s="82" t="s">
        <v>226</v>
      </c>
      <c r="C182" s="2">
        <v>10000</v>
      </c>
      <c r="D182" s="2">
        <v>10000</v>
      </c>
      <c r="E182" s="2"/>
      <c r="F182" s="2">
        <f t="shared" si="4"/>
        <v>10000</v>
      </c>
      <c r="G182" s="2">
        <f t="shared" si="5"/>
        <v>10000</v>
      </c>
    </row>
    <row r="183" spans="1:7" x14ac:dyDescent="0.25">
      <c r="A183" s="18"/>
      <c r="B183" s="55" t="s">
        <v>227</v>
      </c>
      <c r="C183" s="2">
        <v>10000</v>
      </c>
      <c r="D183" s="2">
        <v>10000</v>
      </c>
      <c r="E183" s="2"/>
      <c r="F183" s="2">
        <f t="shared" si="4"/>
        <v>10000</v>
      </c>
      <c r="G183" s="2">
        <f t="shared" si="5"/>
        <v>10000</v>
      </c>
    </row>
    <row r="184" spans="1:7" x14ac:dyDescent="0.25">
      <c r="A184" s="18"/>
      <c r="B184" s="4" t="s">
        <v>228</v>
      </c>
      <c r="C184" s="2">
        <v>100000</v>
      </c>
      <c r="D184" s="2">
        <v>100000</v>
      </c>
      <c r="E184" s="2"/>
      <c r="F184" s="2">
        <f t="shared" si="4"/>
        <v>100000</v>
      </c>
      <c r="G184" s="2">
        <f t="shared" si="5"/>
        <v>100000</v>
      </c>
    </row>
    <row r="185" spans="1:7" x14ac:dyDescent="0.25">
      <c r="A185" s="18"/>
      <c r="B185" s="4" t="s">
        <v>229</v>
      </c>
      <c r="C185" s="2">
        <v>300000</v>
      </c>
      <c r="D185" s="2">
        <v>300000</v>
      </c>
      <c r="E185" s="2">
        <f>74000+13819+86641+41775+11100+13473.75</f>
        <v>240808.75</v>
      </c>
      <c r="F185" s="2">
        <f t="shared" si="4"/>
        <v>59191.25</v>
      </c>
      <c r="G185" s="2">
        <f t="shared" si="5"/>
        <v>59191.25</v>
      </c>
    </row>
    <row r="186" spans="1:7" x14ac:dyDescent="0.25">
      <c r="A186" s="18"/>
      <c r="B186" s="4" t="s">
        <v>105</v>
      </c>
      <c r="C186" s="2">
        <v>150000</v>
      </c>
      <c r="D186" s="2">
        <v>150000</v>
      </c>
      <c r="E186" s="2">
        <f>47995+3850</f>
        <v>51845</v>
      </c>
      <c r="F186" s="2">
        <f t="shared" si="4"/>
        <v>98155</v>
      </c>
      <c r="G186" s="2">
        <f t="shared" si="5"/>
        <v>98155</v>
      </c>
    </row>
    <row r="187" spans="1:7" x14ac:dyDescent="0.25">
      <c r="A187" s="18"/>
      <c r="B187" s="27" t="s">
        <v>13</v>
      </c>
      <c r="C187" s="2"/>
      <c r="D187" s="2"/>
      <c r="E187" s="2"/>
      <c r="F187" s="2">
        <f t="shared" si="4"/>
        <v>0</v>
      </c>
      <c r="G187" s="2">
        <f t="shared" si="5"/>
        <v>0</v>
      </c>
    </row>
    <row r="188" spans="1:7" x14ac:dyDescent="0.25">
      <c r="A188" s="18"/>
      <c r="B188" s="4" t="s">
        <v>62</v>
      </c>
      <c r="C188" s="2"/>
      <c r="D188" s="2"/>
      <c r="E188" s="2"/>
      <c r="F188" s="2">
        <f t="shared" si="4"/>
        <v>0</v>
      </c>
      <c r="G188" s="2">
        <f t="shared" si="5"/>
        <v>0</v>
      </c>
    </row>
    <row r="189" spans="1:7" x14ac:dyDescent="0.25">
      <c r="A189" s="18"/>
      <c r="B189" s="83" t="s">
        <v>254</v>
      </c>
      <c r="C189" s="2">
        <v>500000</v>
      </c>
      <c r="D189" s="2">
        <v>500000</v>
      </c>
      <c r="E189" s="2">
        <v>500000</v>
      </c>
      <c r="F189" s="2">
        <f t="shared" si="4"/>
        <v>0</v>
      </c>
      <c r="G189" s="2">
        <f t="shared" si="5"/>
        <v>0</v>
      </c>
    </row>
    <row r="190" spans="1:7" x14ac:dyDescent="0.25">
      <c r="A190" s="18"/>
      <c r="B190" s="88" t="s">
        <v>231</v>
      </c>
      <c r="C190" s="85"/>
      <c r="D190" s="85"/>
      <c r="E190" s="2"/>
      <c r="F190" s="2"/>
      <c r="G190" s="2"/>
    </row>
    <row r="191" spans="1:7" x14ac:dyDescent="0.25">
      <c r="A191" s="18"/>
      <c r="B191" s="89" t="s">
        <v>232</v>
      </c>
      <c r="C191" s="85">
        <f>2000000-500000</f>
        <v>1500000</v>
      </c>
      <c r="D191" s="85">
        <f>2000000-500000</f>
        <v>1500000</v>
      </c>
      <c r="E191" s="85">
        <f>644135+285846+127080</f>
        <v>1057061</v>
      </c>
      <c r="F191" s="85">
        <f t="shared" si="4"/>
        <v>442939</v>
      </c>
      <c r="G191" s="85">
        <f t="shared" si="5"/>
        <v>442939</v>
      </c>
    </row>
    <row r="192" spans="1:7" x14ac:dyDescent="0.25">
      <c r="A192" s="18"/>
      <c r="B192" s="88" t="s">
        <v>233</v>
      </c>
      <c r="C192" s="85">
        <v>0</v>
      </c>
      <c r="D192" s="85">
        <v>0</v>
      </c>
      <c r="E192" s="2"/>
      <c r="F192" s="2">
        <f t="shared" si="4"/>
        <v>0</v>
      </c>
      <c r="G192" s="2">
        <f t="shared" si="5"/>
        <v>0</v>
      </c>
    </row>
    <row r="193" spans="1:12" x14ac:dyDescent="0.25">
      <c r="A193" s="18"/>
      <c r="B193" s="86" t="s">
        <v>246</v>
      </c>
      <c r="C193" s="87">
        <f>500000+100000</f>
        <v>600000</v>
      </c>
      <c r="D193" s="87">
        <f>500000+100000</f>
        <v>600000</v>
      </c>
      <c r="E193" s="87">
        <v>171367.11</v>
      </c>
      <c r="F193" s="87">
        <f t="shared" si="4"/>
        <v>428632.89</v>
      </c>
      <c r="G193" s="87">
        <f t="shared" si="5"/>
        <v>428632.89</v>
      </c>
    </row>
    <row r="194" spans="1:12" x14ac:dyDescent="0.25">
      <c r="A194" s="18"/>
      <c r="B194" s="90" t="s">
        <v>245</v>
      </c>
      <c r="C194" s="87">
        <v>20000</v>
      </c>
      <c r="D194" s="87">
        <v>20000</v>
      </c>
      <c r="E194" s="87"/>
      <c r="F194" s="87">
        <f t="shared" si="4"/>
        <v>20000</v>
      </c>
      <c r="G194" s="87">
        <f t="shared" si="5"/>
        <v>20000</v>
      </c>
    </row>
    <row r="195" spans="1:12" x14ac:dyDescent="0.25">
      <c r="A195" s="18"/>
      <c r="B195" s="4"/>
      <c r="C195" s="2"/>
      <c r="D195" s="2"/>
      <c r="E195" s="2"/>
      <c r="F195" s="2"/>
      <c r="G195" s="2"/>
    </row>
    <row r="196" spans="1:12" x14ac:dyDescent="0.25">
      <c r="A196" s="18"/>
      <c r="B196" s="4"/>
      <c r="C196" s="2"/>
      <c r="D196" s="2"/>
      <c r="E196" s="2"/>
      <c r="F196" s="2"/>
      <c r="G196" s="2"/>
    </row>
    <row r="197" spans="1:12" x14ac:dyDescent="0.25">
      <c r="A197" s="18"/>
      <c r="B197" s="39" t="s">
        <v>27</v>
      </c>
      <c r="C197" s="8">
        <f>SUM(C172:C196)</f>
        <v>10280999.579999998</v>
      </c>
      <c r="D197" s="8">
        <f>SUM(D172:D196)</f>
        <v>10280999.579999998</v>
      </c>
      <c r="E197" s="8">
        <f>SUM(E172:E196)</f>
        <v>5616563.25</v>
      </c>
      <c r="F197" s="8">
        <f>SUM(F172:F196)</f>
        <v>4664436.3299999991</v>
      </c>
      <c r="G197" s="8">
        <f>SUM(G172:G196)</f>
        <v>4664436.3299999991</v>
      </c>
    </row>
    <row r="198" spans="1:12" ht="15.75" thickBot="1" x14ac:dyDescent="0.3">
      <c r="A198" s="40"/>
      <c r="B198" s="41" t="s">
        <v>64</v>
      </c>
      <c r="C198" s="20">
        <f>C197+C157+C115+C108+C101+C94+C87+C80+C73+C57+C50+C43+C36+C29+C22+C15</f>
        <v>48399801.709999993</v>
      </c>
      <c r="D198" s="20">
        <f>D197+D157+D115+D108+D101+D94+D87+D80+D73+D57+D50+D43+D36+D29+D22+D15</f>
        <v>48399801.709999993</v>
      </c>
      <c r="E198" s="20">
        <f>E197+E157+E115+E108+E101+E94+E87+E80+E73+E57+E50+E43+E36+E29+E22+E15</f>
        <v>38166364.279999994</v>
      </c>
      <c r="F198" s="20">
        <f>F197+F157+F115+F108+F101+F94+F87+F80+F73+F57+F50+F43+F36+F29+F22+F15</f>
        <v>10233437.430000002</v>
      </c>
      <c r="G198" s="20">
        <f>G197+G157+G115+G108+G101+G94+G87+G80+G73+G57+G50+G43+G36+G29+G22+G15</f>
        <v>10233437.430000002</v>
      </c>
    </row>
    <row r="199" spans="1:12" ht="15.75" thickTop="1" x14ac:dyDescent="0.25">
      <c r="C199" s="12"/>
      <c r="D199" s="12"/>
      <c r="E199" s="12"/>
      <c r="F199" s="12"/>
      <c r="G199" s="12"/>
    </row>
    <row r="200" spans="1:12" x14ac:dyDescent="0.25">
      <c r="B200" s="13" t="s">
        <v>65</v>
      </c>
      <c r="C200" s="12"/>
      <c r="D200" s="12">
        <f>D11+D18+D25+D32+D39+D46+D53+D69+D76+D83+D90+D97+D104</f>
        <v>24336018.559999999</v>
      </c>
      <c r="F200" s="12"/>
      <c r="G200" s="12"/>
    </row>
    <row r="201" spans="1:12" x14ac:dyDescent="0.25">
      <c r="C201" s="12"/>
      <c r="D201" s="12"/>
      <c r="E201" s="12"/>
      <c r="F201" s="12"/>
      <c r="G201" s="12"/>
    </row>
    <row r="202" spans="1:12" x14ac:dyDescent="0.25">
      <c r="C202" s="12"/>
      <c r="D202" s="12"/>
      <c r="E202" s="12"/>
      <c r="F202" s="12"/>
      <c r="G202" s="12"/>
    </row>
    <row r="203" spans="1:12" x14ac:dyDescent="0.25">
      <c r="B203" s="42" t="s">
        <v>66</v>
      </c>
      <c r="C203" s="12"/>
      <c r="D203" s="12"/>
      <c r="E203" s="12"/>
      <c r="F203" s="12"/>
      <c r="G203" s="12"/>
    </row>
    <row r="204" spans="1:12" x14ac:dyDescent="0.25">
      <c r="B204" s="13" t="s">
        <v>67</v>
      </c>
      <c r="C204" s="12"/>
      <c r="D204" s="114"/>
      <c r="E204" s="114"/>
      <c r="F204" s="12"/>
      <c r="G204" s="12"/>
    </row>
    <row r="205" spans="1:12" x14ac:dyDescent="0.25">
      <c r="C205" s="12"/>
      <c r="D205" s="12"/>
      <c r="E205" s="12"/>
      <c r="F205" s="12"/>
      <c r="G205" s="12"/>
      <c r="H205" s="54">
        <v>0.8</v>
      </c>
      <c r="I205" s="12">
        <v>2159415</v>
      </c>
      <c r="L205" s="13">
        <f>20*20</f>
        <v>400</v>
      </c>
    </row>
    <row r="206" spans="1:12" x14ac:dyDescent="0.25">
      <c r="C206" s="12"/>
      <c r="D206" s="12"/>
      <c r="E206" s="12"/>
      <c r="F206" s="12"/>
      <c r="G206" s="12"/>
      <c r="H206" s="54">
        <v>0.2</v>
      </c>
      <c r="I206" s="12">
        <v>539854</v>
      </c>
      <c r="L206" s="13">
        <f>15*20</f>
        <v>300</v>
      </c>
    </row>
    <row r="207" spans="1:12" x14ac:dyDescent="0.25">
      <c r="C207" s="12"/>
      <c r="D207" s="12"/>
      <c r="E207" s="12"/>
      <c r="F207" s="12"/>
      <c r="G207" s="12"/>
      <c r="I207" s="12"/>
    </row>
    <row r="208" spans="1:12" x14ac:dyDescent="0.25">
      <c r="C208" s="53"/>
      <c r="D208" s="12"/>
      <c r="E208" s="12"/>
      <c r="F208" s="12"/>
      <c r="G208" s="12"/>
      <c r="I208" s="12"/>
      <c r="L208" s="13">
        <f>SUM(L205:L207)</f>
        <v>700</v>
      </c>
    </row>
    <row r="209" spans="2:9" x14ac:dyDescent="0.25">
      <c r="C209" s="53"/>
      <c r="D209" s="12"/>
      <c r="E209" s="12"/>
      <c r="F209" s="12"/>
      <c r="G209" s="12"/>
      <c r="I209" s="12">
        <f>SUM(I205:I208)</f>
        <v>2699269</v>
      </c>
    </row>
    <row r="210" spans="2:9" x14ac:dyDescent="0.25">
      <c r="C210" s="12"/>
      <c r="D210" s="12"/>
      <c r="E210" s="12"/>
      <c r="F210" s="12"/>
      <c r="G210" s="12"/>
      <c r="I210" s="12"/>
    </row>
    <row r="211" spans="2:9" x14ac:dyDescent="0.25">
      <c r="C211" s="12"/>
      <c r="D211" s="12"/>
      <c r="E211" s="12"/>
      <c r="F211" s="12"/>
      <c r="G211" s="12"/>
      <c r="I211" s="12"/>
    </row>
    <row r="212" spans="2:9" x14ac:dyDescent="0.25">
      <c r="C212" s="12"/>
      <c r="D212" s="12"/>
      <c r="E212" s="12"/>
      <c r="F212" s="12"/>
      <c r="G212" s="12"/>
      <c r="I212" s="12"/>
    </row>
    <row r="213" spans="2:9" x14ac:dyDescent="0.25">
      <c r="C213" s="12"/>
      <c r="D213" s="12"/>
      <c r="E213" s="12"/>
      <c r="F213" s="12"/>
      <c r="G213" s="12"/>
      <c r="I213" s="12"/>
    </row>
    <row r="214" spans="2:9" x14ac:dyDescent="0.25">
      <c r="C214" s="12"/>
      <c r="D214" s="12"/>
      <c r="E214" s="12"/>
      <c r="F214" s="12"/>
      <c r="G214" s="12"/>
      <c r="I214" s="12"/>
    </row>
    <row r="215" spans="2:9" x14ac:dyDescent="0.25">
      <c r="C215" s="12"/>
      <c r="D215" s="12"/>
      <c r="E215" s="12"/>
      <c r="F215" s="12"/>
      <c r="G215" s="12"/>
      <c r="I215" s="12"/>
    </row>
    <row r="216" spans="2:9" x14ac:dyDescent="0.25">
      <c r="C216" s="12"/>
      <c r="D216" s="12"/>
      <c r="E216" s="12"/>
      <c r="F216" s="12"/>
      <c r="G216" s="12"/>
    </row>
    <row r="217" spans="2:9" x14ac:dyDescent="0.25">
      <c r="C217" s="12"/>
      <c r="D217" s="12"/>
      <c r="E217" s="12"/>
      <c r="F217" s="12"/>
      <c r="G217" s="12"/>
    </row>
    <row r="218" spans="2:9" x14ac:dyDescent="0.25">
      <c r="C218" s="12"/>
      <c r="D218" s="12"/>
      <c r="E218" s="12"/>
      <c r="F218" s="12"/>
      <c r="G218" s="12"/>
    </row>
    <row r="219" spans="2:9" x14ac:dyDescent="0.25">
      <c r="C219" s="12"/>
      <c r="D219" s="12"/>
      <c r="E219" s="12">
        <f>E206+E207</f>
        <v>0</v>
      </c>
      <c r="F219" s="12"/>
      <c r="G219" s="12"/>
    </row>
    <row r="220" spans="2:9" x14ac:dyDescent="0.25">
      <c r="C220" s="12"/>
      <c r="D220" s="12"/>
      <c r="E220" s="12"/>
      <c r="F220" s="12"/>
      <c r="G220" s="12"/>
    </row>
    <row r="221" spans="2:9" x14ac:dyDescent="0.25">
      <c r="C221" s="12"/>
      <c r="D221" s="12"/>
      <c r="E221" s="12"/>
      <c r="F221" s="12"/>
      <c r="G221" s="12"/>
    </row>
    <row r="222" spans="2:9" x14ac:dyDescent="0.25">
      <c r="C222" s="12"/>
      <c r="D222" s="12"/>
      <c r="E222" s="12"/>
      <c r="F222" s="12"/>
      <c r="G222" s="12"/>
    </row>
    <row r="223" spans="2:9" ht="18.75" x14ac:dyDescent="0.3">
      <c r="B223" s="91" t="s">
        <v>248</v>
      </c>
      <c r="C223" s="91"/>
      <c r="E223" s="12"/>
      <c r="F223" s="12"/>
      <c r="G223" s="12"/>
    </row>
    <row r="224" spans="2:9" ht="18.75" x14ac:dyDescent="0.3">
      <c r="B224" s="91" t="s">
        <v>172</v>
      </c>
      <c r="C224" s="91">
        <v>1842060.13</v>
      </c>
      <c r="E224" s="12"/>
      <c r="F224" s="12"/>
      <c r="G224" s="12"/>
    </row>
    <row r="225" spans="2:7" ht="18.75" x14ac:dyDescent="0.3">
      <c r="B225" s="91" t="s">
        <v>173</v>
      </c>
      <c r="C225" s="91">
        <v>1182356.43</v>
      </c>
      <c r="E225" s="12"/>
      <c r="F225" s="12"/>
      <c r="G225" s="12"/>
    </row>
    <row r="226" spans="2:7" ht="18.75" x14ac:dyDescent="0.3">
      <c r="B226" s="91" t="s">
        <v>249</v>
      </c>
      <c r="C226" s="91">
        <v>4141392.12</v>
      </c>
      <c r="E226" s="12"/>
      <c r="F226" s="12"/>
      <c r="G226" s="12"/>
    </row>
    <row r="227" spans="2:7" ht="19.5" thickBot="1" x14ac:dyDescent="0.35">
      <c r="B227" s="91" t="s">
        <v>250</v>
      </c>
      <c r="C227" s="92">
        <f>SUM(C224:C226)</f>
        <v>7165808.6799999997</v>
      </c>
      <c r="E227" s="12"/>
      <c r="F227" s="12"/>
      <c r="G227" s="12"/>
    </row>
    <row r="228" spans="2:7" ht="15.75" thickTop="1" x14ac:dyDescent="0.25">
      <c r="C228" s="12"/>
      <c r="D228" s="12"/>
      <c r="E228" s="12"/>
      <c r="F228" s="12"/>
      <c r="G228" s="12"/>
    </row>
    <row r="229" spans="2:7" x14ac:dyDescent="0.25">
      <c r="C229" s="12"/>
      <c r="D229" s="12"/>
      <c r="E229" s="12"/>
      <c r="F229" s="12"/>
      <c r="G229" s="12"/>
    </row>
    <row r="230" spans="2:7" x14ac:dyDescent="0.25">
      <c r="C230" s="12"/>
      <c r="D230" s="12"/>
      <c r="E230" s="12"/>
      <c r="F230" s="12"/>
      <c r="G230" s="12"/>
    </row>
    <row r="231" spans="2:7" x14ac:dyDescent="0.25">
      <c r="C231" s="12"/>
      <c r="D231" s="12"/>
      <c r="E231" s="12"/>
      <c r="F231" s="12"/>
      <c r="G231" s="12"/>
    </row>
    <row r="232" spans="2:7" x14ac:dyDescent="0.25">
      <c r="C232" s="12"/>
      <c r="D232" s="12"/>
      <c r="E232" s="12"/>
      <c r="F232" s="12"/>
      <c r="G232" s="12"/>
    </row>
    <row r="233" spans="2:7" x14ac:dyDescent="0.25">
      <c r="C233" s="12"/>
      <c r="D233" s="12"/>
      <c r="E233" s="12"/>
      <c r="F233" s="12"/>
      <c r="G233" s="12"/>
    </row>
    <row r="234" spans="2:7" x14ac:dyDescent="0.25">
      <c r="C234" s="12"/>
      <c r="D234" s="12"/>
      <c r="E234" s="12"/>
      <c r="F234" s="12"/>
      <c r="G234" s="12"/>
    </row>
    <row r="235" spans="2:7" x14ac:dyDescent="0.25">
      <c r="C235" s="12"/>
      <c r="D235" s="12"/>
      <c r="E235" s="12"/>
      <c r="F235" s="12"/>
      <c r="G235" s="12"/>
    </row>
    <row r="236" spans="2:7" x14ac:dyDescent="0.25">
      <c r="C236" s="12"/>
      <c r="D236" s="12"/>
      <c r="E236" s="12"/>
      <c r="F236" s="12"/>
      <c r="G236" s="12"/>
    </row>
    <row r="237" spans="2:7" x14ac:dyDescent="0.25">
      <c r="C237" s="12"/>
      <c r="D237" s="12"/>
      <c r="E237" s="12"/>
      <c r="F237" s="12"/>
      <c r="G237" s="12"/>
    </row>
    <row r="238" spans="2:7" x14ac:dyDescent="0.25">
      <c r="C238" s="12"/>
      <c r="D238" s="12"/>
      <c r="E238" s="12"/>
      <c r="F238" s="12"/>
      <c r="G238" s="12"/>
    </row>
    <row r="239" spans="2:7" x14ac:dyDescent="0.25">
      <c r="C239" s="12"/>
      <c r="D239" s="12"/>
      <c r="E239" s="12"/>
      <c r="F239" s="12"/>
      <c r="G239" s="12"/>
    </row>
    <row r="240" spans="2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  <row r="367" spans="3:7" x14ac:dyDescent="0.25">
      <c r="C367" s="12"/>
      <c r="D367" s="12"/>
      <c r="E367" s="12"/>
      <c r="F367" s="12"/>
      <c r="G367" s="12"/>
    </row>
    <row r="368" spans="3:7" x14ac:dyDescent="0.25">
      <c r="C368" s="12"/>
      <c r="D368" s="12"/>
      <c r="E368" s="12"/>
      <c r="F368" s="12"/>
      <c r="G368" s="12"/>
    </row>
    <row r="369" spans="3:7" x14ac:dyDescent="0.25">
      <c r="C369" s="12"/>
      <c r="D369" s="12"/>
      <c r="E369" s="12"/>
      <c r="F369" s="12"/>
      <c r="G369" s="12"/>
    </row>
    <row r="370" spans="3:7" x14ac:dyDescent="0.25">
      <c r="C370" s="12"/>
      <c r="D370" s="12"/>
      <c r="E370" s="12"/>
      <c r="F370" s="12"/>
      <c r="G370" s="12"/>
    </row>
    <row r="371" spans="3:7" x14ac:dyDescent="0.25">
      <c r="C371" s="12"/>
      <c r="D371" s="12"/>
      <c r="E371" s="12"/>
      <c r="F371" s="12"/>
      <c r="G371" s="12"/>
    </row>
    <row r="372" spans="3:7" x14ac:dyDescent="0.25">
      <c r="C372" s="12"/>
      <c r="D372" s="12"/>
      <c r="E372" s="12"/>
      <c r="F372" s="12"/>
      <c r="G372" s="12"/>
    </row>
    <row r="373" spans="3:7" x14ac:dyDescent="0.25">
      <c r="C373" s="12"/>
      <c r="D373" s="12"/>
      <c r="E373" s="12"/>
      <c r="F373" s="12"/>
      <c r="G373" s="12"/>
    </row>
  </sheetData>
  <mergeCells count="21">
    <mergeCell ref="D204:E204"/>
    <mergeCell ref="A167:A168"/>
    <mergeCell ref="B167:B168"/>
    <mergeCell ref="C167:C168"/>
    <mergeCell ref="D167:D168"/>
    <mergeCell ref="E167:E168"/>
    <mergeCell ref="A125:A126"/>
    <mergeCell ref="B125:B126"/>
    <mergeCell ref="C125:C126"/>
    <mergeCell ref="D125:D126"/>
    <mergeCell ref="E125:E126"/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</mergeCells>
  <pageMargins left="0.18" right="0.12" top="0.32" bottom="0.23" header="0.3" footer="0.3"/>
  <pageSetup scale="8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140" zoomScaleNormal="140" workbookViewId="0">
      <selection activeCell="B12" sqref="B12"/>
    </sheetView>
  </sheetViews>
  <sheetFormatPr defaultRowHeight="15" x14ac:dyDescent="0.25"/>
  <cols>
    <col min="1" max="1" width="10.42578125" customWidth="1"/>
    <col min="2" max="2" width="45.28515625" customWidth="1"/>
    <col min="3" max="3" width="20.7109375" customWidth="1"/>
    <col min="4" max="4" width="16.5703125" customWidth="1"/>
    <col min="5" max="5" width="13.28515625" bestFit="1" customWidth="1"/>
    <col min="6" max="6" width="11.7109375" customWidth="1"/>
    <col min="7" max="7" width="13.28515625" bestFit="1" customWidth="1"/>
  </cols>
  <sheetData>
    <row r="1" spans="1:11" x14ac:dyDescent="0.25">
      <c r="A1" s="13"/>
      <c r="B1" s="34"/>
      <c r="C1" s="10"/>
      <c r="D1" s="10"/>
      <c r="E1" s="13"/>
      <c r="F1" s="10"/>
      <c r="G1" s="10"/>
      <c r="I1">
        <v>8000</v>
      </c>
      <c r="K1">
        <v>500</v>
      </c>
    </row>
    <row r="2" spans="1:11" x14ac:dyDescent="0.25">
      <c r="A2" s="13"/>
      <c r="B2" s="34"/>
      <c r="C2" s="10"/>
      <c r="D2" s="10"/>
      <c r="E2" s="10"/>
      <c r="F2" s="10"/>
      <c r="G2" s="10"/>
      <c r="I2">
        <v>500</v>
      </c>
      <c r="K2">
        <v>2000</v>
      </c>
    </row>
    <row r="3" spans="1:11" x14ac:dyDescent="0.25">
      <c r="A3" s="13"/>
      <c r="B3" s="34"/>
      <c r="C3" s="10"/>
      <c r="D3" s="10"/>
      <c r="E3" s="10"/>
      <c r="F3" s="10"/>
      <c r="G3" s="10"/>
      <c r="I3">
        <v>1800</v>
      </c>
      <c r="K3">
        <v>2000</v>
      </c>
    </row>
    <row r="4" spans="1:11" ht="21" x14ac:dyDescent="0.35">
      <c r="A4" s="123" t="s">
        <v>221</v>
      </c>
      <c r="B4" s="123"/>
      <c r="C4" s="123"/>
      <c r="D4" s="123"/>
      <c r="E4" s="10"/>
      <c r="F4" s="10"/>
      <c r="G4" s="10"/>
      <c r="I4">
        <v>1000</v>
      </c>
      <c r="K4">
        <v>2000</v>
      </c>
    </row>
    <row r="5" spans="1:11" x14ac:dyDescent="0.25">
      <c r="A5" s="33"/>
      <c r="B5" s="34"/>
      <c r="C5" s="10"/>
      <c r="D5" s="10"/>
      <c r="E5" s="10"/>
      <c r="F5" s="10"/>
      <c r="G5" s="10"/>
      <c r="I5">
        <f>SUM(I1:I4)</f>
        <v>11300</v>
      </c>
      <c r="K5">
        <v>2000</v>
      </c>
    </row>
    <row r="6" spans="1:11" ht="15" customHeight="1" x14ac:dyDescent="0.25">
      <c r="A6" s="119" t="s">
        <v>3</v>
      </c>
      <c r="B6" s="119" t="s">
        <v>4</v>
      </c>
      <c r="C6" s="121" t="s">
        <v>5</v>
      </c>
      <c r="D6" s="122"/>
      <c r="E6" s="115" t="s">
        <v>7</v>
      </c>
      <c r="F6" s="15" t="s">
        <v>8</v>
      </c>
      <c r="G6" s="15" t="s">
        <v>8</v>
      </c>
      <c r="K6">
        <f>SUM(K1:K5)</f>
        <v>8500</v>
      </c>
    </row>
    <row r="7" spans="1:11" ht="15" customHeight="1" x14ac:dyDescent="0.25">
      <c r="A7" s="120"/>
      <c r="B7" s="120"/>
      <c r="C7" s="78">
        <v>2014</v>
      </c>
      <c r="D7" s="78">
        <v>2015</v>
      </c>
      <c r="E7" s="116"/>
      <c r="F7" s="16" t="s">
        <v>5</v>
      </c>
      <c r="G7" s="16" t="s">
        <v>6</v>
      </c>
    </row>
    <row r="8" spans="1:11" ht="18.75" x14ac:dyDescent="0.3">
      <c r="A8" s="61"/>
      <c r="B8" s="61"/>
      <c r="C8" s="62"/>
      <c r="D8" s="19"/>
      <c r="E8" s="19"/>
      <c r="F8" s="19"/>
      <c r="G8" s="19"/>
    </row>
    <row r="9" spans="1:11" ht="18.75" x14ac:dyDescent="0.3">
      <c r="A9" s="63" t="s">
        <v>29</v>
      </c>
      <c r="B9" s="63" t="s">
        <v>38</v>
      </c>
      <c r="C9" s="64">
        <v>38596</v>
      </c>
      <c r="D9" s="64">
        <v>67003.399999999994</v>
      </c>
      <c r="E9" s="2"/>
      <c r="F9" s="2"/>
      <c r="G9" s="56"/>
      <c r="K9">
        <f>I5-K6</f>
        <v>2800</v>
      </c>
    </row>
    <row r="10" spans="1:11" ht="18.75" x14ac:dyDescent="0.3">
      <c r="A10" s="63"/>
      <c r="B10" s="63" t="s">
        <v>35</v>
      </c>
      <c r="C10" s="64">
        <v>430000</v>
      </c>
      <c r="D10" s="64">
        <v>430000</v>
      </c>
      <c r="E10" s="2"/>
      <c r="F10" s="2"/>
      <c r="G10" s="56"/>
    </row>
    <row r="11" spans="1:11" ht="18.75" x14ac:dyDescent="0.3">
      <c r="A11" s="63"/>
      <c r="B11" s="63" t="s">
        <v>88</v>
      </c>
      <c r="C11" s="64">
        <v>120000</v>
      </c>
      <c r="D11" s="64">
        <v>120000</v>
      </c>
      <c r="E11" s="2"/>
      <c r="F11" s="2"/>
      <c r="G11" s="56"/>
    </row>
    <row r="12" spans="1:11" ht="18.75" x14ac:dyDescent="0.3">
      <c r="A12" s="63"/>
      <c r="B12" s="63" t="s">
        <v>92</v>
      </c>
      <c r="C12" s="64">
        <v>300000</v>
      </c>
      <c r="D12" s="64">
        <v>300000</v>
      </c>
      <c r="E12" s="2"/>
      <c r="F12" s="2"/>
      <c r="G12" s="56"/>
    </row>
    <row r="13" spans="1:11" ht="18.75" x14ac:dyDescent="0.3">
      <c r="A13" s="63"/>
      <c r="B13" s="63" t="s">
        <v>166</v>
      </c>
      <c r="C13" s="64">
        <v>200000</v>
      </c>
      <c r="D13" s="64">
        <v>200000</v>
      </c>
      <c r="E13" s="2"/>
      <c r="F13" s="2"/>
      <c r="G13" s="56"/>
    </row>
    <row r="14" spans="1:11" ht="18.75" x14ac:dyDescent="0.3">
      <c r="A14" s="63"/>
      <c r="B14" s="63" t="s">
        <v>216</v>
      </c>
      <c r="C14" s="64"/>
      <c r="D14" s="64">
        <v>1250000</v>
      </c>
      <c r="E14" s="2"/>
      <c r="F14" s="2"/>
      <c r="G14" s="56"/>
    </row>
    <row r="15" spans="1:11" ht="18.75" x14ac:dyDescent="0.3">
      <c r="A15" s="63"/>
      <c r="B15" s="63" t="s">
        <v>143</v>
      </c>
      <c r="C15" s="64">
        <v>145000</v>
      </c>
      <c r="D15" s="64">
        <v>145000</v>
      </c>
      <c r="E15" s="2"/>
      <c r="F15" s="2"/>
      <c r="G15" s="56"/>
    </row>
    <row r="16" spans="1:11" ht="18.75" x14ac:dyDescent="0.3">
      <c r="A16" s="63"/>
      <c r="B16" s="63" t="s">
        <v>90</v>
      </c>
      <c r="C16" s="64">
        <v>120000</v>
      </c>
      <c r="D16" s="64">
        <v>120000</v>
      </c>
      <c r="E16" s="2"/>
      <c r="F16" s="2"/>
      <c r="G16" s="56"/>
    </row>
    <row r="17" spans="1:7" ht="18.75" x14ac:dyDescent="0.3">
      <c r="A17" s="63"/>
      <c r="B17" s="66" t="s">
        <v>164</v>
      </c>
      <c r="C17" s="64">
        <v>75000</v>
      </c>
      <c r="D17" s="64">
        <v>75000</v>
      </c>
      <c r="E17" s="2"/>
      <c r="F17" s="2"/>
      <c r="G17" s="56"/>
    </row>
    <row r="18" spans="1:7" ht="18.75" x14ac:dyDescent="0.3">
      <c r="A18" s="63"/>
      <c r="B18" s="63" t="s">
        <v>102</v>
      </c>
      <c r="C18" s="64">
        <v>1500000</v>
      </c>
      <c r="D18" s="64">
        <v>2000000</v>
      </c>
      <c r="E18" s="2"/>
      <c r="F18" s="2"/>
      <c r="G18" s="56"/>
    </row>
    <row r="19" spans="1:7" ht="18.75" x14ac:dyDescent="0.3">
      <c r="A19" s="63"/>
      <c r="B19" s="63" t="s">
        <v>215</v>
      </c>
      <c r="C19" s="64">
        <v>100000</v>
      </c>
      <c r="D19" s="64"/>
      <c r="E19" s="2"/>
      <c r="F19" s="2"/>
      <c r="G19" s="56"/>
    </row>
    <row r="20" spans="1:7" ht="18.75" x14ac:dyDescent="0.3">
      <c r="A20" s="63"/>
      <c r="B20" s="63" t="s">
        <v>33</v>
      </c>
      <c r="C20" s="64">
        <v>150000</v>
      </c>
      <c r="D20" s="64">
        <v>150000</v>
      </c>
      <c r="E20" s="2"/>
      <c r="F20" s="2"/>
      <c r="G20" s="56"/>
    </row>
    <row r="21" spans="1:7" ht="18.75" x14ac:dyDescent="0.3">
      <c r="A21" s="63"/>
      <c r="B21" s="66" t="s">
        <v>144</v>
      </c>
      <c r="C21" s="64">
        <v>70000</v>
      </c>
      <c r="D21" s="64">
        <v>70000</v>
      </c>
      <c r="E21" s="2"/>
      <c r="F21" s="2"/>
      <c r="G21" s="56"/>
    </row>
    <row r="22" spans="1:7" ht="18.75" x14ac:dyDescent="0.3">
      <c r="A22" s="63"/>
      <c r="B22" s="63" t="s">
        <v>145</v>
      </c>
      <c r="C22" s="64">
        <v>300000</v>
      </c>
      <c r="D22" s="64">
        <v>400000</v>
      </c>
      <c r="E22" s="2"/>
      <c r="F22" s="2"/>
      <c r="G22" s="56"/>
    </row>
    <row r="23" spans="1:7" ht="18.75" x14ac:dyDescent="0.3">
      <c r="A23" s="63"/>
      <c r="B23" s="63" t="s">
        <v>146</v>
      </c>
      <c r="C23" s="64">
        <v>20000</v>
      </c>
      <c r="D23" s="64">
        <v>20000</v>
      </c>
      <c r="E23" s="2"/>
      <c r="F23" s="2"/>
      <c r="G23" s="56"/>
    </row>
    <row r="24" spans="1:7" ht="18.75" x14ac:dyDescent="0.3">
      <c r="A24" s="63"/>
      <c r="B24" s="63" t="s">
        <v>94</v>
      </c>
      <c r="C24" s="64">
        <v>15000</v>
      </c>
      <c r="D24" s="64">
        <v>15000</v>
      </c>
      <c r="E24" s="2"/>
      <c r="F24" s="2"/>
      <c r="G24" s="56"/>
    </row>
    <row r="25" spans="1:7" ht="18.75" x14ac:dyDescent="0.3">
      <c r="A25" s="63"/>
      <c r="B25" s="63" t="s">
        <v>51</v>
      </c>
      <c r="C25" s="64">
        <v>750000</v>
      </c>
      <c r="D25" s="64">
        <v>750000</v>
      </c>
      <c r="E25" s="2"/>
      <c r="F25" s="2"/>
      <c r="G25" s="56"/>
    </row>
    <row r="26" spans="1:7" ht="18.75" x14ac:dyDescent="0.3">
      <c r="A26" s="63"/>
      <c r="B26" s="63" t="s">
        <v>52</v>
      </c>
      <c r="C26" s="64">
        <v>50000</v>
      </c>
      <c r="D26" s="64">
        <v>50000</v>
      </c>
      <c r="E26" s="2"/>
      <c r="F26" s="2"/>
      <c r="G26" s="56"/>
    </row>
    <row r="27" spans="1:7" ht="18.75" x14ac:dyDescent="0.3">
      <c r="A27" s="63"/>
      <c r="B27" s="63" t="s">
        <v>209</v>
      </c>
      <c r="C27" s="64">
        <v>455427.6</v>
      </c>
      <c r="D27" s="64"/>
      <c r="E27" s="2"/>
      <c r="F27" s="2"/>
      <c r="G27" s="56"/>
    </row>
    <row r="28" spans="1:7" ht="18.75" x14ac:dyDescent="0.3">
      <c r="A28" s="63"/>
      <c r="B28" s="63" t="s">
        <v>210</v>
      </c>
      <c r="C28" s="64">
        <v>1200000</v>
      </c>
      <c r="D28" s="64">
        <v>1000000</v>
      </c>
      <c r="E28" s="2"/>
      <c r="F28" s="2"/>
      <c r="G28" s="56"/>
    </row>
    <row r="29" spans="1:7" ht="18.75" x14ac:dyDescent="0.3">
      <c r="A29" s="63"/>
      <c r="B29" s="63" t="s">
        <v>211</v>
      </c>
      <c r="C29" s="64">
        <v>500000</v>
      </c>
      <c r="D29" s="64">
        <v>300000</v>
      </c>
      <c r="E29" s="2"/>
      <c r="F29" s="2"/>
      <c r="G29" s="56"/>
    </row>
    <row r="30" spans="1:7" ht="18.75" x14ac:dyDescent="0.3">
      <c r="A30" s="63"/>
      <c r="B30" s="63" t="s">
        <v>212</v>
      </c>
      <c r="C30" s="64">
        <v>300000</v>
      </c>
      <c r="D30" s="64">
        <v>500000</v>
      </c>
      <c r="E30" s="2"/>
      <c r="F30" s="2"/>
      <c r="G30" s="56"/>
    </row>
    <row r="31" spans="1:7" ht="18.75" x14ac:dyDescent="0.3">
      <c r="A31" s="63"/>
      <c r="B31" s="63" t="s">
        <v>213</v>
      </c>
      <c r="C31" s="64">
        <v>375000</v>
      </c>
      <c r="D31" s="64">
        <v>425000</v>
      </c>
      <c r="E31" s="2"/>
      <c r="F31" s="2"/>
      <c r="G31" s="56"/>
    </row>
    <row r="32" spans="1:7" ht="18.75" x14ac:dyDescent="0.3">
      <c r="A32" s="63"/>
      <c r="B32" s="63" t="s">
        <v>214</v>
      </c>
      <c r="C32" s="64">
        <v>250000</v>
      </c>
      <c r="D32" s="64">
        <v>250000</v>
      </c>
      <c r="E32" s="2"/>
      <c r="F32" s="2"/>
      <c r="G32" s="56"/>
    </row>
    <row r="33" spans="1:7" ht="18.75" x14ac:dyDescent="0.3">
      <c r="A33" s="63"/>
      <c r="B33" s="63" t="s">
        <v>96</v>
      </c>
      <c r="C33" s="64">
        <v>776404</v>
      </c>
      <c r="D33" s="64">
        <v>776404</v>
      </c>
      <c r="E33" s="2"/>
      <c r="F33" s="2"/>
      <c r="G33" s="56"/>
    </row>
    <row r="34" spans="1:7" ht="18.75" x14ac:dyDescent="0.3">
      <c r="A34" s="67"/>
      <c r="B34" s="67"/>
      <c r="C34" s="68"/>
      <c r="D34" s="68"/>
      <c r="E34" s="6"/>
      <c r="F34" s="2"/>
      <c r="G34" s="56"/>
    </row>
    <row r="35" spans="1:7" ht="18.75" x14ac:dyDescent="0.3">
      <c r="A35" s="69"/>
      <c r="B35" s="70" t="s">
        <v>27</v>
      </c>
      <c r="C35" s="71">
        <f>SUM(C9:C34)</f>
        <v>8240427.5999999996</v>
      </c>
      <c r="D35" s="71">
        <f>SUM(D9:D34)</f>
        <v>9413407.4000000004</v>
      </c>
      <c r="E35" s="8">
        <f>SUM(E9:E34)</f>
        <v>0</v>
      </c>
      <c r="F35" s="8">
        <f>SUM(F9:F34)</f>
        <v>0</v>
      </c>
      <c r="G35" s="57">
        <f>SUM(G9:G34)</f>
        <v>0</v>
      </c>
    </row>
    <row r="37" spans="1:7" x14ac:dyDescent="0.25">
      <c r="A37" s="80" t="s">
        <v>65</v>
      </c>
    </row>
    <row r="38" spans="1:7" x14ac:dyDescent="0.25">
      <c r="A38" s="80"/>
    </row>
    <row r="39" spans="1:7" x14ac:dyDescent="0.25">
      <c r="A39" s="80"/>
    </row>
    <row r="40" spans="1:7" x14ac:dyDescent="0.25">
      <c r="A40" s="81" t="s">
        <v>217</v>
      </c>
    </row>
    <row r="41" spans="1:7" x14ac:dyDescent="0.25">
      <c r="A41" s="81" t="s">
        <v>218</v>
      </c>
    </row>
    <row r="42" spans="1:7" x14ac:dyDescent="0.25">
      <c r="C42" t="s">
        <v>219</v>
      </c>
    </row>
    <row r="45" spans="1:7" x14ac:dyDescent="0.25">
      <c r="C45" s="79" t="s">
        <v>128</v>
      </c>
    </row>
    <row r="46" spans="1:7" x14ac:dyDescent="0.25">
      <c r="C46" s="79" t="s">
        <v>129</v>
      </c>
    </row>
    <row r="47" spans="1:7" x14ac:dyDescent="0.25">
      <c r="C47" s="79" t="s">
        <v>220</v>
      </c>
    </row>
  </sheetData>
  <mergeCells count="5">
    <mergeCell ref="A6:A7"/>
    <mergeCell ref="B6:B7"/>
    <mergeCell ref="E6:E7"/>
    <mergeCell ref="C6:D6"/>
    <mergeCell ref="A4:D4"/>
  </mergeCells>
  <pageMargins left="0.56000000000000005" right="0.59" top="0.28000000000000003" bottom="0.2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4"/>
  <sheetViews>
    <sheetView topLeftCell="A332" zoomScale="140" zoomScaleNormal="140" workbookViewId="0">
      <selection activeCell="A332" sqref="A332"/>
    </sheetView>
  </sheetViews>
  <sheetFormatPr defaultRowHeight="15" x14ac:dyDescent="0.25"/>
  <cols>
    <col min="1" max="1" width="43.140625" style="13" customWidth="1"/>
    <col min="2" max="2" width="18" style="13" customWidth="1"/>
    <col min="3" max="3" width="17.85546875" style="13" customWidth="1"/>
    <col min="4" max="4" width="17.28515625" style="13" customWidth="1"/>
    <col min="5" max="5" width="12.28515625" style="13" bestFit="1" customWidth="1"/>
    <col min="6" max="6" width="15" style="13" bestFit="1" customWidth="1"/>
    <col min="7" max="7" width="13.85546875" style="13" bestFit="1" customWidth="1"/>
    <col min="8" max="8" width="9.140625" style="13"/>
    <col min="9" max="9" width="11" style="13" bestFit="1" customWidth="1"/>
    <col min="10" max="10" width="15.42578125" style="13" bestFit="1" customWidth="1"/>
    <col min="11" max="11" width="11.7109375" style="13" customWidth="1"/>
    <col min="12" max="12" width="9.85546875" style="13" customWidth="1"/>
    <col min="13" max="14" width="9.140625" style="13"/>
    <col min="15" max="16" width="12" style="13" bestFit="1" customWidth="1"/>
    <col min="17" max="16384" width="9.140625" style="13"/>
  </cols>
  <sheetData>
    <row r="2" spans="1:16" x14ac:dyDescent="0.25">
      <c r="G2" s="12">
        <v>50000</v>
      </c>
      <c r="H2" s="13" t="s">
        <v>68</v>
      </c>
      <c r="J2" s="12">
        <v>33000</v>
      </c>
      <c r="K2" s="13" t="s">
        <v>73</v>
      </c>
    </row>
    <row r="3" spans="1:16" x14ac:dyDescent="0.25">
      <c r="G3" s="12">
        <v>24000</v>
      </c>
      <c r="H3" s="13" t="s">
        <v>70</v>
      </c>
      <c r="J3" s="12">
        <v>46000</v>
      </c>
      <c r="K3" s="13" t="s">
        <v>74</v>
      </c>
    </row>
    <row r="4" spans="1:16" x14ac:dyDescent="0.25">
      <c r="D4" s="22"/>
      <c r="G4" s="12">
        <v>70000</v>
      </c>
      <c r="J4" s="12">
        <v>52000</v>
      </c>
      <c r="K4" s="13" t="s">
        <v>75</v>
      </c>
      <c r="O4" s="12">
        <v>52000</v>
      </c>
      <c r="P4" s="12">
        <v>45000</v>
      </c>
    </row>
    <row r="5" spans="1:16" x14ac:dyDescent="0.25">
      <c r="G5" s="12"/>
      <c r="J5" s="12">
        <v>28000</v>
      </c>
      <c r="K5" s="13" t="s">
        <v>76</v>
      </c>
      <c r="P5" s="12">
        <v>15000</v>
      </c>
    </row>
    <row r="6" spans="1:16" x14ac:dyDescent="0.25">
      <c r="A6" s="115" t="s">
        <v>4</v>
      </c>
      <c r="B6" s="115" t="s">
        <v>5</v>
      </c>
      <c r="C6" s="115" t="s">
        <v>7</v>
      </c>
      <c r="D6" s="15" t="s">
        <v>8</v>
      </c>
      <c r="F6" s="12"/>
      <c r="G6" s="12"/>
      <c r="J6" s="12"/>
      <c r="O6" s="12">
        <v>10000</v>
      </c>
      <c r="P6" s="12">
        <v>40000</v>
      </c>
    </row>
    <row r="7" spans="1:16" ht="15.75" thickBot="1" x14ac:dyDescent="0.3">
      <c r="A7" s="116"/>
      <c r="B7" s="116"/>
      <c r="C7" s="116"/>
      <c r="D7" s="16" t="s">
        <v>5</v>
      </c>
      <c r="F7" s="12"/>
      <c r="G7" s="12">
        <v>130000</v>
      </c>
      <c r="H7" s="13" t="s">
        <v>69</v>
      </c>
      <c r="J7" s="23">
        <f>SUM(J2:J6)</f>
        <v>159000</v>
      </c>
      <c r="O7" s="12">
        <v>2000</v>
      </c>
      <c r="P7" s="12">
        <v>45000</v>
      </c>
    </row>
    <row r="8" spans="1:16" ht="15.75" thickTop="1" x14ac:dyDescent="0.25">
      <c r="A8" s="17" t="s">
        <v>9</v>
      </c>
      <c r="B8" s="17"/>
      <c r="C8" s="17"/>
      <c r="D8" s="17"/>
      <c r="F8" s="12"/>
      <c r="G8" s="12">
        <v>54000</v>
      </c>
      <c r="H8" s="13" t="s">
        <v>71</v>
      </c>
      <c r="J8" s="12"/>
      <c r="O8" s="12">
        <v>45000</v>
      </c>
      <c r="P8" s="12">
        <v>40000</v>
      </c>
    </row>
    <row r="9" spans="1:16" x14ac:dyDescent="0.25">
      <c r="A9" s="18"/>
      <c r="B9" s="18"/>
      <c r="C9" s="18"/>
      <c r="D9" s="18"/>
      <c r="F9" s="12"/>
      <c r="G9" s="12"/>
      <c r="H9" s="13" t="s">
        <v>72</v>
      </c>
      <c r="J9" s="12"/>
      <c r="O9" s="12">
        <v>10000</v>
      </c>
      <c r="P9" s="12">
        <v>25000</v>
      </c>
    </row>
    <row r="10" spans="1:16" x14ac:dyDescent="0.25">
      <c r="A10" s="26" t="s">
        <v>10</v>
      </c>
      <c r="B10" s="18"/>
      <c r="C10" s="2"/>
      <c r="D10" s="2"/>
      <c r="F10" s="12"/>
      <c r="G10" s="12"/>
      <c r="J10" s="12">
        <v>16000</v>
      </c>
      <c r="K10" s="13" t="s">
        <v>77</v>
      </c>
      <c r="P10" s="12">
        <v>14000</v>
      </c>
    </row>
    <row r="11" spans="1:16" x14ac:dyDescent="0.25">
      <c r="A11" s="27" t="s">
        <v>11</v>
      </c>
      <c r="B11" s="2">
        <v>1278616.72</v>
      </c>
      <c r="C11" s="11">
        <f>117372.31+97372.31+97372.31+104872.31+144446.38+100372.31+98872.31+98872.31+101871.43+98871.88+78072.31+28574.5</f>
        <v>1166942.67</v>
      </c>
      <c r="D11" s="2">
        <f>B11-C11</f>
        <v>111674.05000000005</v>
      </c>
      <c r="F11" s="14"/>
      <c r="G11" s="12">
        <v>2000</v>
      </c>
      <c r="J11" s="12">
        <v>9000</v>
      </c>
      <c r="O11" s="12"/>
      <c r="P11" s="12"/>
    </row>
    <row r="12" spans="1:16" x14ac:dyDescent="0.25">
      <c r="A12" s="27" t="s">
        <v>12</v>
      </c>
      <c r="B12" s="2">
        <f>907422+251536</f>
        <v>1158958</v>
      </c>
      <c r="C12" s="47">
        <f>1659227.6+63020+50808</f>
        <v>1773055.6</v>
      </c>
      <c r="D12" s="2">
        <f>B12-C12</f>
        <v>-614097.60000000009</v>
      </c>
      <c r="F12" s="12">
        <v>63020</v>
      </c>
      <c r="G12" s="12">
        <v>2000</v>
      </c>
      <c r="I12" s="12"/>
      <c r="J12" s="12">
        <v>10000</v>
      </c>
      <c r="O12" s="12"/>
      <c r="P12" s="12"/>
    </row>
    <row r="13" spans="1:16" x14ac:dyDescent="0.25">
      <c r="A13" s="27" t="s">
        <v>13</v>
      </c>
      <c r="B13" s="2">
        <f>15000+46200</f>
        <v>61200</v>
      </c>
      <c r="C13" s="2"/>
      <c r="D13" s="2">
        <f>B13-C13</f>
        <v>61200</v>
      </c>
      <c r="F13" s="12">
        <v>50808</v>
      </c>
      <c r="G13" s="12">
        <v>500</v>
      </c>
      <c r="I13" s="12"/>
      <c r="J13" s="12"/>
      <c r="O13" s="12"/>
      <c r="P13" s="12"/>
    </row>
    <row r="14" spans="1:16" x14ac:dyDescent="0.25">
      <c r="A14" s="27" t="s">
        <v>14</v>
      </c>
      <c r="B14" s="2"/>
      <c r="C14" s="2"/>
      <c r="D14" s="2"/>
      <c r="F14" s="12"/>
      <c r="G14" s="12">
        <v>25000</v>
      </c>
      <c r="I14" s="12">
        <v>15</v>
      </c>
      <c r="O14" s="12"/>
      <c r="P14" s="12"/>
    </row>
    <row r="15" spans="1:16" x14ac:dyDescent="0.25">
      <c r="A15" s="28" t="s">
        <v>27</v>
      </c>
      <c r="B15" s="8">
        <f>SUM(B11:B14)</f>
        <v>2498774.7199999997</v>
      </c>
      <c r="C15" s="8">
        <f>SUM(C11:C14)</f>
        <v>2939998.27</v>
      </c>
      <c r="D15" s="8">
        <f>SUM(D11:D14)</f>
        <v>-441223.55000000005</v>
      </c>
      <c r="F15" s="12"/>
      <c r="G15" s="12">
        <v>1500</v>
      </c>
      <c r="I15" s="12">
        <v>49</v>
      </c>
      <c r="J15" s="14">
        <f>SUM(J10:J14)</f>
        <v>35000</v>
      </c>
      <c r="O15" s="12">
        <f>SUM(O4:O14)</f>
        <v>119000</v>
      </c>
      <c r="P15" s="12">
        <f>SUM(P4:P14)</f>
        <v>224000</v>
      </c>
    </row>
    <row r="16" spans="1:16" x14ac:dyDescent="0.25">
      <c r="A16" s="18"/>
      <c r="B16" s="2"/>
      <c r="C16" s="2"/>
      <c r="D16" s="2"/>
      <c r="F16" s="12"/>
      <c r="G16" s="12">
        <v>500</v>
      </c>
      <c r="I16" s="12">
        <v>27</v>
      </c>
      <c r="O16" s="12">
        <f>O15-54000</f>
        <v>65000</v>
      </c>
      <c r="P16" s="14">
        <f>P15-130000</f>
        <v>94000</v>
      </c>
    </row>
    <row r="17" spans="1:16" x14ac:dyDescent="0.25">
      <c r="A17" s="26" t="s">
        <v>28</v>
      </c>
      <c r="B17" s="2"/>
      <c r="C17" s="2"/>
      <c r="D17" s="2"/>
      <c r="F17" s="12"/>
      <c r="G17" s="12">
        <v>10000</v>
      </c>
      <c r="I17" s="12"/>
      <c r="J17" s="14">
        <v>2000</v>
      </c>
      <c r="K17" s="13" t="s">
        <v>84</v>
      </c>
      <c r="O17" s="12"/>
      <c r="P17" s="14">
        <f>O16+P16</f>
        <v>159000</v>
      </c>
    </row>
    <row r="18" spans="1:16" x14ac:dyDescent="0.25">
      <c r="A18" s="27" t="s">
        <v>11</v>
      </c>
      <c r="B18" s="2">
        <v>5826344.4400000004</v>
      </c>
      <c r="C18" s="11">
        <f>507164.54+447164.54+447164.54+455164.54+627512.04+447164.54+447164.54+447164.54+447164.54+447164.54+517179.04</f>
        <v>5237171.9400000004</v>
      </c>
      <c r="D18" s="2">
        <f>B18-C18</f>
        <v>589172.5</v>
      </c>
      <c r="F18" s="12"/>
      <c r="G18" s="12">
        <v>5000</v>
      </c>
      <c r="I18" s="12">
        <f>SUM(I14:I17)</f>
        <v>91</v>
      </c>
      <c r="J18" s="12">
        <v>8000</v>
      </c>
      <c r="O18" s="12"/>
    </row>
    <row r="19" spans="1:16" x14ac:dyDescent="0.25">
      <c r="A19" s="27" t="s">
        <v>12</v>
      </c>
      <c r="B19" s="2">
        <v>889203.6</v>
      </c>
      <c r="C19" s="47">
        <v>855805.53</v>
      </c>
      <c r="D19" s="2">
        <f>B19-C19</f>
        <v>33398.069999999949</v>
      </c>
      <c r="F19" s="12"/>
      <c r="G19" s="12">
        <v>3000</v>
      </c>
      <c r="I19" s="14">
        <f>I18-58</f>
        <v>33</v>
      </c>
      <c r="J19" s="12">
        <v>40000</v>
      </c>
      <c r="K19" s="13" t="s">
        <v>82</v>
      </c>
      <c r="O19" s="12"/>
    </row>
    <row r="20" spans="1:16" x14ac:dyDescent="0.25">
      <c r="A20" s="27" t="s">
        <v>13</v>
      </c>
      <c r="B20" s="2"/>
      <c r="C20" s="2"/>
      <c r="D20" s="2">
        <f>B20-C20</f>
        <v>0</v>
      </c>
      <c r="F20" s="12"/>
      <c r="G20" s="12">
        <v>3000</v>
      </c>
      <c r="J20" s="12">
        <v>45000</v>
      </c>
      <c r="K20" s="13" t="s">
        <v>79</v>
      </c>
      <c r="O20" s="12"/>
    </row>
    <row r="21" spans="1:16" x14ac:dyDescent="0.25">
      <c r="A21" s="27" t="s">
        <v>14</v>
      </c>
      <c r="B21" s="2"/>
      <c r="C21" s="2"/>
      <c r="D21" s="2"/>
      <c r="G21" s="12">
        <f>7*1500</f>
        <v>10500</v>
      </c>
      <c r="J21" s="12">
        <v>14000</v>
      </c>
      <c r="K21" s="13" t="s">
        <v>78</v>
      </c>
      <c r="O21" s="12"/>
    </row>
    <row r="22" spans="1:16" x14ac:dyDescent="0.25">
      <c r="A22" s="28" t="s">
        <v>27</v>
      </c>
      <c r="B22" s="8">
        <f>SUM(B18:B21)</f>
        <v>6715548.04</v>
      </c>
      <c r="C22" s="8">
        <f>SUM(C18:C21)</f>
        <v>6092977.4700000007</v>
      </c>
      <c r="D22" s="8">
        <f>SUM(D18:D21)</f>
        <v>622570.56999999995</v>
      </c>
      <c r="G22" s="12">
        <f>SUM(G11:G21)</f>
        <v>63000</v>
      </c>
      <c r="J22" s="14">
        <v>15000</v>
      </c>
      <c r="K22" s="13" t="s">
        <v>83</v>
      </c>
      <c r="O22" s="12"/>
    </row>
    <row r="23" spans="1:16" x14ac:dyDescent="0.25">
      <c r="A23" s="18"/>
      <c r="B23" s="2"/>
      <c r="C23" s="2"/>
      <c r="D23" s="2"/>
      <c r="G23" s="12">
        <f>G22-12500</f>
        <v>50500</v>
      </c>
      <c r="J23" s="14">
        <v>25000</v>
      </c>
      <c r="K23" s="13" t="s">
        <v>80</v>
      </c>
      <c r="O23" s="12"/>
    </row>
    <row r="24" spans="1:16" x14ac:dyDescent="0.25">
      <c r="A24" s="26" t="s">
        <v>15</v>
      </c>
      <c r="B24" s="2"/>
      <c r="C24" s="2"/>
      <c r="D24" s="2"/>
      <c r="G24" s="12">
        <v>34000</v>
      </c>
      <c r="J24" s="14">
        <v>10000</v>
      </c>
      <c r="K24" s="13" t="s">
        <v>81</v>
      </c>
      <c r="O24" s="12"/>
    </row>
    <row r="25" spans="1:16" ht="15.75" thickBot="1" x14ac:dyDescent="0.3">
      <c r="A25" s="27" t="s">
        <v>11</v>
      </c>
      <c r="B25" s="2">
        <v>795756.96</v>
      </c>
      <c r="C25" s="11">
        <f>71477.5+60182.83+59477.5+65477.5+82259+60183.13+60183.13+60183.13+60182.83+60183.13+79264.13</f>
        <v>719053.81</v>
      </c>
      <c r="D25" s="2">
        <f>B25-C25</f>
        <v>76703.149999999907</v>
      </c>
      <c r="G25" s="23">
        <f>G23-G24</f>
        <v>16500</v>
      </c>
      <c r="J25" s="14">
        <f>SUM(J17:J24)</f>
        <v>159000</v>
      </c>
      <c r="O25" s="12"/>
    </row>
    <row r="26" spans="1:16" ht="15.75" thickTop="1" x14ac:dyDescent="0.25">
      <c r="A26" s="27" t="s">
        <v>12</v>
      </c>
      <c r="B26" s="2">
        <v>113663</v>
      </c>
      <c r="C26" s="47">
        <v>72274.81</v>
      </c>
      <c r="D26" s="2">
        <f>B26-C26</f>
        <v>41388.19</v>
      </c>
      <c r="G26" s="12"/>
      <c r="I26" s="12">
        <v>300</v>
      </c>
      <c r="J26" s="12">
        <v>5000</v>
      </c>
      <c r="O26" s="12"/>
    </row>
    <row r="27" spans="1:16" x14ac:dyDescent="0.25">
      <c r="A27" s="27" t="s">
        <v>13</v>
      </c>
      <c r="B27" s="2"/>
      <c r="C27" s="2"/>
      <c r="D27" s="2">
        <f>B27-C27</f>
        <v>0</v>
      </c>
      <c r="G27" s="12"/>
      <c r="I27" s="12">
        <v>1000</v>
      </c>
      <c r="J27" s="12">
        <v>2958</v>
      </c>
      <c r="O27" s="12"/>
    </row>
    <row r="28" spans="1:16" x14ac:dyDescent="0.25">
      <c r="A28" s="27" t="s">
        <v>14</v>
      </c>
      <c r="B28" s="2"/>
      <c r="C28" s="2"/>
      <c r="D28" s="2"/>
      <c r="G28" s="12"/>
      <c r="I28" s="12">
        <v>500</v>
      </c>
      <c r="J28" s="12">
        <v>3650.5</v>
      </c>
      <c r="O28" s="12"/>
    </row>
    <row r="29" spans="1:16" x14ac:dyDescent="0.25">
      <c r="A29" s="28" t="s">
        <v>27</v>
      </c>
      <c r="B29" s="8">
        <f>SUM(B25:B28)</f>
        <v>909419.96</v>
      </c>
      <c r="C29" s="8">
        <f>SUM(C25:C28)</f>
        <v>791328.62000000011</v>
      </c>
      <c r="D29" s="8">
        <f>SUM(D25:D28)</f>
        <v>118091.33999999991</v>
      </c>
      <c r="I29" s="12">
        <v>100</v>
      </c>
      <c r="J29" s="12">
        <v>5302.5</v>
      </c>
    </row>
    <row r="30" spans="1:16" x14ac:dyDescent="0.25">
      <c r="A30" s="18"/>
      <c r="B30" s="2"/>
      <c r="C30" s="2"/>
      <c r="D30" s="2"/>
      <c r="I30" s="12"/>
      <c r="J30" s="12">
        <v>3350</v>
      </c>
    </row>
    <row r="31" spans="1:16" x14ac:dyDescent="0.25">
      <c r="A31" s="26" t="s">
        <v>16</v>
      </c>
      <c r="B31" s="2"/>
      <c r="C31" s="2"/>
      <c r="D31" s="2"/>
      <c r="I31" s="12"/>
      <c r="J31" s="12">
        <v>2000</v>
      </c>
    </row>
    <row r="32" spans="1:16" x14ac:dyDescent="0.25">
      <c r="A32" s="27" t="s">
        <v>11</v>
      </c>
      <c r="B32" s="2">
        <f>586932.16+2500</f>
        <v>589432.16</v>
      </c>
      <c r="C32" s="11">
        <f>49893.98+41893.98+44677.18+44677.18+68080.18+44677.18+44677.18+44677.18+44677.18+44677.18+52380.18</f>
        <v>524988.57999999996</v>
      </c>
      <c r="D32" s="2">
        <f>B32-C32</f>
        <v>64443.580000000075</v>
      </c>
      <c r="I32" s="12"/>
      <c r="J32" s="12">
        <v>1248.75</v>
      </c>
    </row>
    <row r="33" spans="1:10" x14ac:dyDescent="0.25">
      <c r="A33" s="27" t="s">
        <v>12</v>
      </c>
      <c r="B33" s="2">
        <v>48659.8</v>
      </c>
      <c r="C33" s="47">
        <v>53605</v>
      </c>
      <c r="D33" s="2">
        <f>B33-C33</f>
        <v>-4945.1999999999971</v>
      </c>
      <c r="I33" s="12"/>
      <c r="J33" s="12">
        <v>15000</v>
      </c>
    </row>
    <row r="34" spans="1:10" x14ac:dyDescent="0.25">
      <c r="A34" s="27" t="s">
        <v>13</v>
      </c>
      <c r="B34" s="2">
        <v>12200</v>
      </c>
      <c r="C34" s="2"/>
      <c r="D34" s="2">
        <f>B34-C34</f>
        <v>12200</v>
      </c>
      <c r="I34" s="12"/>
      <c r="J34" s="12">
        <v>14000</v>
      </c>
    </row>
    <row r="35" spans="1:10" x14ac:dyDescent="0.25">
      <c r="A35" s="27" t="s">
        <v>14</v>
      </c>
      <c r="B35" s="2"/>
      <c r="C35" s="2"/>
      <c r="D35" s="2"/>
      <c r="I35" s="12"/>
    </row>
    <row r="36" spans="1:10" x14ac:dyDescent="0.25">
      <c r="A36" s="28" t="s">
        <v>27</v>
      </c>
      <c r="B36" s="8">
        <f>SUM(B32:B35)</f>
        <v>650291.96000000008</v>
      </c>
      <c r="C36" s="8">
        <f>SUM(C32:C35)</f>
        <v>578593.57999999996</v>
      </c>
      <c r="D36" s="8">
        <f>SUM(D32:D35)</f>
        <v>71698.380000000077</v>
      </c>
      <c r="I36" s="12"/>
    </row>
    <row r="37" spans="1:10" x14ac:dyDescent="0.25">
      <c r="A37" s="18"/>
      <c r="B37" s="2"/>
      <c r="C37" s="2"/>
      <c r="D37" s="2"/>
      <c r="I37" s="12"/>
    </row>
    <row r="38" spans="1:10" x14ac:dyDescent="0.25">
      <c r="A38" s="26" t="s">
        <v>17</v>
      </c>
      <c r="B38" s="2"/>
      <c r="C38" s="2"/>
      <c r="D38" s="2"/>
      <c r="F38" s="13">
        <f>170*18</f>
        <v>3060</v>
      </c>
      <c r="I38" s="12"/>
    </row>
    <row r="39" spans="1:10" x14ac:dyDescent="0.25">
      <c r="A39" s="27" t="s">
        <v>11</v>
      </c>
      <c r="B39" s="2">
        <v>455978.4</v>
      </c>
      <c r="C39" s="11">
        <f>39218.2+35218.2+35218.2+37218.2+48898.2+35218.2+35218.2+35218.2+35218.2+35218.2+39198.9</f>
        <v>411060.90000000008</v>
      </c>
      <c r="D39" s="2">
        <f>B39-C39</f>
        <v>44917.499999999942</v>
      </c>
      <c r="F39" s="13">
        <f>18*130</f>
        <v>2340</v>
      </c>
      <c r="I39" s="12">
        <f>SUM(I26:I38)</f>
        <v>1900</v>
      </c>
    </row>
    <row r="40" spans="1:10" x14ac:dyDescent="0.25">
      <c r="A40" s="27" t="s">
        <v>12</v>
      </c>
      <c r="B40" s="2">
        <v>72185</v>
      </c>
      <c r="C40" s="47">
        <v>51086.36</v>
      </c>
      <c r="D40" s="2">
        <f>B40-C40</f>
        <v>21098.639999999999</v>
      </c>
      <c r="F40" s="13">
        <f>SUM(F38:F39)</f>
        <v>5400</v>
      </c>
    </row>
    <row r="41" spans="1:10" x14ac:dyDescent="0.25">
      <c r="A41" s="27" t="s">
        <v>13</v>
      </c>
      <c r="B41" s="2"/>
      <c r="C41" s="2"/>
      <c r="D41" s="2"/>
      <c r="F41" s="13">
        <f>350*18</f>
        <v>6300</v>
      </c>
      <c r="J41" s="14">
        <f>SUM(J26:J40)</f>
        <v>52509.75</v>
      </c>
    </row>
    <row r="42" spans="1:10" x14ac:dyDescent="0.25">
      <c r="A42" s="27" t="s">
        <v>14</v>
      </c>
      <c r="B42" s="2"/>
      <c r="C42" s="2"/>
      <c r="D42" s="2"/>
      <c r="F42" s="13">
        <f>SUM(F40:F41)</f>
        <v>11700</v>
      </c>
    </row>
    <row r="43" spans="1:10" x14ac:dyDescent="0.25">
      <c r="A43" s="28" t="s">
        <v>27</v>
      </c>
      <c r="B43" s="8">
        <f>SUM(B39:B42)</f>
        <v>528163.4</v>
      </c>
      <c r="C43" s="8">
        <f>SUM(C39:C42)</f>
        <v>462147.26000000007</v>
      </c>
      <c r="D43" s="8">
        <f>SUM(D39:D42)</f>
        <v>66016.139999999941</v>
      </c>
      <c r="F43" s="21">
        <f>15000-F42</f>
        <v>3300</v>
      </c>
    </row>
    <row r="44" spans="1:10" x14ac:dyDescent="0.25">
      <c r="A44" s="18"/>
      <c r="B44" s="2"/>
      <c r="C44" s="2"/>
      <c r="D44" s="2"/>
    </row>
    <row r="45" spans="1:10" x14ac:dyDescent="0.25">
      <c r="A45" s="26" t="s">
        <v>18</v>
      </c>
      <c r="B45" s="2"/>
      <c r="C45" s="2"/>
      <c r="D45" s="2"/>
      <c r="F45" s="13">
        <v>6000</v>
      </c>
      <c r="J45" s="12">
        <v>34163973.780000001</v>
      </c>
    </row>
    <row r="46" spans="1:10" x14ac:dyDescent="0.25">
      <c r="A46" s="27" t="s">
        <v>11</v>
      </c>
      <c r="B46" s="2">
        <v>883152.6</v>
      </c>
      <c r="C46" s="11">
        <f>43686.72+39386.72+39386.72+39386.72+64004.22+39386.72+39386.72+39386.72+39386.72+39386.72+44304.22</f>
        <v>467088.91999999993</v>
      </c>
      <c r="F46" s="13">
        <v>9352</v>
      </c>
      <c r="J46" s="14">
        <f>J45*55%</f>
        <v>18790185.579000004</v>
      </c>
    </row>
    <row r="47" spans="1:10" x14ac:dyDescent="0.25">
      <c r="A47" s="27" t="s">
        <v>12</v>
      </c>
      <c r="B47" s="2">
        <v>169427.5</v>
      </c>
      <c r="C47" s="49">
        <v>177545.8</v>
      </c>
      <c r="D47" s="2"/>
    </row>
    <row r="48" spans="1:10" x14ac:dyDescent="0.25">
      <c r="A48" s="27" t="s">
        <v>13</v>
      </c>
      <c r="B48" s="2"/>
      <c r="C48" s="48"/>
      <c r="D48" s="2"/>
      <c r="E48" s="12"/>
      <c r="F48" s="43">
        <v>2000</v>
      </c>
    </row>
    <row r="49" spans="1:6" x14ac:dyDescent="0.25">
      <c r="A49" s="27" t="s">
        <v>14</v>
      </c>
      <c r="B49" s="2"/>
      <c r="C49" s="2"/>
      <c r="D49" s="2"/>
      <c r="E49" s="12"/>
      <c r="F49" s="13">
        <v>5000</v>
      </c>
    </row>
    <row r="50" spans="1:6" x14ac:dyDescent="0.25">
      <c r="A50" s="28" t="s">
        <v>27</v>
      </c>
      <c r="B50" s="8">
        <f>SUM(B46:B49)</f>
        <v>1052580.1000000001</v>
      </c>
      <c r="C50" s="8">
        <f>SUM(C46:C49)</f>
        <v>644634.72</v>
      </c>
      <c r="D50" s="8">
        <f>SUM(D47:D49)</f>
        <v>0</v>
      </c>
      <c r="E50" s="12"/>
    </row>
    <row r="51" spans="1:6" x14ac:dyDescent="0.25">
      <c r="A51" s="18"/>
      <c r="B51" s="2"/>
      <c r="C51" s="2"/>
      <c r="D51" s="2"/>
      <c r="E51" s="12"/>
      <c r="F51" s="13">
        <f>SUM(F45:F50)</f>
        <v>22352</v>
      </c>
    </row>
    <row r="52" spans="1:6" x14ac:dyDescent="0.25">
      <c r="A52" s="26" t="s">
        <v>19</v>
      </c>
      <c r="B52" s="2"/>
      <c r="C52" s="2"/>
      <c r="D52" s="2"/>
      <c r="E52" s="12"/>
      <c r="F52" s="13">
        <v>22352</v>
      </c>
    </row>
    <row r="53" spans="1:6" x14ac:dyDescent="0.25">
      <c r="A53" s="27" t="s">
        <v>11</v>
      </c>
      <c r="B53" s="2">
        <v>1381633.04</v>
      </c>
      <c r="C53" s="11">
        <f>130839.92+102839.92+102839.92+102839.92+147916.92+102841.92+102839.92+102839.92+102839.92+102841.92+133918.92</f>
        <v>1235399.1200000001</v>
      </c>
      <c r="D53" s="2">
        <f>B53-C53</f>
        <v>146233.91999999993</v>
      </c>
      <c r="E53" s="12"/>
      <c r="F53" s="13">
        <f>F52-F51</f>
        <v>0</v>
      </c>
    </row>
    <row r="54" spans="1:6" x14ac:dyDescent="0.25">
      <c r="A54" s="27" t="s">
        <v>12</v>
      </c>
      <c r="B54" s="2">
        <v>251782.6</v>
      </c>
      <c r="C54" s="47">
        <v>212632.45</v>
      </c>
      <c r="D54" s="2">
        <f>B54-C54</f>
        <v>39150.149999999994</v>
      </c>
      <c r="E54" s="12"/>
    </row>
    <row r="55" spans="1:6" x14ac:dyDescent="0.25">
      <c r="A55" s="27" t="s">
        <v>13</v>
      </c>
      <c r="B55" s="2"/>
      <c r="C55" s="2"/>
      <c r="D55" s="2">
        <f>B55-C55</f>
        <v>0</v>
      </c>
      <c r="E55" s="12"/>
    </row>
    <row r="56" spans="1:6" x14ac:dyDescent="0.25">
      <c r="A56" s="27" t="s">
        <v>14</v>
      </c>
      <c r="B56" s="2"/>
      <c r="C56" s="2"/>
      <c r="D56" s="2"/>
      <c r="E56" s="12"/>
    </row>
    <row r="57" spans="1:6" x14ac:dyDescent="0.25">
      <c r="A57" s="28" t="s">
        <v>27</v>
      </c>
      <c r="B57" s="8">
        <f>SUM(B53:B56)</f>
        <v>1633415.6400000001</v>
      </c>
      <c r="C57" s="8">
        <f>SUM(C53:C56)</f>
        <v>1448031.57</v>
      </c>
      <c r="D57" s="8">
        <f>SUM(D53:D56)</f>
        <v>185384.06999999992</v>
      </c>
      <c r="E57" s="12"/>
    </row>
    <row r="58" spans="1:6" ht="15.75" thickBot="1" x14ac:dyDescent="0.3">
      <c r="A58" s="31"/>
      <c r="B58" s="9"/>
      <c r="C58" s="9"/>
      <c r="D58" s="9"/>
      <c r="E58" s="12"/>
    </row>
    <row r="59" spans="1:6" x14ac:dyDescent="0.25">
      <c r="A59" s="34"/>
      <c r="B59" s="10"/>
      <c r="C59" s="10"/>
      <c r="D59" s="10"/>
      <c r="E59" s="12"/>
    </row>
    <row r="61" spans="1:6" x14ac:dyDescent="0.25">
      <c r="A61" s="34"/>
      <c r="B61" s="10"/>
      <c r="C61" s="10"/>
      <c r="D61" s="10"/>
      <c r="E61" s="12"/>
    </row>
    <row r="62" spans="1:6" x14ac:dyDescent="0.25">
      <c r="A62" s="34"/>
      <c r="B62" s="10"/>
      <c r="C62" s="10"/>
      <c r="D62" s="10"/>
      <c r="E62" s="12"/>
    </row>
    <row r="63" spans="1:6" x14ac:dyDescent="0.25">
      <c r="A63" s="34"/>
      <c r="B63" s="10"/>
      <c r="C63" s="10"/>
      <c r="D63" s="10"/>
      <c r="E63" s="12"/>
    </row>
    <row r="64" spans="1:6" x14ac:dyDescent="0.25">
      <c r="A64" s="34"/>
      <c r="B64" s="10"/>
      <c r="C64" s="10"/>
      <c r="D64" s="10"/>
      <c r="E64" s="12"/>
    </row>
    <row r="65" spans="1:12" x14ac:dyDescent="0.25">
      <c r="A65" s="34"/>
      <c r="B65" s="10"/>
      <c r="C65" s="10"/>
      <c r="D65" s="10"/>
      <c r="E65" s="12"/>
    </row>
    <row r="66" spans="1:12" x14ac:dyDescent="0.25">
      <c r="A66" s="34"/>
      <c r="B66" s="10"/>
      <c r="C66" s="10"/>
      <c r="D66" s="10"/>
      <c r="E66" s="12"/>
    </row>
    <row r="67" spans="1:12" x14ac:dyDescent="0.25">
      <c r="A67" s="115" t="s">
        <v>4</v>
      </c>
      <c r="B67" s="115" t="s">
        <v>5</v>
      </c>
      <c r="C67" s="115" t="s">
        <v>7</v>
      </c>
      <c r="D67" s="15" t="s">
        <v>8</v>
      </c>
      <c r="E67" s="12"/>
    </row>
    <row r="68" spans="1:12" x14ac:dyDescent="0.25">
      <c r="A68" s="116"/>
      <c r="B68" s="116"/>
      <c r="C68" s="116"/>
      <c r="D68" s="16" t="s">
        <v>5</v>
      </c>
      <c r="E68" s="12"/>
    </row>
    <row r="69" spans="1:12" x14ac:dyDescent="0.25">
      <c r="A69" s="17"/>
      <c r="B69" s="19"/>
      <c r="C69" s="19"/>
      <c r="D69" s="19"/>
      <c r="E69" s="12"/>
    </row>
    <row r="70" spans="1:12" x14ac:dyDescent="0.25">
      <c r="A70" s="26" t="s">
        <v>20</v>
      </c>
      <c r="B70" s="2"/>
      <c r="C70" s="2"/>
      <c r="D70" s="2"/>
      <c r="E70" s="12"/>
      <c r="G70" s="12">
        <v>5000</v>
      </c>
      <c r="I70" s="12">
        <v>5000</v>
      </c>
      <c r="J70" s="12">
        <v>5000</v>
      </c>
      <c r="K70" s="12">
        <v>5000</v>
      </c>
    </row>
    <row r="71" spans="1:12" x14ac:dyDescent="0.25">
      <c r="A71" s="27" t="s">
        <v>11</v>
      </c>
      <c r="B71" s="2">
        <f>623143.92+2500</f>
        <v>625643.92000000004</v>
      </c>
      <c r="C71" s="11">
        <f>55487.16+47487.16+47487.16+51487.16+68136.16+49487.16+49487.16+49487.16+49487.16+49487.16+56436.16</f>
        <v>573956.76000000024</v>
      </c>
      <c r="D71" s="2">
        <f>B71-C71</f>
        <v>51687.1599999998</v>
      </c>
      <c r="E71" s="12"/>
      <c r="G71" s="12">
        <v>1228.6500000000001</v>
      </c>
      <c r="I71" s="12">
        <v>3650.5</v>
      </c>
      <c r="J71" s="12">
        <v>3350</v>
      </c>
      <c r="K71" s="12">
        <v>5302.5</v>
      </c>
    </row>
    <row r="72" spans="1:12" x14ac:dyDescent="0.25">
      <c r="A72" s="27" t="s">
        <v>12</v>
      </c>
      <c r="B72" s="2">
        <v>92737</v>
      </c>
      <c r="C72" s="47">
        <v>93628.76</v>
      </c>
      <c r="D72" s="2">
        <f>B72-C72</f>
        <v>-891.75999999999476</v>
      </c>
      <c r="E72" s="12"/>
      <c r="G72" s="12"/>
      <c r="I72" s="12">
        <v>3350</v>
      </c>
      <c r="J72" s="12">
        <v>630</v>
      </c>
      <c r="K72" s="12">
        <v>3350</v>
      </c>
    </row>
    <row r="73" spans="1:12" x14ac:dyDescent="0.25">
      <c r="A73" s="27" t="s">
        <v>13</v>
      </c>
      <c r="B73" s="2"/>
      <c r="C73" s="2"/>
      <c r="D73" s="2">
        <f>B73-C73</f>
        <v>0</v>
      </c>
      <c r="E73" s="12"/>
      <c r="G73" s="12">
        <v>5302.5</v>
      </c>
      <c r="I73" s="12">
        <v>1228.6500000000001</v>
      </c>
      <c r="J73" s="12">
        <v>5302</v>
      </c>
      <c r="K73" s="12">
        <v>2000</v>
      </c>
      <c r="L73" s="12">
        <v>446</v>
      </c>
    </row>
    <row r="74" spans="1:12" x14ac:dyDescent="0.25">
      <c r="A74" s="27" t="s">
        <v>14</v>
      </c>
      <c r="B74" s="2"/>
      <c r="C74" s="2"/>
      <c r="D74" s="2"/>
      <c r="E74" s="12"/>
      <c r="G74" s="12">
        <v>3650.5</v>
      </c>
      <c r="I74" s="12">
        <v>2958</v>
      </c>
      <c r="J74" s="12"/>
      <c r="K74" s="12"/>
      <c r="L74" s="12">
        <v>150</v>
      </c>
    </row>
    <row r="75" spans="1:12" x14ac:dyDescent="0.25">
      <c r="A75" s="28" t="s">
        <v>27</v>
      </c>
      <c r="B75" s="8">
        <f>SUM(B71:B74)</f>
        <v>718380.92</v>
      </c>
      <c r="C75" s="8">
        <f>SUM(C71:C74)</f>
        <v>667585.52000000025</v>
      </c>
      <c r="D75" s="8">
        <f>SUM(D71:D74)</f>
        <v>50795.399999999805</v>
      </c>
      <c r="E75" s="12"/>
      <c r="G75" s="12">
        <v>630</v>
      </c>
      <c r="I75" s="12"/>
      <c r="J75" s="12"/>
      <c r="K75" s="12">
        <v>630</v>
      </c>
      <c r="L75" s="13">
        <v>797</v>
      </c>
    </row>
    <row r="76" spans="1:12" x14ac:dyDescent="0.25">
      <c r="A76" s="18"/>
      <c r="B76" s="2"/>
      <c r="C76" s="2"/>
      <c r="D76" s="2"/>
      <c r="E76" s="12"/>
      <c r="G76" s="12">
        <v>630</v>
      </c>
      <c r="I76" s="12"/>
      <c r="J76" s="12">
        <f>SUM(J70:J75)</f>
        <v>14282</v>
      </c>
      <c r="K76" s="12">
        <v>446</v>
      </c>
    </row>
    <row r="77" spans="1:12" x14ac:dyDescent="0.25">
      <c r="A77" s="26" t="s">
        <v>21</v>
      </c>
      <c r="B77" s="18"/>
      <c r="C77" s="2"/>
      <c r="D77" s="2"/>
      <c r="E77" s="12"/>
      <c r="I77" s="12"/>
      <c r="L77" s="14">
        <f>SUM(L73:L76)</f>
        <v>1393</v>
      </c>
    </row>
    <row r="78" spans="1:12" x14ac:dyDescent="0.25">
      <c r="A78" s="27" t="s">
        <v>11</v>
      </c>
      <c r="B78" s="2">
        <v>1019403.44</v>
      </c>
      <c r="C78" s="11">
        <f>106961.1+69302.1+74787.12+75123.55+118187.55+62900.11+71059.43+71006.24+72666.29+71018.21+87664.21</f>
        <v>880675.90999999992</v>
      </c>
      <c r="D78" s="2">
        <f>B78-C78</f>
        <v>138727.53000000003</v>
      </c>
      <c r="E78" s="12"/>
      <c r="I78" s="12"/>
    </row>
    <row r="79" spans="1:12" x14ac:dyDescent="0.25">
      <c r="A79" s="27" t="s">
        <v>12</v>
      </c>
      <c r="B79" s="2">
        <f>619090+200000</f>
        <v>819090</v>
      </c>
      <c r="C79" s="47">
        <v>994403.52</v>
      </c>
      <c r="D79" s="2">
        <f>B79-C79</f>
        <v>-175313.52000000002</v>
      </c>
      <c r="E79" s="12"/>
      <c r="I79" s="12"/>
    </row>
    <row r="80" spans="1:12" x14ac:dyDescent="0.25">
      <c r="A80" s="27" t="s">
        <v>13</v>
      </c>
      <c r="B80" s="2"/>
      <c r="C80" s="2"/>
      <c r="D80" s="2"/>
      <c r="E80" s="12"/>
      <c r="I80" s="12"/>
    </row>
    <row r="81" spans="1:11" x14ac:dyDescent="0.25">
      <c r="A81" s="27" t="s">
        <v>14</v>
      </c>
      <c r="B81" s="2"/>
      <c r="C81" s="2"/>
      <c r="D81" s="2"/>
      <c r="E81" s="12"/>
      <c r="G81" s="12">
        <f>SUM(G70:G76)</f>
        <v>16441.650000000001</v>
      </c>
      <c r="I81" s="12">
        <f>SUM(I70:I80)</f>
        <v>16187.15</v>
      </c>
      <c r="J81" s="14">
        <f>J76-16500</f>
        <v>-2218</v>
      </c>
      <c r="K81" s="14">
        <f>SUM(K70:K80)</f>
        <v>16728.5</v>
      </c>
    </row>
    <row r="82" spans="1:11" x14ac:dyDescent="0.25">
      <c r="A82" s="28" t="s">
        <v>27</v>
      </c>
      <c r="B82" s="8">
        <f>SUM(B78:B81)</f>
        <v>1838493.44</v>
      </c>
      <c r="C82" s="8">
        <f>SUM(C78:C81)</f>
        <v>1875079.43</v>
      </c>
      <c r="D82" s="8">
        <f>SUM(D78:D81)</f>
        <v>-36585.989999999991</v>
      </c>
      <c r="E82" s="12"/>
      <c r="G82" s="13">
        <f>16500</f>
        <v>16500</v>
      </c>
      <c r="I82" s="13">
        <v>16500</v>
      </c>
      <c r="K82" s="13">
        <v>16500</v>
      </c>
    </row>
    <row r="83" spans="1:11" x14ac:dyDescent="0.25">
      <c r="A83" s="18"/>
      <c r="B83" s="2"/>
      <c r="C83" s="2"/>
      <c r="D83" s="2"/>
      <c r="E83" s="12"/>
      <c r="G83" s="14">
        <f>G82-G81</f>
        <v>58.349999999998545</v>
      </c>
      <c r="I83" s="14">
        <f>I82-I81</f>
        <v>312.85000000000036</v>
      </c>
      <c r="K83" s="14">
        <f>K82-K81</f>
        <v>-228.5</v>
      </c>
    </row>
    <row r="84" spans="1:11" x14ac:dyDescent="0.25">
      <c r="A84" s="26" t="s">
        <v>22</v>
      </c>
      <c r="B84" s="18"/>
      <c r="C84" s="2"/>
      <c r="D84" s="2"/>
      <c r="E84" s="12"/>
    </row>
    <row r="85" spans="1:11" x14ac:dyDescent="0.25">
      <c r="A85" s="27" t="s">
        <v>11</v>
      </c>
      <c r="B85" s="2">
        <f>2196512.08+7500</f>
        <v>2204012.08</v>
      </c>
      <c r="C85" s="11">
        <f>213957.92+167107.92+167107.92+181107.92+243912.92+167107.92+167107.92+167107.92+167107.92+167107.92+207012.92</f>
        <v>2015747.1199999996</v>
      </c>
      <c r="D85" s="2">
        <f>B85-C85</f>
        <v>188264.96000000043</v>
      </c>
      <c r="E85" s="12"/>
    </row>
    <row r="86" spans="1:11" x14ac:dyDescent="0.25">
      <c r="A86" s="27" t="s">
        <v>12</v>
      </c>
      <c r="B86" s="2">
        <v>144544.5</v>
      </c>
      <c r="C86" s="47">
        <f>122091.55+123271</f>
        <v>245362.55</v>
      </c>
      <c r="D86" s="2">
        <f>B86-C86</f>
        <v>-100818.04999999999</v>
      </c>
      <c r="E86" s="12"/>
      <c r="F86" s="12">
        <v>123271</v>
      </c>
    </row>
    <row r="87" spans="1:11" x14ac:dyDescent="0.25">
      <c r="A87" s="27" t="s">
        <v>13</v>
      </c>
      <c r="B87" s="2"/>
      <c r="C87" s="2"/>
      <c r="D87" s="2"/>
      <c r="E87" s="12"/>
    </row>
    <row r="88" spans="1:11" x14ac:dyDescent="0.25">
      <c r="A88" s="27" t="s">
        <v>14</v>
      </c>
      <c r="B88" s="2"/>
      <c r="C88" s="2"/>
      <c r="D88" s="2"/>
      <c r="E88" s="12"/>
    </row>
    <row r="89" spans="1:11" x14ac:dyDescent="0.25">
      <c r="A89" s="28" t="s">
        <v>27</v>
      </c>
      <c r="B89" s="8">
        <f>SUM(B85:B88)</f>
        <v>2348556.58</v>
      </c>
      <c r="C89" s="8">
        <f>SUM(C85:C88)</f>
        <v>2261109.6699999995</v>
      </c>
      <c r="D89" s="8">
        <f>SUM(D85:D88)</f>
        <v>87446.91000000044</v>
      </c>
      <c r="E89" s="12"/>
    </row>
    <row r="90" spans="1:11" x14ac:dyDescent="0.25">
      <c r="A90" s="18"/>
      <c r="B90" s="2"/>
      <c r="C90" s="2"/>
      <c r="D90" s="2"/>
      <c r="E90" s="12"/>
    </row>
    <row r="91" spans="1:11" x14ac:dyDescent="0.25">
      <c r="A91" s="26" t="s">
        <v>23</v>
      </c>
      <c r="B91" s="2"/>
      <c r="C91" s="2"/>
      <c r="D91" s="2"/>
      <c r="E91" s="12"/>
    </row>
    <row r="92" spans="1:11" x14ac:dyDescent="0.25">
      <c r="A92" s="27" t="s">
        <v>11</v>
      </c>
      <c r="B92" s="2">
        <v>992283.32</v>
      </c>
      <c r="C92" s="11">
        <f>84286.36+68536.36+68486.36+75036.36+104009.86+68536.36+68286.36+68536.36+68536.36+68536.36+94759.86</f>
        <v>837546.96</v>
      </c>
      <c r="D92" s="2">
        <f>B92-C92</f>
        <v>154736.35999999999</v>
      </c>
      <c r="E92" s="12"/>
    </row>
    <row r="93" spans="1:11" x14ac:dyDescent="0.25">
      <c r="A93" s="27" t="s">
        <v>12</v>
      </c>
      <c r="B93" s="2">
        <v>157000.95000000001</v>
      </c>
      <c r="C93" s="47">
        <v>135371.75</v>
      </c>
      <c r="D93" s="2">
        <f>B93-C93</f>
        <v>21629.200000000012</v>
      </c>
      <c r="E93" s="12"/>
    </row>
    <row r="94" spans="1:11" x14ac:dyDescent="0.25">
      <c r="A94" s="27" t="s">
        <v>13</v>
      </c>
      <c r="B94" s="2">
        <v>20000</v>
      </c>
      <c r="C94" s="2"/>
      <c r="D94" s="2"/>
      <c r="E94" s="12"/>
    </row>
    <row r="95" spans="1:11" x14ac:dyDescent="0.25">
      <c r="A95" s="27" t="s">
        <v>14</v>
      </c>
      <c r="B95" s="2"/>
      <c r="C95" s="2"/>
      <c r="D95" s="2"/>
      <c r="E95" s="12"/>
    </row>
    <row r="96" spans="1:11" x14ac:dyDescent="0.25">
      <c r="A96" s="28" t="s">
        <v>27</v>
      </c>
      <c r="B96" s="8">
        <f>SUM(B92:B95)</f>
        <v>1169284.27</v>
      </c>
      <c r="C96" s="8">
        <f>SUM(C92:C95)</f>
        <v>972918.71</v>
      </c>
      <c r="D96" s="8">
        <f>SUM(D92:D95)</f>
        <v>176365.56</v>
      </c>
      <c r="E96" s="12"/>
    </row>
    <row r="97" spans="1:5" x14ac:dyDescent="0.25">
      <c r="A97" s="18"/>
      <c r="B97" s="2"/>
      <c r="C97" s="2"/>
      <c r="D97" s="2"/>
      <c r="E97" s="12"/>
    </row>
    <row r="98" spans="1:5" x14ac:dyDescent="0.25">
      <c r="A98" s="26" t="s">
        <v>24</v>
      </c>
      <c r="B98" s="2"/>
      <c r="C98" s="2"/>
      <c r="D98" s="2"/>
      <c r="E98" s="12"/>
    </row>
    <row r="99" spans="1:5" x14ac:dyDescent="0.25">
      <c r="A99" s="27" t="s">
        <v>11</v>
      </c>
      <c r="B99" s="2">
        <v>752074.44</v>
      </c>
      <c r="C99" s="11">
        <f>68568.62+56568.62+56568.62+62568.62+84194.12+56568.62+56568.62+56568.62+56568.62+56568.62+73794.12</f>
        <v>685105.82</v>
      </c>
      <c r="D99" s="2">
        <f>B99-C99</f>
        <v>66968.62</v>
      </c>
      <c r="E99" s="12"/>
    </row>
    <row r="100" spans="1:5" x14ac:dyDescent="0.25">
      <c r="A100" s="27" t="s">
        <v>12</v>
      </c>
      <c r="B100" s="2">
        <v>72539.5</v>
      </c>
      <c r="C100" s="47">
        <v>49176.480000000003</v>
      </c>
      <c r="D100" s="2">
        <f>B100-C100</f>
        <v>23363.019999999997</v>
      </c>
      <c r="E100" s="12"/>
    </row>
    <row r="101" spans="1:5" x14ac:dyDescent="0.25">
      <c r="A101" s="27" t="s">
        <v>13</v>
      </c>
      <c r="B101" s="2"/>
      <c r="C101" s="2"/>
      <c r="D101" s="2"/>
      <c r="E101" s="12"/>
    </row>
    <row r="102" spans="1:5" x14ac:dyDescent="0.25">
      <c r="A102" s="27" t="s">
        <v>14</v>
      </c>
      <c r="B102" s="2"/>
      <c r="C102" s="2"/>
      <c r="D102" s="2"/>
      <c r="E102" s="12"/>
    </row>
    <row r="103" spans="1:5" x14ac:dyDescent="0.25">
      <c r="A103" s="28" t="s">
        <v>27</v>
      </c>
      <c r="B103" s="8">
        <f>SUM(B99:B102)</f>
        <v>824613.94</v>
      </c>
      <c r="C103" s="8">
        <f>SUM(C99:C102)</f>
        <v>734282.29999999993</v>
      </c>
      <c r="D103" s="8">
        <f>SUM(D99:D102)</f>
        <v>90331.639999999985</v>
      </c>
      <c r="E103" s="12"/>
    </row>
    <row r="104" spans="1:5" x14ac:dyDescent="0.25">
      <c r="A104" s="18"/>
      <c r="B104" s="2"/>
      <c r="C104" s="2"/>
      <c r="D104" s="2"/>
      <c r="E104" s="12"/>
    </row>
    <row r="105" spans="1:5" x14ac:dyDescent="0.25">
      <c r="A105" s="26" t="s">
        <v>25</v>
      </c>
      <c r="B105" s="2"/>
      <c r="C105" s="2"/>
      <c r="D105" s="2"/>
      <c r="E105" s="12"/>
    </row>
    <row r="106" spans="1:5" x14ac:dyDescent="0.25">
      <c r="A106" s="27" t="s">
        <v>11</v>
      </c>
      <c r="B106" s="2">
        <v>834996</v>
      </c>
      <c r="C106" s="11">
        <f>74640.31+62740.31+62640.31+68640.31+92196.81+63129.75+63129.75+63229.75+63229.75+63129.75+78729.25</f>
        <v>755436.05</v>
      </c>
      <c r="D106" s="2">
        <f>B106-C106</f>
        <v>79559.949999999953</v>
      </c>
      <c r="E106" s="12"/>
    </row>
    <row r="107" spans="1:5" x14ac:dyDescent="0.25">
      <c r="A107" s="27" t="s">
        <v>12</v>
      </c>
      <c r="B107" s="2">
        <v>45705</v>
      </c>
      <c r="C107" s="47">
        <v>23936</v>
      </c>
      <c r="D107" s="2">
        <f>B107-C107</f>
        <v>21769</v>
      </c>
      <c r="E107" s="12"/>
    </row>
    <row r="108" spans="1:5" x14ac:dyDescent="0.25">
      <c r="A108" s="27" t="s">
        <v>13</v>
      </c>
      <c r="B108" s="2">
        <f>20000+22500</f>
        <v>42500</v>
      </c>
      <c r="C108" s="2"/>
      <c r="D108" s="2"/>
      <c r="E108" s="12"/>
    </row>
    <row r="109" spans="1:5" x14ac:dyDescent="0.25">
      <c r="A109" s="27" t="s">
        <v>14</v>
      </c>
      <c r="B109" s="2"/>
      <c r="C109" s="2"/>
      <c r="D109" s="2"/>
      <c r="E109" s="12"/>
    </row>
    <row r="110" spans="1:5" x14ac:dyDescent="0.25">
      <c r="A110" s="28" t="s">
        <v>27</v>
      </c>
      <c r="B110" s="8">
        <f>SUM(B106:B109)</f>
        <v>923201</v>
      </c>
      <c r="C110" s="8">
        <f>SUM(C106:C109)</f>
        <v>779372.05</v>
      </c>
      <c r="D110" s="8">
        <f>SUM(D106:D109)</f>
        <v>101328.94999999995</v>
      </c>
      <c r="E110" s="12"/>
    </row>
    <row r="111" spans="1:5" x14ac:dyDescent="0.25">
      <c r="A111" s="18"/>
      <c r="B111" s="2"/>
      <c r="C111" s="2"/>
      <c r="D111" s="2"/>
      <c r="E111" s="12"/>
    </row>
    <row r="112" spans="1:5" x14ac:dyDescent="0.25">
      <c r="A112" s="26" t="s">
        <v>26</v>
      </c>
      <c r="B112" s="2"/>
      <c r="C112" s="2"/>
      <c r="D112" s="2"/>
      <c r="E112" s="12"/>
    </row>
    <row r="113" spans="1:6" x14ac:dyDescent="0.25">
      <c r="A113" s="27" t="s">
        <v>11</v>
      </c>
      <c r="B113" s="2"/>
      <c r="C113" s="2"/>
      <c r="D113" s="2">
        <f>B113-C113</f>
        <v>0</v>
      </c>
      <c r="E113" s="12"/>
    </row>
    <row r="114" spans="1:6" x14ac:dyDescent="0.25">
      <c r="A114" s="27" t="s">
        <v>12</v>
      </c>
      <c r="B114" s="2">
        <v>42119</v>
      </c>
      <c r="C114" s="47">
        <f>7267+12690</f>
        <v>19957</v>
      </c>
      <c r="D114" s="2">
        <f>B114-C114</f>
        <v>22162</v>
      </c>
      <c r="E114" s="12"/>
    </row>
    <row r="115" spans="1:6" x14ac:dyDescent="0.25">
      <c r="A115" s="27" t="s">
        <v>13</v>
      </c>
      <c r="B115" s="2"/>
      <c r="C115" s="2"/>
      <c r="D115" s="2"/>
      <c r="E115" s="12"/>
    </row>
    <row r="116" spans="1:6" x14ac:dyDescent="0.25">
      <c r="A116" s="27" t="s">
        <v>14</v>
      </c>
      <c r="B116" s="2"/>
      <c r="C116" s="2"/>
      <c r="D116" s="2"/>
      <c r="E116" s="12"/>
    </row>
    <row r="117" spans="1:6" x14ac:dyDescent="0.25">
      <c r="A117" s="28" t="s">
        <v>27</v>
      </c>
      <c r="B117" s="8">
        <f>SUM(B113:B116)</f>
        <v>42119</v>
      </c>
      <c r="C117" s="8">
        <f>SUM(C113:C116)</f>
        <v>19957</v>
      </c>
      <c r="D117" s="8">
        <f>SUM(D113:D116)</f>
        <v>22162</v>
      </c>
      <c r="E117" s="12"/>
    </row>
    <row r="118" spans="1:6" ht="15.75" thickBot="1" x14ac:dyDescent="0.3">
      <c r="A118" s="36"/>
      <c r="B118" s="9"/>
      <c r="C118" s="9"/>
      <c r="D118" s="9"/>
      <c r="E118" s="12"/>
    </row>
    <row r="119" spans="1:6" x14ac:dyDescent="0.25">
      <c r="B119" s="12"/>
      <c r="C119" s="12"/>
      <c r="D119" s="12"/>
      <c r="E119" s="12"/>
    </row>
    <row r="120" spans="1:6" x14ac:dyDescent="0.25">
      <c r="B120" s="12"/>
      <c r="C120" s="12"/>
      <c r="D120" s="12"/>
      <c r="E120" s="12"/>
    </row>
    <row r="121" spans="1:6" x14ac:dyDescent="0.25">
      <c r="B121" s="12"/>
      <c r="C121" s="12"/>
      <c r="D121" s="12"/>
      <c r="E121" s="12" t="s">
        <v>116</v>
      </c>
    </row>
    <row r="122" spans="1:6" x14ac:dyDescent="0.25">
      <c r="A122" s="34"/>
      <c r="B122" s="10"/>
      <c r="C122" s="10"/>
      <c r="D122" s="10"/>
      <c r="E122" s="12"/>
    </row>
    <row r="123" spans="1:6" ht="15.75" x14ac:dyDescent="0.25">
      <c r="A123" s="124" t="s">
        <v>178</v>
      </c>
      <c r="B123" s="125"/>
      <c r="C123" s="125"/>
      <c r="D123" s="125"/>
      <c r="E123" s="12"/>
    </row>
    <row r="124" spans="1:6" x14ac:dyDescent="0.25">
      <c r="A124" s="126" t="s">
        <v>177</v>
      </c>
      <c r="B124" s="126"/>
      <c r="C124" s="126"/>
      <c r="D124" s="126"/>
      <c r="E124" s="12"/>
    </row>
    <row r="125" spans="1:6" x14ac:dyDescent="0.25">
      <c r="A125" s="34"/>
      <c r="B125" s="10"/>
      <c r="C125" s="10"/>
      <c r="D125" s="10"/>
      <c r="E125" s="12"/>
      <c r="F125" s="13" t="s">
        <v>148</v>
      </c>
    </row>
    <row r="126" spans="1:6" x14ac:dyDescent="0.25">
      <c r="A126" s="115" t="s">
        <v>4</v>
      </c>
      <c r="B126" s="115" t="s">
        <v>5</v>
      </c>
      <c r="C126" s="115" t="s">
        <v>124</v>
      </c>
      <c r="D126" s="15" t="s">
        <v>8</v>
      </c>
      <c r="E126" s="12"/>
    </row>
    <row r="127" spans="1:6" x14ac:dyDescent="0.25">
      <c r="A127" s="116"/>
      <c r="B127" s="116"/>
      <c r="C127" s="116"/>
      <c r="D127" s="16" t="s">
        <v>5</v>
      </c>
      <c r="E127" s="12"/>
    </row>
    <row r="128" spans="1:6" x14ac:dyDescent="0.25">
      <c r="A128" s="17"/>
      <c r="B128" s="19"/>
      <c r="C128" s="19"/>
      <c r="D128" s="19"/>
      <c r="E128" s="12"/>
    </row>
    <row r="129" spans="1:9" x14ac:dyDescent="0.25">
      <c r="A129" s="18" t="s">
        <v>38</v>
      </c>
      <c r="B129" s="2">
        <v>35000</v>
      </c>
      <c r="C129" s="2"/>
      <c r="D129" s="2">
        <f t="shared" ref="D129:D157" si="0">B129-C129</f>
        <v>35000</v>
      </c>
      <c r="E129" s="12"/>
    </row>
    <row r="130" spans="1:9" x14ac:dyDescent="0.25">
      <c r="A130" s="18" t="s">
        <v>32</v>
      </c>
      <c r="B130" s="2">
        <v>250000</v>
      </c>
      <c r="C130" s="2">
        <v>38250.17</v>
      </c>
      <c r="D130" s="2">
        <f t="shared" si="0"/>
        <v>211749.83000000002</v>
      </c>
      <c r="E130" s="12"/>
    </row>
    <row r="131" spans="1:9" x14ac:dyDescent="0.25">
      <c r="A131" s="18" t="s">
        <v>35</v>
      </c>
      <c r="B131" s="2">
        <v>430000</v>
      </c>
      <c r="C131" s="2">
        <v>518571</v>
      </c>
      <c r="D131" s="2">
        <f t="shared" si="0"/>
        <v>-88571</v>
      </c>
      <c r="E131" s="12" t="s">
        <v>119</v>
      </c>
      <c r="F131" s="12">
        <v>123271</v>
      </c>
      <c r="G131" s="12"/>
    </row>
    <row r="132" spans="1:9" x14ac:dyDescent="0.25">
      <c r="A132" s="18" t="s">
        <v>88</v>
      </c>
      <c r="B132" s="2">
        <v>200000</v>
      </c>
      <c r="C132" s="2">
        <v>29072.080000000002</v>
      </c>
      <c r="D132" s="2">
        <f t="shared" si="0"/>
        <v>170927.91999999998</v>
      </c>
      <c r="E132" s="12"/>
      <c r="G132" s="12">
        <v>857870</v>
      </c>
    </row>
    <row r="133" spans="1:9" x14ac:dyDescent="0.25">
      <c r="A133" s="18" t="s">
        <v>92</v>
      </c>
      <c r="B133" s="2">
        <v>300000</v>
      </c>
      <c r="C133" s="2"/>
      <c r="D133" s="2">
        <f t="shared" si="0"/>
        <v>300000</v>
      </c>
      <c r="E133" s="12"/>
      <c r="G133" s="12"/>
    </row>
    <row r="134" spans="1:9" x14ac:dyDescent="0.25">
      <c r="A134" s="18" t="s">
        <v>166</v>
      </c>
      <c r="B134" s="2">
        <v>180000</v>
      </c>
      <c r="C134" s="2">
        <v>1212</v>
      </c>
      <c r="D134" s="2">
        <f t="shared" si="0"/>
        <v>178788</v>
      </c>
      <c r="E134" s="12"/>
      <c r="G134" s="12"/>
      <c r="I134" s="13">
        <f>30*6</f>
        <v>180</v>
      </c>
    </row>
    <row r="135" spans="1:9" x14ac:dyDescent="0.25">
      <c r="A135" s="18" t="s">
        <v>179</v>
      </c>
      <c r="B135" s="2"/>
      <c r="C135" s="2"/>
      <c r="D135" s="2">
        <f t="shared" si="0"/>
        <v>0</v>
      </c>
      <c r="E135" s="12" t="s">
        <v>112</v>
      </c>
      <c r="F135" s="12">
        <v>131800</v>
      </c>
      <c r="G135" s="12">
        <f>G132*55%</f>
        <v>471828.50000000006</v>
      </c>
      <c r="I135" s="13">
        <f>I134*12</f>
        <v>2160</v>
      </c>
    </row>
    <row r="136" spans="1:9" x14ac:dyDescent="0.25">
      <c r="A136" s="18" t="s">
        <v>138</v>
      </c>
      <c r="B136" s="2">
        <v>300000</v>
      </c>
      <c r="C136" s="2">
        <v>369187.5</v>
      </c>
      <c r="D136" s="2">
        <f t="shared" si="0"/>
        <v>-69187.5</v>
      </c>
      <c r="G136" s="12"/>
    </row>
    <row r="137" spans="1:9" x14ac:dyDescent="0.25">
      <c r="A137" s="18" t="s">
        <v>139</v>
      </c>
      <c r="B137" s="2">
        <v>400000</v>
      </c>
      <c r="C137" s="2">
        <v>500000</v>
      </c>
      <c r="D137" s="2">
        <f t="shared" si="0"/>
        <v>-100000</v>
      </c>
      <c r="G137" s="12"/>
    </row>
    <row r="138" spans="1:9" x14ac:dyDescent="0.25">
      <c r="A138" s="18" t="s">
        <v>140</v>
      </c>
      <c r="B138" s="2">
        <v>200000</v>
      </c>
      <c r="C138" s="2"/>
      <c r="D138" s="2">
        <f t="shared" si="0"/>
        <v>200000</v>
      </c>
      <c r="E138" s="13" t="s">
        <v>118</v>
      </c>
      <c r="F138" s="12">
        <v>63020</v>
      </c>
      <c r="G138" s="12">
        <f>150*3000</f>
        <v>450000</v>
      </c>
      <c r="I138" s="13">
        <f>300*150</f>
        <v>45000</v>
      </c>
    </row>
    <row r="139" spans="1:9" x14ac:dyDescent="0.25">
      <c r="A139" s="18" t="s">
        <v>141</v>
      </c>
      <c r="B139" s="2">
        <v>100000</v>
      </c>
      <c r="C139" s="2"/>
      <c r="D139" s="2">
        <f t="shared" si="0"/>
        <v>100000</v>
      </c>
      <c r="E139" s="13" t="s">
        <v>117</v>
      </c>
      <c r="F139" s="12">
        <v>3999</v>
      </c>
      <c r="G139" s="12"/>
    </row>
    <row r="140" spans="1:9" x14ac:dyDescent="0.25">
      <c r="A140" s="18" t="s">
        <v>180</v>
      </c>
      <c r="B140" s="2">
        <v>125000</v>
      </c>
      <c r="C140" s="2">
        <f>8000+41725</f>
        <v>49725</v>
      </c>
      <c r="D140" s="2">
        <f t="shared" si="0"/>
        <v>75275</v>
      </c>
      <c r="G140" s="13">
        <f>35*3</f>
        <v>105</v>
      </c>
    </row>
    <row r="141" spans="1:9" x14ac:dyDescent="0.25">
      <c r="A141" s="18" t="s">
        <v>36</v>
      </c>
      <c r="B141" s="2">
        <v>20000</v>
      </c>
      <c r="C141" s="2"/>
      <c r="D141" s="2">
        <f t="shared" si="0"/>
        <v>20000</v>
      </c>
      <c r="E141" s="13" t="s">
        <v>117</v>
      </c>
      <c r="F141" s="12">
        <v>2074.83</v>
      </c>
      <c r="G141" s="13">
        <f>G140*6</f>
        <v>630</v>
      </c>
    </row>
    <row r="142" spans="1:9" x14ac:dyDescent="0.25">
      <c r="A142" s="18" t="s">
        <v>90</v>
      </c>
      <c r="B142" s="2">
        <v>80000</v>
      </c>
      <c r="C142" s="2">
        <v>8719</v>
      </c>
      <c r="D142" s="2">
        <f t="shared" si="0"/>
        <v>71281</v>
      </c>
    </row>
    <row r="143" spans="1:9" x14ac:dyDescent="0.25">
      <c r="A143" s="18" t="s">
        <v>86</v>
      </c>
      <c r="B143" s="2">
        <v>75000</v>
      </c>
      <c r="C143" s="2">
        <v>32000</v>
      </c>
      <c r="D143" s="2">
        <f t="shared" si="0"/>
        <v>43000</v>
      </c>
    </row>
    <row r="144" spans="1:9" x14ac:dyDescent="0.25">
      <c r="A144" s="18" t="s">
        <v>181</v>
      </c>
      <c r="B144" s="2">
        <v>75000</v>
      </c>
      <c r="C144" s="2"/>
      <c r="D144" s="2">
        <f t="shared" si="0"/>
        <v>75000</v>
      </c>
    </row>
    <row r="145" spans="1:10" x14ac:dyDescent="0.25">
      <c r="A145" s="18" t="s">
        <v>182</v>
      </c>
      <c r="B145" s="2">
        <v>1200000</v>
      </c>
      <c r="C145" s="2">
        <v>1848327.5</v>
      </c>
      <c r="D145" s="2">
        <f t="shared" si="0"/>
        <v>-648327.5</v>
      </c>
      <c r="E145" s="13" t="s">
        <v>121</v>
      </c>
      <c r="F145" s="12">
        <v>190903.53</v>
      </c>
    </row>
    <row r="146" spans="1:10" x14ac:dyDescent="0.25">
      <c r="A146" s="18" t="s">
        <v>49</v>
      </c>
      <c r="B146" s="2">
        <v>100000</v>
      </c>
      <c r="C146" s="2">
        <v>100000</v>
      </c>
      <c r="D146" s="2">
        <f t="shared" si="0"/>
        <v>0</v>
      </c>
      <c r="E146" s="13" t="s">
        <v>120</v>
      </c>
      <c r="F146" s="12">
        <v>50659.05</v>
      </c>
    </row>
    <row r="147" spans="1:10" x14ac:dyDescent="0.25">
      <c r="A147" s="18" t="s">
        <v>33</v>
      </c>
      <c r="B147" s="2">
        <v>150000</v>
      </c>
      <c r="C147" s="2">
        <v>157300</v>
      </c>
      <c r="D147" s="2">
        <f t="shared" si="0"/>
        <v>-7300</v>
      </c>
      <c r="E147" s="12" t="s">
        <v>112</v>
      </c>
      <c r="F147" s="12">
        <v>246771</v>
      </c>
    </row>
    <row r="148" spans="1:10" x14ac:dyDescent="0.25">
      <c r="A148" s="18" t="s">
        <v>41</v>
      </c>
      <c r="B148" s="2">
        <v>70000</v>
      </c>
      <c r="C148" s="2"/>
      <c r="D148" s="2">
        <f t="shared" si="0"/>
        <v>70000</v>
      </c>
    </row>
    <row r="149" spans="1:10" x14ac:dyDescent="0.25">
      <c r="A149" s="18" t="s">
        <v>145</v>
      </c>
      <c r="B149" s="2">
        <v>800000</v>
      </c>
      <c r="C149" s="2">
        <v>288981.34999999998</v>
      </c>
      <c r="D149" s="2">
        <f t="shared" si="0"/>
        <v>511018.65</v>
      </c>
    </row>
    <row r="150" spans="1:10" x14ac:dyDescent="0.25">
      <c r="A150" s="18" t="s">
        <v>50</v>
      </c>
      <c r="B150" s="2">
        <v>20000</v>
      </c>
      <c r="C150" s="2"/>
      <c r="D150" s="2">
        <f t="shared" si="0"/>
        <v>20000</v>
      </c>
    </row>
    <row r="151" spans="1:10" x14ac:dyDescent="0.25">
      <c r="A151" s="18" t="s">
        <v>94</v>
      </c>
      <c r="B151" s="2">
        <v>15000</v>
      </c>
      <c r="C151" s="2">
        <v>9233.5</v>
      </c>
      <c r="D151" s="2">
        <f t="shared" si="0"/>
        <v>5766.5</v>
      </c>
    </row>
    <row r="152" spans="1:10" x14ac:dyDescent="0.25">
      <c r="A152" s="18" t="s">
        <v>51</v>
      </c>
      <c r="B152" s="2">
        <v>750000</v>
      </c>
      <c r="C152" s="2">
        <v>161919</v>
      </c>
      <c r="D152" s="2">
        <f t="shared" si="0"/>
        <v>588081</v>
      </c>
    </row>
    <row r="153" spans="1:10" x14ac:dyDescent="0.25">
      <c r="A153" s="18" t="s">
        <v>52</v>
      </c>
      <c r="B153" s="2">
        <v>50000</v>
      </c>
      <c r="C153" s="2">
        <v>411</v>
      </c>
      <c r="D153" s="2">
        <f t="shared" si="0"/>
        <v>49589</v>
      </c>
      <c r="G153" s="14"/>
    </row>
    <row r="154" spans="1:10" x14ac:dyDescent="0.25">
      <c r="A154" s="18" t="s">
        <v>167</v>
      </c>
      <c r="B154" s="2">
        <v>200000</v>
      </c>
      <c r="C154" s="2"/>
      <c r="D154" s="2">
        <f t="shared" si="0"/>
        <v>200000</v>
      </c>
    </row>
    <row r="155" spans="1:10" x14ac:dyDescent="0.25">
      <c r="A155" s="18" t="s">
        <v>37</v>
      </c>
      <c r="B155" s="2">
        <v>40247.599999999999</v>
      </c>
      <c r="C155" s="2"/>
      <c r="D155" s="2">
        <f t="shared" si="0"/>
        <v>40247.599999999999</v>
      </c>
      <c r="F155" s="12">
        <v>43523901.710000001</v>
      </c>
    </row>
    <row r="156" spans="1:10" x14ac:dyDescent="0.25">
      <c r="A156" s="18" t="s">
        <v>165</v>
      </c>
      <c r="B156" s="2">
        <v>400000</v>
      </c>
      <c r="C156" s="2"/>
      <c r="D156" s="2">
        <f t="shared" si="0"/>
        <v>400000</v>
      </c>
      <c r="F156" s="12">
        <v>19098</v>
      </c>
    </row>
    <row r="157" spans="1:10" x14ac:dyDescent="0.25">
      <c r="A157" s="18" t="s">
        <v>183</v>
      </c>
      <c r="B157" s="2">
        <v>700000</v>
      </c>
      <c r="C157" s="2">
        <v>582303</v>
      </c>
      <c r="D157" s="2">
        <f t="shared" si="0"/>
        <v>117697</v>
      </c>
      <c r="F157" s="12">
        <f>F155/F156</f>
        <v>2278.9769457534821</v>
      </c>
    </row>
    <row r="158" spans="1:10" x14ac:dyDescent="0.25">
      <c r="A158" s="37"/>
      <c r="B158" s="6"/>
      <c r="C158" s="6"/>
      <c r="D158" s="2"/>
      <c r="I158" s="13" t="e">
        <f>SUM(#REF!)</f>
        <v>#REF!</v>
      </c>
      <c r="J158" s="13" t="s">
        <v>123</v>
      </c>
    </row>
    <row r="159" spans="1:10" x14ac:dyDescent="0.25">
      <c r="A159" s="28" t="s">
        <v>27</v>
      </c>
      <c r="B159" s="8">
        <f>SUM(B129:B158)</f>
        <v>7265247.5999999996</v>
      </c>
      <c r="C159" s="8">
        <f>SUM(C129:C158)</f>
        <v>4695212.0999999996</v>
      </c>
      <c r="D159" s="8">
        <f>SUM(D129:D158)</f>
        <v>2570035.5</v>
      </c>
      <c r="G159" s="13">
        <f>SUM(G158:G158)</f>
        <v>0</v>
      </c>
      <c r="H159" s="13" t="s">
        <v>122</v>
      </c>
    </row>
    <row r="160" spans="1:10" x14ac:dyDescent="0.25">
      <c r="B160" s="7"/>
    </row>
    <row r="161" spans="1:4" x14ac:dyDescent="0.25">
      <c r="A161" s="43" t="s">
        <v>65</v>
      </c>
      <c r="B161" s="14"/>
      <c r="C161" s="14"/>
    </row>
    <row r="162" spans="1:4" x14ac:dyDescent="0.25">
      <c r="B162" s="14"/>
      <c r="C162" s="12"/>
    </row>
    <row r="163" spans="1:4" x14ac:dyDescent="0.25">
      <c r="B163" s="14"/>
      <c r="C163" s="12"/>
    </row>
    <row r="164" spans="1:4" x14ac:dyDescent="0.25">
      <c r="A164" s="13" t="s">
        <v>125</v>
      </c>
      <c r="B164" s="14"/>
      <c r="C164" s="12"/>
    </row>
    <row r="165" spans="1:4" x14ac:dyDescent="0.25">
      <c r="A165" s="13" t="s">
        <v>126</v>
      </c>
      <c r="B165" s="14"/>
      <c r="C165" s="12" t="s">
        <v>127</v>
      </c>
    </row>
    <row r="166" spans="1:4" x14ac:dyDescent="0.25">
      <c r="B166" s="14"/>
    </row>
    <row r="167" spans="1:4" x14ac:dyDescent="0.25">
      <c r="C167" s="10"/>
    </row>
    <row r="168" spans="1:4" x14ac:dyDescent="0.25">
      <c r="A168" s="34"/>
      <c r="B168" s="10"/>
      <c r="C168" s="10" t="s">
        <v>128</v>
      </c>
      <c r="D168" s="10"/>
    </row>
    <row r="169" spans="1:4" x14ac:dyDescent="0.25">
      <c r="A169" s="34"/>
      <c r="B169" s="10"/>
      <c r="C169" s="10" t="s">
        <v>129</v>
      </c>
      <c r="D169" s="10"/>
    </row>
    <row r="170" spans="1:4" x14ac:dyDescent="0.25">
      <c r="A170" s="34"/>
      <c r="B170" s="10"/>
      <c r="D170" s="10"/>
    </row>
    <row r="171" spans="1:4" x14ac:dyDescent="0.25">
      <c r="A171" s="34"/>
      <c r="B171" s="10"/>
      <c r="C171" s="10"/>
      <c r="D171" s="10"/>
    </row>
    <row r="172" spans="1:4" x14ac:dyDescent="0.25">
      <c r="A172" s="34"/>
      <c r="B172" s="10"/>
      <c r="C172" s="10"/>
      <c r="D172" s="10"/>
    </row>
    <row r="173" spans="1:4" x14ac:dyDescent="0.25">
      <c r="A173" s="115" t="s">
        <v>4</v>
      </c>
      <c r="B173" s="115" t="s">
        <v>5</v>
      </c>
      <c r="C173" s="115" t="s">
        <v>7</v>
      </c>
      <c r="D173" s="15" t="s">
        <v>8</v>
      </c>
    </row>
    <row r="174" spans="1:4" x14ac:dyDescent="0.25">
      <c r="A174" s="116"/>
      <c r="B174" s="116"/>
      <c r="C174" s="116"/>
      <c r="D174" s="16" t="s">
        <v>5</v>
      </c>
    </row>
    <row r="175" spans="1:4" x14ac:dyDescent="0.25">
      <c r="A175" s="17"/>
      <c r="B175" s="17"/>
      <c r="C175" s="17"/>
      <c r="D175" s="17"/>
    </row>
    <row r="176" spans="1:4" x14ac:dyDescent="0.25">
      <c r="A176" s="26" t="s">
        <v>53</v>
      </c>
      <c r="B176" s="18"/>
      <c r="C176" s="18"/>
      <c r="D176" s="18"/>
    </row>
    <row r="177" spans="1:8" x14ac:dyDescent="0.25">
      <c r="A177" s="27" t="s">
        <v>11</v>
      </c>
      <c r="B177" s="2"/>
      <c r="C177" s="2"/>
      <c r="D177" s="2"/>
    </row>
    <row r="178" spans="1:8" x14ac:dyDescent="0.25">
      <c r="A178" s="4" t="s">
        <v>58</v>
      </c>
      <c r="B178" s="2">
        <f>151694.65+400000</f>
        <v>551694.65</v>
      </c>
      <c r="C178" s="2">
        <v>262959.65000000002</v>
      </c>
      <c r="D178" s="2">
        <f t="shared" ref="D178:D197" si="1">B178-C178</f>
        <v>288735</v>
      </c>
    </row>
    <row r="179" spans="1:8" x14ac:dyDescent="0.25">
      <c r="A179" s="4" t="s">
        <v>59</v>
      </c>
      <c r="B179" s="2">
        <f>500000+700000</f>
        <v>1200000</v>
      </c>
      <c r="C179" s="11">
        <v>1072500</v>
      </c>
      <c r="D179" s="2">
        <f t="shared" si="1"/>
        <v>127500</v>
      </c>
      <c r="F179" s="14">
        <f>C179*12</f>
        <v>12870000</v>
      </c>
    </row>
    <row r="180" spans="1:8" x14ac:dyDescent="0.25">
      <c r="A180" s="44" t="s">
        <v>115</v>
      </c>
      <c r="B180" s="2">
        <v>300000</v>
      </c>
      <c r="C180" s="18"/>
      <c r="D180" s="2">
        <f t="shared" si="1"/>
        <v>300000</v>
      </c>
      <c r="H180" s="13">
        <v>1000</v>
      </c>
    </row>
    <row r="181" spans="1:8" x14ac:dyDescent="0.25">
      <c r="A181" s="27" t="s">
        <v>12</v>
      </c>
      <c r="B181" s="2"/>
      <c r="C181" s="2"/>
      <c r="D181" s="2">
        <f t="shared" si="1"/>
        <v>0</v>
      </c>
      <c r="F181" s="14">
        <f>B182/4</f>
        <v>418209.08250000002</v>
      </c>
      <c r="H181" s="13">
        <v>50000</v>
      </c>
    </row>
    <row r="182" spans="1:8" x14ac:dyDescent="0.25">
      <c r="A182" s="4" t="s">
        <v>54</v>
      </c>
      <c r="B182" s="2">
        <v>1672836.33</v>
      </c>
      <c r="C182" s="2">
        <v>20000</v>
      </c>
      <c r="D182" s="2">
        <f t="shared" si="1"/>
        <v>1652836.33</v>
      </c>
      <c r="H182" s="13">
        <f>H180/H181</f>
        <v>0.02</v>
      </c>
    </row>
    <row r="183" spans="1:8" x14ac:dyDescent="0.25">
      <c r="A183" s="4" t="s">
        <v>55</v>
      </c>
      <c r="B183" s="2">
        <v>15000</v>
      </c>
      <c r="C183" s="2"/>
      <c r="D183" s="2">
        <f t="shared" si="1"/>
        <v>15000</v>
      </c>
      <c r="F183" s="13">
        <v>1500</v>
      </c>
    </row>
    <row r="184" spans="1:8" x14ac:dyDescent="0.25">
      <c r="A184" s="4" t="s">
        <v>56</v>
      </c>
      <c r="B184" s="2">
        <v>20000</v>
      </c>
      <c r="C184" s="2"/>
      <c r="D184" s="2">
        <f t="shared" si="1"/>
        <v>20000</v>
      </c>
      <c r="F184" s="13">
        <v>10800</v>
      </c>
    </row>
    <row r="185" spans="1:8" x14ac:dyDescent="0.25">
      <c r="A185" s="4" t="s">
        <v>57</v>
      </c>
      <c r="B185" s="2">
        <v>50000</v>
      </c>
      <c r="C185" s="2">
        <f>23300+13000</f>
        <v>36300</v>
      </c>
      <c r="D185" s="2">
        <f t="shared" si="1"/>
        <v>13700</v>
      </c>
      <c r="F185" s="13">
        <v>7200</v>
      </c>
      <c r="H185" s="13">
        <f>91*500</f>
        <v>45500</v>
      </c>
    </row>
    <row r="186" spans="1:8" x14ac:dyDescent="0.25">
      <c r="A186" s="4" t="s">
        <v>60</v>
      </c>
      <c r="B186" s="2">
        <f>400000+600000</f>
        <v>1000000</v>
      </c>
      <c r="C186" s="11">
        <f>300000+450000</f>
        <v>750000</v>
      </c>
      <c r="D186" s="2">
        <f t="shared" si="1"/>
        <v>250000</v>
      </c>
      <c r="F186" s="13">
        <f>SUM(F183:F185)</f>
        <v>19500</v>
      </c>
    </row>
    <row r="187" spans="1:8" x14ac:dyDescent="0.25">
      <c r="A187" s="4" t="s">
        <v>103</v>
      </c>
      <c r="B187" s="2">
        <v>20000</v>
      </c>
      <c r="C187" s="11">
        <v>22473</v>
      </c>
      <c r="D187" s="2">
        <f t="shared" si="1"/>
        <v>-2473</v>
      </c>
      <c r="G187" s="12">
        <v>1800000</v>
      </c>
      <c r="H187" s="13">
        <f>65/2</f>
        <v>32.5</v>
      </c>
    </row>
    <row r="188" spans="1:8" x14ac:dyDescent="0.25">
      <c r="A188" s="4" t="s">
        <v>61</v>
      </c>
      <c r="B188" s="2">
        <f>300000+300000</f>
        <v>600000</v>
      </c>
      <c r="C188" s="47">
        <f>72597.82+64200+55700+131800+80339.16+101467.05</f>
        <v>506104.02999999997</v>
      </c>
      <c r="D188" s="2">
        <f t="shared" si="1"/>
        <v>93895.97000000003</v>
      </c>
      <c r="F188" s="12">
        <v>80339.16</v>
      </c>
      <c r="G188" s="12">
        <v>507550</v>
      </c>
    </row>
    <row r="189" spans="1:8" x14ac:dyDescent="0.25">
      <c r="A189" s="4" t="s">
        <v>104</v>
      </c>
      <c r="B189" s="2">
        <f>500000+300000</f>
        <v>800000</v>
      </c>
      <c r="C189" s="47">
        <v>800000</v>
      </c>
      <c r="D189" s="2">
        <f t="shared" si="1"/>
        <v>0</v>
      </c>
      <c r="E189" s="12" t="s">
        <v>120</v>
      </c>
      <c r="F189" s="12">
        <f>50659.05+50808</f>
        <v>101467.05</v>
      </c>
      <c r="G189" s="12">
        <v>946771</v>
      </c>
    </row>
    <row r="190" spans="1:8" x14ac:dyDescent="0.25">
      <c r="A190" s="4" t="s">
        <v>105</v>
      </c>
      <c r="B190" s="2">
        <f>50000</f>
        <v>50000</v>
      </c>
      <c r="C190" s="2">
        <v>47007</v>
      </c>
      <c r="D190" s="2">
        <f t="shared" si="1"/>
        <v>2993</v>
      </c>
      <c r="G190" s="12"/>
    </row>
    <row r="191" spans="1:8" x14ac:dyDescent="0.25">
      <c r="A191" s="27" t="s">
        <v>13</v>
      </c>
      <c r="B191" s="2"/>
      <c r="C191" s="2"/>
      <c r="D191" s="2">
        <f t="shared" si="1"/>
        <v>0</v>
      </c>
      <c r="G191" s="12">
        <f>SUM(G188:G190)</f>
        <v>1454321</v>
      </c>
    </row>
    <row r="192" spans="1:8" x14ac:dyDescent="0.25">
      <c r="A192" s="4" t="s">
        <v>106</v>
      </c>
      <c r="B192" s="2">
        <v>500000</v>
      </c>
      <c r="C192" s="2">
        <f>33000+371788.5+190903.53</f>
        <v>595692.03</v>
      </c>
      <c r="D192" s="2">
        <f t="shared" si="1"/>
        <v>-95692.030000000028</v>
      </c>
      <c r="F192" s="12">
        <v>95692.03</v>
      </c>
      <c r="G192" s="14">
        <f>G187-G191</f>
        <v>345679</v>
      </c>
    </row>
    <row r="193" spans="1:7" x14ac:dyDescent="0.25">
      <c r="A193" s="4" t="s">
        <v>62</v>
      </c>
      <c r="B193" s="2"/>
      <c r="C193" s="2"/>
      <c r="D193" s="2">
        <f t="shared" si="1"/>
        <v>0</v>
      </c>
      <c r="G193" s="12">
        <v>1070000</v>
      </c>
    </row>
    <row r="194" spans="1:7" x14ac:dyDescent="0.25">
      <c r="A194" s="5" t="s">
        <v>63</v>
      </c>
      <c r="B194" s="2">
        <v>1500000</v>
      </c>
      <c r="C194" s="12">
        <v>190903.53</v>
      </c>
      <c r="D194" s="2">
        <f t="shared" si="1"/>
        <v>1309096.47</v>
      </c>
      <c r="F194" s="13">
        <f>65000/95</f>
        <v>684.21052631578948</v>
      </c>
      <c r="G194" s="12">
        <v>544408.81999999995</v>
      </c>
    </row>
    <row r="195" spans="1:7" x14ac:dyDescent="0.25">
      <c r="A195" s="4" t="s">
        <v>107</v>
      </c>
      <c r="B195" s="2">
        <v>50000</v>
      </c>
      <c r="C195" s="11">
        <v>10425</v>
      </c>
      <c r="D195" s="2">
        <f t="shared" si="1"/>
        <v>39575</v>
      </c>
      <c r="G195" s="12">
        <v>301800</v>
      </c>
    </row>
    <row r="196" spans="1:7" x14ac:dyDescent="0.25">
      <c r="A196" s="4" t="s">
        <v>108</v>
      </c>
      <c r="B196" s="2">
        <v>80000</v>
      </c>
      <c r="C196" s="11">
        <v>80000</v>
      </c>
      <c r="D196" s="2">
        <f t="shared" si="1"/>
        <v>0</v>
      </c>
      <c r="G196" s="12">
        <f>SUM(G194:G195)</f>
        <v>846208.82</v>
      </c>
    </row>
    <row r="197" spans="1:7" x14ac:dyDescent="0.25">
      <c r="A197" s="4" t="s">
        <v>109</v>
      </c>
      <c r="B197" s="2">
        <v>150000</v>
      </c>
      <c r="C197" s="2">
        <v>144800</v>
      </c>
      <c r="D197" s="2">
        <f t="shared" si="1"/>
        <v>5200</v>
      </c>
      <c r="G197" s="14">
        <f>G193-G196</f>
        <v>223791.18000000005</v>
      </c>
    </row>
    <row r="198" spans="1:7" x14ac:dyDescent="0.25">
      <c r="A198" s="4"/>
      <c r="B198" s="2"/>
      <c r="C198" s="2"/>
      <c r="D198" s="2"/>
      <c r="G198" s="14">
        <f>G197+G192</f>
        <v>569470.18000000005</v>
      </c>
    </row>
    <row r="199" spans="1:7" x14ac:dyDescent="0.25">
      <c r="A199" s="39" t="s">
        <v>27</v>
      </c>
      <c r="B199" s="8">
        <f>SUM(B178:B198)</f>
        <v>8559530.9800000004</v>
      </c>
      <c r="C199" s="8">
        <f>SUM(C178:C198)</f>
        <v>4539164.24</v>
      </c>
      <c r="D199" s="8">
        <f>SUM(D178:D198)</f>
        <v>4020366.74</v>
      </c>
    </row>
    <row r="200" spans="1:7" ht="15.75" thickBot="1" x14ac:dyDescent="0.3">
      <c r="A200" s="41" t="s">
        <v>64</v>
      </c>
      <c r="B200" s="20">
        <f>B199+B159+B117+B110+B103+B96+B89+B82+B75+B57+B50+B43+B36+B29+B22+B15</f>
        <v>37677621.550000004</v>
      </c>
      <c r="C200" s="20">
        <f>C199+C159+C117+C110+C103+C96+C89+C82+C75+C57+C50+C43+C36+C29+C22+C15</f>
        <v>29502392.510000002</v>
      </c>
      <c r="D200" s="20">
        <f>D199+D159+D117+D110+D103+D96+D89+D82+D75+D57+D50+D43+D36+D29+D22+D15</f>
        <v>7704783.6599999992</v>
      </c>
    </row>
    <row r="201" spans="1:7" ht="15.75" thickTop="1" x14ac:dyDescent="0.25">
      <c r="B201" s="12"/>
      <c r="C201" s="12"/>
      <c r="D201" s="12"/>
    </row>
    <row r="202" spans="1:7" x14ac:dyDescent="0.25">
      <c r="A202" s="13" t="s">
        <v>65</v>
      </c>
      <c r="B202" s="12"/>
      <c r="C202" s="12"/>
      <c r="D202" s="12"/>
    </row>
    <row r="203" spans="1:7" x14ac:dyDescent="0.25">
      <c r="B203" s="12"/>
      <c r="C203" s="12"/>
      <c r="D203" s="12"/>
    </row>
    <row r="204" spans="1:7" x14ac:dyDescent="0.25">
      <c r="B204" s="12"/>
      <c r="C204" s="12"/>
      <c r="D204" s="12"/>
    </row>
    <row r="205" spans="1:7" x14ac:dyDescent="0.25">
      <c r="A205" s="42" t="s">
        <v>66</v>
      </c>
      <c r="B205" s="12"/>
      <c r="C205" s="12"/>
      <c r="D205" s="12"/>
    </row>
    <row r="206" spans="1:7" x14ac:dyDescent="0.25">
      <c r="A206" s="13" t="s">
        <v>67</v>
      </c>
      <c r="B206" s="12"/>
      <c r="C206" s="12"/>
      <c r="D206" s="12"/>
    </row>
    <row r="207" spans="1:7" x14ac:dyDescent="0.25">
      <c r="B207" s="12"/>
      <c r="C207" s="12">
        <v>225800</v>
      </c>
      <c r="D207" s="12"/>
    </row>
    <row r="208" spans="1:7" x14ac:dyDescent="0.25">
      <c r="B208" s="12"/>
      <c r="C208" s="12">
        <v>72597.820000000007</v>
      </c>
      <c r="D208" s="12"/>
    </row>
    <row r="209" spans="1:4" x14ac:dyDescent="0.25">
      <c r="B209" s="12"/>
      <c r="C209" s="12">
        <f>SUM(C207:C208)</f>
        <v>298397.82</v>
      </c>
      <c r="D209" s="12" t="s">
        <v>110</v>
      </c>
    </row>
    <row r="210" spans="1:4" x14ac:dyDescent="0.25">
      <c r="B210" s="12"/>
      <c r="C210" s="12"/>
      <c r="D210" s="12">
        <f>6000+11939.5+11450</f>
        <v>29389.5</v>
      </c>
    </row>
    <row r="211" spans="1:4" x14ac:dyDescent="0.25">
      <c r="B211" s="12"/>
      <c r="C211" s="12">
        <f>C188+C135</f>
        <v>506104.02999999997</v>
      </c>
      <c r="D211" s="12"/>
    </row>
    <row r="212" spans="1:4" x14ac:dyDescent="0.25">
      <c r="B212" s="12"/>
      <c r="C212" s="12">
        <v>25800</v>
      </c>
      <c r="D212" s="12"/>
    </row>
    <row r="213" spans="1:4" x14ac:dyDescent="0.25">
      <c r="B213" s="12"/>
      <c r="C213" s="12">
        <f>SUM(C211:C212)</f>
        <v>531904.03</v>
      </c>
      <c r="D213" s="12" t="s">
        <v>111</v>
      </c>
    </row>
    <row r="214" spans="1:4" x14ac:dyDescent="0.25">
      <c r="B214" s="12"/>
      <c r="C214" s="12">
        <f>C209-C213</f>
        <v>-233506.21000000002</v>
      </c>
      <c r="D214" s="12">
        <f>4675+7118</f>
        <v>11793</v>
      </c>
    </row>
    <row r="215" spans="1:4" x14ac:dyDescent="0.25">
      <c r="B215" s="12"/>
      <c r="C215" s="12"/>
      <c r="D215" s="12"/>
    </row>
    <row r="216" spans="1:4" x14ac:dyDescent="0.25">
      <c r="B216" s="12"/>
      <c r="C216" s="12"/>
      <c r="D216" s="12"/>
    </row>
    <row r="217" spans="1:4" x14ac:dyDescent="0.25">
      <c r="B217" s="12"/>
      <c r="C217" s="12"/>
      <c r="D217" s="12"/>
    </row>
    <row r="218" spans="1:4" x14ac:dyDescent="0.25">
      <c r="B218" s="12"/>
      <c r="C218" s="12"/>
      <c r="D218" s="12"/>
    </row>
    <row r="219" spans="1:4" x14ac:dyDescent="0.25">
      <c r="B219" s="12"/>
      <c r="C219" s="12"/>
      <c r="D219" s="12"/>
    </row>
    <row r="220" spans="1:4" ht="15.75" x14ac:dyDescent="0.25">
      <c r="A220" s="124" t="s">
        <v>178</v>
      </c>
      <c r="B220" s="125"/>
      <c r="C220" s="125"/>
      <c r="D220" s="125"/>
    </row>
    <row r="221" spans="1:4" x14ac:dyDescent="0.25">
      <c r="A221" s="126" t="s">
        <v>177</v>
      </c>
      <c r="B221" s="126"/>
      <c r="C221" s="126"/>
      <c r="D221" s="126"/>
    </row>
    <row r="222" spans="1:4" x14ac:dyDescent="0.25">
      <c r="A222" s="34"/>
      <c r="B222" s="10"/>
      <c r="C222" s="10"/>
      <c r="D222" s="10"/>
    </row>
    <row r="223" spans="1:4" x14ac:dyDescent="0.25">
      <c r="A223" s="115" t="s">
        <v>4</v>
      </c>
      <c r="B223" s="115" t="s">
        <v>5</v>
      </c>
      <c r="C223" s="115" t="s">
        <v>124</v>
      </c>
      <c r="D223" s="15" t="s">
        <v>8</v>
      </c>
    </row>
    <row r="224" spans="1:4" x14ac:dyDescent="0.25">
      <c r="A224" s="116"/>
      <c r="B224" s="116"/>
      <c r="C224" s="116"/>
      <c r="D224" s="16" t="s">
        <v>5</v>
      </c>
    </row>
    <row r="225" spans="1:6" x14ac:dyDescent="0.25">
      <c r="A225" s="17"/>
      <c r="B225" s="19"/>
      <c r="C225" s="19"/>
      <c r="D225" s="19"/>
    </row>
    <row r="226" spans="1:6" x14ac:dyDescent="0.25">
      <c r="A226" s="18" t="s">
        <v>38</v>
      </c>
      <c r="B226" s="2">
        <v>35000</v>
      </c>
      <c r="C226" s="2"/>
      <c r="D226" s="2">
        <f t="shared" ref="D226:D254" si="2">B226-C226</f>
        <v>35000</v>
      </c>
    </row>
    <row r="227" spans="1:6" x14ac:dyDescent="0.25">
      <c r="A227" s="18" t="s">
        <v>32</v>
      </c>
      <c r="B227" s="2">
        <v>250000</v>
      </c>
      <c r="C227" s="11">
        <v>45213.5</v>
      </c>
      <c r="D227" s="2">
        <f t="shared" si="2"/>
        <v>204786.5</v>
      </c>
    </row>
    <row r="228" spans="1:6" x14ac:dyDescent="0.25">
      <c r="A228" s="18" t="s">
        <v>35</v>
      </c>
      <c r="B228" s="2">
        <v>430000</v>
      </c>
      <c r="C228" s="11">
        <v>782356</v>
      </c>
      <c r="D228" s="2">
        <f t="shared" si="2"/>
        <v>-352356</v>
      </c>
    </row>
    <row r="229" spans="1:6" x14ac:dyDescent="0.25">
      <c r="A229" s="18" t="s">
        <v>88</v>
      </c>
      <c r="B229" s="2">
        <v>200000</v>
      </c>
      <c r="C229" s="11">
        <v>28872.080000000002</v>
      </c>
      <c r="D229" s="2">
        <f t="shared" si="2"/>
        <v>171127.91999999998</v>
      </c>
    </row>
    <row r="230" spans="1:6" x14ac:dyDescent="0.25">
      <c r="A230" s="18" t="s">
        <v>92</v>
      </c>
      <c r="B230" s="2">
        <v>300000</v>
      </c>
      <c r="C230" s="11">
        <v>190000</v>
      </c>
      <c r="D230" s="2">
        <f t="shared" si="2"/>
        <v>110000</v>
      </c>
    </row>
    <row r="231" spans="1:6" x14ac:dyDescent="0.25">
      <c r="A231" s="18" t="s">
        <v>166</v>
      </c>
      <c r="B231" s="2">
        <v>180000</v>
      </c>
      <c r="C231" s="11">
        <v>1212</v>
      </c>
      <c r="D231" s="2">
        <f t="shared" si="2"/>
        <v>178788</v>
      </c>
    </row>
    <row r="232" spans="1:6" x14ac:dyDescent="0.25">
      <c r="A232" s="18" t="s">
        <v>179</v>
      </c>
      <c r="B232" s="2"/>
      <c r="C232" s="2"/>
      <c r="D232" s="2">
        <f t="shared" si="2"/>
        <v>0</v>
      </c>
    </row>
    <row r="233" spans="1:6" x14ac:dyDescent="0.25">
      <c r="A233" s="18" t="s">
        <v>138</v>
      </c>
      <c r="B233" s="2">
        <v>300000</v>
      </c>
      <c r="C233" s="11">
        <v>319187.5</v>
      </c>
      <c r="D233" s="2">
        <f t="shared" si="2"/>
        <v>-19187.5</v>
      </c>
      <c r="F233" s="14"/>
    </row>
    <row r="234" spans="1:6" x14ac:dyDescent="0.25">
      <c r="A234" s="18" t="s">
        <v>139</v>
      </c>
      <c r="B234" s="2">
        <v>400000</v>
      </c>
      <c r="C234" s="11">
        <v>689440</v>
      </c>
      <c r="D234" s="2">
        <f t="shared" si="2"/>
        <v>-289440</v>
      </c>
    </row>
    <row r="235" spans="1:6" x14ac:dyDescent="0.25">
      <c r="A235" s="18" t="s">
        <v>140</v>
      </c>
      <c r="B235" s="2">
        <v>200000</v>
      </c>
      <c r="C235" s="2"/>
      <c r="D235" s="2">
        <f t="shared" si="2"/>
        <v>200000</v>
      </c>
    </row>
    <row r="236" spans="1:6" x14ac:dyDescent="0.25">
      <c r="A236" s="18" t="s">
        <v>141</v>
      </c>
      <c r="B236" s="2">
        <v>100000</v>
      </c>
      <c r="C236" s="2"/>
      <c r="D236" s="2">
        <f t="shared" si="2"/>
        <v>100000</v>
      </c>
    </row>
    <row r="237" spans="1:6" x14ac:dyDescent="0.25">
      <c r="A237" s="18" t="s">
        <v>180</v>
      </c>
      <c r="B237" s="2">
        <v>125000</v>
      </c>
      <c r="C237" s="11">
        <f>8000+41725</f>
        <v>49725</v>
      </c>
      <c r="D237" s="2">
        <f t="shared" si="2"/>
        <v>75275</v>
      </c>
    </row>
    <row r="238" spans="1:6" x14ac:dyDescent="0.25">
      <c r="A238" s="18" t="s">
        <v>36</v>
      </c>
      <c r="B238" s="2">
        <v>20000</v>
      </c>
      <c r="C238" s="2"/>
      <c r="D238" s="2">
        <f t="shared" si="2"/>
        <v>20000</v>
      </c>
    </row>
    <row r="239" spans="1:6" x14ac:dyDescent="0.25">
      <c r="A239" s="18" t="s">
        <v>90</v>
      </c>
      <c r="B239" s="2">
        <v>80000</v>
      </c>
      <c r="C239" s="11">
        <v>8719</v>
      </c>
      <c r="D239" s="2">
        <f t="shared" si="2"/>
        <v>71281</v>
      </c>
    </row>
    <row r="240" spans="1:6" x14ac:dyDescent="0.25">
      <c r="A240" s="18" t="s">
        <v>86</v>
      </c>
      <c r="B240" s="2">
        <v>75000</v>
      </c>
      <c r="C240" s="2"/>
      <c r="D240" s="2">
        <f t="shared" si="2"/>
        <v>75000</v>
      </c>
    </row>
    <row r="241" spans="1:4" x14ac:dyDescent="0.25">
      <c r="A241" s="18" t="s">
        <v>181</v>
      </c>
      <c r="B241" s="2">
        <v>75000</v>
      </c>
      <c r="C241" s="2"/>
      <c r="D241" s="2">
        <f t="shared" si="2"/>
        <v>75000</v>
      </c>
    </row>
    <row r="242" spans="1:4" x14ac:dyDescent="0.25">
      <c r="A242" s="18" t="s">
        <v>182</v>
      </c>
      <c r="B242" s="2">
        <v>1200000</v>
      </c>
      <c r="C242" s="2">
        <v>2491442.21</v>
      </c>
      <c r="D242" s="2">
        <f t="shared" si="2"/>
        <v>-1291442.21</v>
      </c>
    </row>
    <row r="243" spans="1:4" x14ac:dyDescent="0.25">
      <c r="A243" s="18" t="s">
        <v>49</v>
      </c>
      <c r="B243" s="2">
        <v>100000</v>
      </c>
      <c r="C243" s="2"/>
      <c r="D243" s="77">
        <f t="shared" si="2"/>
        <v>100000</v>
      </c>
    </row>
    <row r="244" spans="1:4" x14ac:dyDescent="0.25">
      <c r="A244" s="18" t="s">
        <v>33</v>
      </c>
      <c r="B244" s="2">
        <v>150000</v>
      </c>
      <c r="C244" s="11">
        <v>57300</v>
      </c>
      <c r="D244" s="2">
        <f t="shared" si="2"/>
        <v>92700</v>
      </c>
    </row>
    <row r="245" spans="1:4" x14ac:dyDescent="0.25">
      <c r="A245" s="18" t="s">
        <v>41</v>
      </c>
      <c r="B245" s="2">
        <v>70000</v>
      </c>
      <c r="C245" s="2"/>
      <c r="D245" s="2">
        <f t="shared" si="2"/>
        <v>70000</v>
      </c>
    </row>
    <row r="246" spans="1:4" x14ac:dyDescent="0.25">
      <c r="A246" s="18" t="s">
        <v>145</v>
      </c>
      <c r="B246" s="2">
        <v>800000</v>
      </c>
      <c r="C246" s="11">
        <v>201761.35</v>
      </c>
      <c r="D246" s="2">
        <f t="shared" si="2"/>
        <v>598238.65</v>
      </c>
    </row>
    <row r="247" spans="1:4" x14ac:dyDescent="0.25">
      <c r="A247" s="18" t="s">
        <v>50</v>
      </c>
      <c r="B247" s="2">
        <v>20000</v>
      </c>
      <c r="C247" s="11">
        <v>600</v>
      </c>
      <c r="D247" s="2">
        <f t="shared" si="2"/>
        <v>19400</v>
      </c>
    </row>
    <row r="248" spans="1:4" x14ac:dyDescent="0.25">
      <c r="A248" s="18" t="s">
        <v>94</v>
      </c>
      <c r="B248" s="2">
        <v>15000</v>
      </c>
      <c r="C248" s="11">
        <v>3400</v>
      </c>
      <c r="D248" s="2">
        <f t="shared" si="2"/>
        <v>11600</v>
      </c>
    </row>
    <row r="249" spans="1:4" x14ac:dyDescent="0.25">
      <c r="A249" s="18" t="s">
        <v>51</v>
      </c>
      <c r="B249" s="2">
        <v>750000</v>
      </c>
      <c r="C249" s="11">
        <v>125579</v>
      </c>
      <c r="D249" s="2">
        <f t="shared" si="2"/>
        <v>624421</v>
      </c>
    </row>
    <row r="250" spans="1:4" x14ac:dyDescent="0.25">
      <c r="A250" s="18" t="s">
        <v>52</v>
      </c>
      <c r="B250" s="2">
        <v>50000</v>
      </c>
      <c r="C250" s="2"/>
      <c r="D250" s="2">
        <f t="shared" si="2"/>
        <v>50000</v>
      </c>
    </row>
    <row r="251" spans="1:4" x14ac:dyDescent="0.25">
      <c r="A251" s="18" t="s">
        <v>167</v>
      </c>
      <c r="B251" s="2">
        <v>200000</v>
      </c>
      <c r="C251" s="2"/>
      <c r="D251" s="2">
        <f t="shared" si="2"/>
        <v>200000</v>
      </c>
    </row>
    <row r="252" spans="1:4" x14ac:dyDescent="0.25">
      <c r="A252" s="18" t="s">
        <v>37</v>
      </c>
      <c r="B252" s="2">
        <v>40247.599999999999</v>
      </c>
      <c r="C252" s="2"/>
      <c r="D252" s="2">
        <f t="shared" si="2"/>
        <v>40247.599999999999</v>
      </c>
    </row>
    <row r="253" spans="1:4" x14ac:dyDescent="0.25">
      <c r="A253" s="18" t="s">
        <v>165</v>
      </c>
      <c r="B253" s="2">
        <v>400000</v>
      </c>
      <c r="C253" s="2"/>
      <c r="D253" s="2">
        <f t="shared" si="2"/>
        <v>400000</v>
      </c>
    </row>
    <row r="254" spans="1:4" x14ac:dyDescent="0.25">
      <c r="A254" s="18" t="s">
        <v>183</v>
      </c>
      <c r="B254" s="2">
        <v>700000</v>
      </c>
      <c r="C254" s="11">
        <v>776404</v>
      </c>
      <c r="D254" s="2">
        <f t="shared" si="2"/>
        <v>-76404</v>
      </c>
    </row>
    <row r="255" spans="1:4" x14ac:dyDescent="0.25">
      <c r="A255" s="37"/>
      <c r="B255" s="6"/>
      <c r="C255" s="6"/>
      <c r="D255" s="2"/>
    </row>
    <row r="256" spans="1:4" x14ac:dyDescent="0.25">
      <c r="A256" s="28" t="s">
        <v>27</v>
      </c>
      <c r="B256" s="8">
        <f>SUM(B226:B255)</f>
        <v>7265247.5999999996</v>
      </c>
      <c r="C256" s="8">
        <f>SUM(C226:C255)</f>
        <v>5771211.6399999997</v>
      </c>
      <c r="D256" s="8">
        <f>SUM(D226:D255)</f>
        <v>1494035.96</v>
      </c>
    </row>
    <row r="257" spans="1:4" x14ac:dyDescent="0.25">
      <c r="B257" s="7"/>
    </row>
    <row r="258" spans="1:4" x14ac:dyDescent="0.25">
      <c r="A258" s="43" t="s">
        <v>65</v>
      </c>
      <c r="B258" s="14"/>
      <c r="C258" s="14"/>
    </row>
    <row r="259" spans="1:4" x14ac:dyDescent="0.25">
      <c r="B259" s="14"/>
      <c r="C259" s="12"/>
    </row>
    <row r="260" spans="1:4" x14ac:dyDescent="0.25">
      <c r="B260" s="14"/>
      <c r="C260" s="12"/>
    </row>
    <row r="261" spans="1:4" x14ac:dyDescent="0.25">
      <c r="A261" s="13" t="s">
        <v>125</v>
      </c>
      <c r="B261" s="14"/>
      <c r="C261" s="12"/>
    </row>
    <row r="262" spans="1:4" x14ac:dyDescent="0.25">
      <c r="A262" s="13" t="s">
        <v>126</v>
      </c>
      <c r="B262" s="14"/>
      <c r="C262" s="12" t="s">
        <v>127</v>
      </c>
    </row>
    <row r="263" spans="1:4" x14ac:dyDescent="0.25">
      <c r="B263" s="14"/>
    </row>
    <row r="264" spans="1:4" x14ac:dyDescent="0.25">
      <c r="C264" s="10"/>
    </row>
    <row r="265" spans="1:4" x14ac:dyDescent="0.25">
      <c r="A265" s="34"/>
      <c r="B265" s="10"/>
      <c r="C265" s="10" t="s">
        <v>128</v>
      </c>
      <c r="D265" s="10"/>
    </row>
    <row r="266" spans="1:4" x14ac:dyDescent="0.25">
      <c r="A266" s="34"/>
      <c r="B266" s="10"/>
      <c r="C266" s="10" t="s">
        <v>129</v>
      </c>
      <c r="D266" s="10"/>
    </row>
    <row r="267" spans="1:4" x14ac:dyDescent="0.25">
      <c r="B267" s="12"/>
      <c r="C267" s="12"/>
      <c r="D267" s="12"/>
    </row>
    <row r="268" spans="1:4" x14ac:dyDescent="0.25">
      <c r="B268" s="12"/>
      <c r="C268" s="12"/>
      <c r="D268" s="12"/>
    </row>
    <row r="269" spans="1:4" ht="15.75" x14ac:dyDescent="0.25">
      <c r="A269" s="124" t="s">
        <v>178</v>
      </c>
      <c r="B269" s="125"/>
      <c r="C269" s="125"/>
      <c r="D269" s="125"/>
    </row>
    <row r="270" spans="1:4" x14ac:dyDescent="0.25">
      <c r="A270" s="126" t="s">
        <v>177</v>
      </c>
      <c r="B270" s="126"/>
      <c r="C270" s="126"/>
      <c r="D270" s="126"/>
    </row>
    <row r="271" spans="1:4" x14ac:dyDescent="0.25">
      <c r="A271" s="34"/>
      <c r="B271" s="10"/>
      <c r="C271" s="10"/>
      <c r="D271" s="10"/>
    </row>
    <row r="272" spans="1:4" x14ac:dyDescent="0.25">
      <c r="A272" s="115" t="s">
        <v>4</v>
      </c>
      <c r="B272" s="115" t="s">
        <v>5</v>
      </c>
      <c r="C272" s="115" t="s">
        <v>124</v>
      </c>
      <c r="D272" s="15" t="s">
        <v>8</v>
      </c>
    </row>
    <row r="273" spans="1:4" x14ac:dyDescent="0.25">
      <c r="A273" s="116"/>
      <c r="B273" s="116"/>
      <c r="C273" s="116"/>
      <c r="D273" s="16" t="s">
        <v>5</v>
      </c>
    </row>
    <row r="274" spans="1:4" x14ac:dyDescent="0.25">
      <c r="A274" s="17"/>
      <c r="B274" s="19"/>
      <c r="C274" s="19"/>
      <c r="D274" s="19"/>
    </row>
    <row r="275" spans="1:4" x14ac:dyDescent="0.25">
      <c r="A275" s="18" t="s">
        <v>38</v>
      </c>
      <c r="B275" s="2">
        <v>35000</v>
      </c>
      <c r="C275" s="2"/>
      <c r="D275" s="2">
        <f t="shared" ref="D275:D303" si="3">B275-C275</f>
        <v>35000</v>
      </c>
    </row>
    <row r="276" spans="1:4" x14ac:dyDescent="0.25">
      <c r="A276" s="18" t="s">
        <v>32</v>
      </c>
      <c r="B276" s="2">
        <v>250000</v>
      </c>
      <c r="C276" s="2">
        <v>46113.5</v>
      </c>
      <c r="D276" s="2">
        <f t="shared" si="3"/>
        <v>203886.5</v>
      </c>
    </row>
    <row r="277" spans="1:4" x14ac:dyDescent="0.25">
      <c r="A277" s="18" t="s">
        <v>35</v>
      </c>
      <c r="B277" s="2">
        <v>430000</v>
      </c>
      <c r="C277" s="2">
        <v>782356</v>
      </c>
      <c r="D277" s="2">
        <f t="shared" si="3"/>
        <v>-352356</v>
      </c>
    </row>
    <row r="278" spans="1:4" x14ac:dyDescent="0.25">
      <c r="A278" s="18" t="s">
        <v>88</v>
      </c>
      <c r="B278" s="2">
        <v>200000</v>
      </c>
      <c r="C278" s="2">
        <v>28872.080000000002</v>
      </c>
      <c r="D278" s="2">
        <f t="shared" si="3"/>
        <v>171127.91999999998</v>
      </c>
    </row>
    <row r="279" spans="1:4" x14ac:dyDescent="0.25">
      <c r="A279" s="18" t="s">
        <v>92</v>
      </c>
      <c r="B279" s="2">
        <v>300000</v>
      </c>
      <c r="C279" s="2">
        <v>190000</v>
      </c>
      <c r="D279" s="2">
        <f t="shared" si="3"/>
        <v>110000</v>
      </c>
    </row>
    <row r="280" spans="1:4" x14ac:dyDescent="0.25">
      <c r="A280" s="18" t="s">
        <v>166</v>
      </c>
      <c r="B280" s="2">
        <v>180000</v>
      </c>
      <c r="C280" s="2">
        <v>1212</v>
      </c>
      <c r="D280" s="2">
        <f t="shared" si="3"/>
        <v>178788</v>
      </c>
    </row>
    <row r="281" spans="1:4" x14ac:dyDescent="0.25">
      <c r="A281" s="18" t="s">
        <v>179</v>
      </c>
      <c r="B281" s="2"/>
      <c r="C281" s="2"/>
      <c r="D281" s="2">
        <f t="shared" si="3"/>
        <v>0</v>
      </c>
    </row>
    <row r="282" spans="1:4" x14ac:dyDescent="0.25">
      <c r="A282" s="18" t="s">
        <v>138</v>
      </c>
      <c r="B282" s="2">
        <v>300000</v>
      </c>
      <c r="C282" s="2">
        <v>319187.5</v>
      </c>
      <c r="D282" s="2">
        <f t="shared" si="3"/>
        <v>-19187.5</v>
      </c>
    </row>
    <row r="283" spans="1:4" x14ac:dyDescent="0.25">
      <c r="A283" s="18" t="s">
        <v>139</v>
      </c>
      <c r="B283" s="2">
        <v>400000</v>
      </c>
      <c r="C283" s="2">
        <v>689440</v>
      </c>
      <c r="D283" s="2">
        <f t="shared" si="3"/>
        <v>-289440</v>
      </c>
    </row>
    <row r="284" spans="1:4" x14ac:dyDescent="0.25">
      <c r="A284" s="18" t="s">
        <v>140</v>
      </c>
      <c r="B284" s="2">
        <v>200000</v>
      </c>
      <c r="C284" s="2"/>
      <c r="D284" s="2">
        <f t="shared" si="3"/>
        <v>200000</v>
      </c>
    </row>
    <row r="285" spans="1:4" x14ac:dyDescent="0.25">
      <c r="A285" s="18" t="s">
        <v>141</v>
      </c>
      <c r="B285" s="2">
        <v>100000</v>
      </c>
      <c r="C285" s="2"/>
      <c r="D285" s="2">
        <f t="shared" si="3"/>
        <v>100000</v>
      </c>
    </row>
    <row r="286" spans="1:4" x14ac:dyDescent="0.25">
      <c r="A286" s="18" t="s">
        <v>180</v>
      </c>
      <c r="B286" s="2">
        <v>125000</v>
      </c>
      <c r="C286" s="2">
        <f>8000+41725</f>
        <v>49725</v>
      </c>
      <c r="D286" s="2">
        <f t="shared" si="3"/>
        <v>75275</v>
      </c>
    </row>
    <row r="287" spans="1:4" x14ac:dyDescent="0.25">
      <c r="A287" s="18" t="s">
        <v>36</v>
      </c>
      <c r="B287" s="2">
        <v>20000</v>
      </c>
      <c r="C287" s="2"/>
      <c r="D287" s="2">
        <f t="shared" si="3"/>
        <v>20000</v>
      </c>
    </row>
    <row r="288" spans="1:4" x14ac:dyDescent="0.25">
      <c r="A288" s="18" t="s">
        <v>90</v>
      </c>
      <c r="B288" s="2">
        <v>80000</v>
      </c>
      <c r="C288" s="2">
        <v>8719</v>
      </c>
      <c r="D288" s="2">
        <f t="shared" si="3"/>
        <v>71281</v>
      </c>
    </row>
    <row r="289" spans="1:4" x14ac:dyDescent="0.25">
      <c r="A289" s="18" t="s">
        <v>86</v>
      </c>
      <c r="B289" s="2">
        <v>75000</v>
      </c>
      <c r="C289" s="2"/>
      <c r="D289" s="2">
        <f t="shared" si="3"/>
        <v>75000</v>
      </c>
    </row>
    <row r="290" spans="1:4" x14ac:dyDescent="0.25">
      <c r="A290" s="18" t="s">
        <v>181</v>
      </c>
      <c r="B290" s="2">
        <v>75000</v>
      </c>
      <c r="C290" s="2"/>
      <c r="D290" s="2">
        <f t="shared" si="3"/>
        <v>75000</v>
      </c>
    </row>
    <row r="291" spans="1:4" x14ac:dyDescent="0.25">
      <c r="A291" s="18" t="s">
        <v>182</v>
      </c>
      <c r="B291" s="2">
        <v>1200000</v>
      </c>
      <c r="C291" s="2">
        <v>2491442.21</v>
      </c>
      <c r="D291" s="2">
        <f t="shared" si="3"/>
        <v>-1291442.21</v>
      </c>
    </row>
    <row r="292" spans="1:4" x14ac:dyDescent="0.25">
      <c r="A292" s="18" t="s">
        <v>49</v>
      </c>
      <c r="B292" s="2">
        <v>100000</v>
      </c>
      <c r="C292" s="2"/>
      <c r="D292" s="2">
        <f t="shared" si="3"/>
        <v>100000</v>
      </c>
    </row>
    <row r="293" spans="1:4" x14ac:dyDescent="0.25">
      <c r="A293" s="18" t="s">
        <v>33</v>
      </c>
      <c r="B293" s="2">
        <v>150000</v>
      </c>
      <c r="C293" s="2">
        <v>57300</v>
      </c>
      <c r="D293" s="2">
        <f t="shared" si="3"/>
        <v>92700</v>
      </c>
    </row>
    <row r="294" spans="1:4" x14ac:dyDescent="0.25">
      <c r="A294" s="18" t="s">
        <v>41</v>
      </c>
      <c r="B294" s="2">
        <v>70000</v>
      </c>
      <c r="C294" s="2"/>
      <c r="D294" s="2">
        <f t="shared" si="3"/>
        <v>70000</v>
      </c>
    </row>
    <row r="295" spans="1:4" x14ac:dyDescent="0.25">
      <c r="A295" s="18" t="s">
        <v>145</v>
      </c>
      <c r="B295" s="2">
        <v>800000</v>
      </c>
      <c r="C295" s="2">
        <v>201761.35</v>
      </c>
      <c r="D295" s="2">
        <f t="shared" si="3"/>
        <v>598238.65</v>
      </c>
    </row>
    <row r="296" spans="1:4" x14ac:dyDescent="0.25">
      <c r="A296" s="18" t="s">
        <v>50</v>
      </c>
      <c r="B296" s="2">
        <v>20000</v>
      </c>
      <c r="C296" s="2">
        <v>600</v>
      </c>
      <c r="D296" s="2">
        <f t="shared" si="3"/>
        <v>19400</v>
      </c>
    </row>
    <row r="297" spans="1:4" x14ac:dyDescent="0.25">
      <c r="A297" s="18" t="s">
        <v>94</v>
      </c>
      <c r="B297" s="2">
        <v>15000</v>
      </c>
      <c r="C297" s="2">
        <v>3400</v>
      </c>
      <c r="D297" s="2">
        <f t="shared" si="3"/>
        <v>11600</v>
      </c>
    </row>
    <row r="298" spans="1:4" x14ac:dyDescent="0.25">
      <c r="A298" s="18" t="s">
        <v>51</v>
      </c>
      <c r="B298" s="2">
        <v>750000</v>
      </c>
      <c r="C298" s="2">
        <v>125579</v>
      </c>
      <c r="D298" s="2">
        <f t="shared" si="3"/>
        <v>624421</v>
      </c>
    </row>
    <row r="299" spans="1:4" x14ac:dyDescent="0.25">
      <c r="A299" s="18" t="s">
        <v>52</v>
      </c>
      <c r="B299" s="2">
        <v>50000</v>
      </c>
      <c r="C299" s="2"/>
      <c r="D299" s="2">
        <f t="shared" si="3"/>
        <v>50000</v>
      </c>
    </row>
    <row r="300" spans="1:4" x14ac:dyDescent="0.25">
      <c r="A300" s="18" t="s">
        <v>167</v>
      </c>
      <c r="B300" s="2">
        <v>200000</v>
      </c>
      <c r="C300" s="2"/>
      <c r="D300" s="2">
        <f t="shared" si="3"/>
        <v>200000</v>
      </c>
    </row>
    <row r="301" spans="1:4" x14ac:dyDescent="0.25">
      <c r="A301" s="18" t="s">
        <v>37</v>
      </c>
      <c r="B301" s="2">
        <v>40247.599999999999</v>
      </c>
      <c r="C301" s="2"/>
      <c r="D301" s="2">
        <f t="shared" si="3"/>
        <v>40247.599999999999</v>
      </c>
    </row>
    <row r="302" spans="1:4" x14ac:dyDescent="0.25">
      <c r="A302" s="18" t="s">
        <v>165</v>
      </c>
      <c r="B302" s="2">
        <v>400000</v>
      </c>
      <c r="C302" s="2"/>
      <c r="D302" s="2">
        <f t="shared" si="3"/>
        <v>400000</v>
      </c>
    </row>
    <row r="303" spans="1:4" x14ac:dyDescent="0.25">
      <c r="A303" s="18" t="s">
        <v>183</v>
      </c>
      <c r="B303" s="2">
        <v>700000</v>
      </c>
      <c r="C303" s="2">
        <v>776404</v>
      </c>
      <c r="D303" s="2">
        <f t="shared" si="3"/>
        <v>-76404</v>
      </c>
    </row>
    <row r="304" spans="1:4" x14ac:dyDescent="0.25">
      <c r="A304" s="37"/>
      <c r="B304" s="6"/>
      <c r="C304" s="6"/>
      <c r="D304" s="2"/>
    </row>
    <row r="305" spans="1:4" x14ac:dyDescent="0.25">
      <c r="A305" s="28" t="s">
        <v>27</v>
      </c>
      <c r="B305" s="8">
        <f>SUM(B275:B304)</f>
        <v>7265247.5999999996</v>
      </c>
      <c r="C305" s="8">
        <f>SUM(C275:C304)</f>
        <v>5772111.6399999997</v>
      </c>
      <c r="D305" s="8">
        <f>SUM(D275:D304)</f>
        <v>1493135.96</v>
      </c>
    </row>
    <row r="306" spans="1:4" x14ac:dyDescent="0.25">
      <c r="B306" s="7"/>
    </row>
    <row r="307" spans="1:4" x14ac:dyDescent="0.25">
      <c r="A307" s="43" t="s">
        <v>65</v>
      </c>
      <c r="B307" s="14"/>
      <c r="C307" s="14"/>
    </row>
    <row r="308" spans="1:4" x14ac:dyDescent="0.25">
      <c r="B308" s="14"/>
      <c r="C308" s="12"/>
    </row>
    <row r="309" spans="1:4" x14ac:dyDescent="0.25">
      <c r="B309" s="14"/>
      <c r="C309" s="12"/>
    </row>
    <row r="310" spans="1:4" x14ac:dyDescent="0.25">
      <c r="A310" s="13" t="s">
        <v>207</v>
      </c>
      <c r="B310" s="14"/>
      <c r="C310" s="12"/>
    </row>
    <row r="311" spans="1:4" x14ac:dyDescent="0.25">
      <c r="A311" s="13" t="s">
        <v>208</v>
      </c>
      <c r="B311" s="14"/>
      <c r="C311" s="12"/>
    </row>
    <row r="312" spans="1:4" x14ac:dyDescent="0.25">
      <c r="B312" s="14"/>
    </row>
    <row r="313" spans="1:4" x14ac:dyDescent="0.25">
      <c r="C313" s="10"/>
    </row>
    <row r="314" spans="1:4" x14ac:dyDescent="0.25">
      <c r="A314" s="34"/>
      <c r="B314" s="10"/>
      <c r="C314" s="10" t="s">
        <v>128</v>
      </c>
      <c r="D314" s="10"/>
    </row>
    <row r="315" spans="1:4" x14ac:dyDescent="0.25">
      <c r="A315" s="34"/>
      <c r="B315" s="10"/>
      <c r="C315" s="10" t="s">
        <v>129</v>
      </c>
      <c r="D315" s="10"/>
    </row>
    <row r="316" spans="1:4" x14ac:dyDescent="0.25">
      <c r="B316" s="12"/>
      <c r="C316" s="12"/>
      <c r="D316" s="12"/>
    </row>
    <row r="317" spans="1:4" x14ac:dyDescent="0.25">
      <c r="B317" s="12"/>
      <c r="C317" s="12"/>
      <c r="D317" s="12"/>
    </row>
    <row r="318" spans="1:4" ht="15.75" x14ac:dyDescent="0.25">
      <c r="A318" s="124" t="s">
        <v>178</v>
      </c>
      <c r="B318" s="125"/>
      <c r="C318" s="125"/>
      <c r="D318" s="125"/>
    </row>
    <row r="319" spans="1:4" x14ac:dyDescent="0.25">
      <c r="A319" s="126" t="s">
        <v>177</v>
      </c>
      <c r="B319" s="126"/>
      <c r="C319" s="126"/>
      <c r="D319" s="126"/>
    </row>
    <row r="320" spans="1:4" x14ac:dyDescent="0.25">
      <c r="A320" s="34"/>
      <c r="B320" s="10"/>
      <c r="C320" s="10"/>
      <c r="D320" s="10"/>
    </row>
    <row r="321" spans="1:4" x14ac:dyDescent="0.25">
      <c r="A321" s="115" t="s">
        <v>4</v>
      </c>
      <c r="B321" s="115" t="s">
        <v>5</v>
      </c>
      <c r="C321" s="115" t="s">
        <v>124</v>
      </c>
      <c r="D321" s="15" t="s">
        <v>8</v>
      </c>
    </row>
    <row r="322" spans="1:4" x14ac:dyDescent="0.25">
      <c r="A322" s="116"/>
      <c r="B322" s="116"/>
      <c r="C322" s="116"/>
      <c r="D322" s="16" t="s">
        <v>5</v>
      </c>
    </row>
    <row r="323" spans="1:4" x14ac:dyDescent="0.25">
      <c r="A323" s="17"/>
      <c r="B323" s="19"/>
      <c r="C323" s="19"/>
      <c r="D323" s="19"/>
    </row>
    <row r="324" spans="1:4" x14ac:dyDescent="0.25">
      <c r="A324" s="18" t="s">
        <v>38</v>
      </c>
      <c r="B324" s="2">
        <v>35000</v>
      </c>
      <c r="C324" s="2"/>
      <c r="D324" s="2">
        <f t="shared" ref="D324:D352" si="4">B324-C324</f>
        <v>35000</v>
      </c>
    </row>
    <row r="325" spans="1:4" x14ac:dyDescent="0.25">
      <c r="A325" s="18" t="s">
        <v>32</v>
      </c>
      <c r="B325" s="2">
        <v>250000</v>
      </c>
      <c r="C325" s="2">
        <v>45213.5</v>
      </c>
      <c r="D325" s="2">
        <f t="shared" si="4"/>
        <v>204786.5</v>
      </c>
    </row>
    <row r="326" spans="1:4" x14ac:dyDescent="0.25">
      <c r="A326" s="18" t="s">
        <v>35</v>
      </c>
      <c r="B326" s="2">
        <v>430000</v>
      </c>
      <c r="C326" s="2">
        <v>782356</v>
      </c>
      <c r="D326" s="2">
        <f t="shared" si="4"/>
        <v>-352356</v>
      </c>
    </row>
    <row r="327" spans="1:4" x14ac:dyDescent="0.25">
      <c r="A327" s="18" t="s">
        <v>88</v>
      </c>
      <c r="B327" s="2">
        <v>200000</v>
      </c>
      <c r="C327" s="2">
        <v>28872.080000000002</v>
      </c>
      <c r="D327" s="2">
        <f t="shared" si="4"/>
        <v>171127.91999999998</v>
      </c>
    </row>
    <row r="328" spans="1:4" x14ac:dyDescent="0.25">
      <c r="A328" s="18" t="s">
        <v>92</v>
      </c>
      <c r="B328" s="2">
        <v>300000</v>
      </c>
      <c r="C328" s="2">
        <v>190000</v>
      </c>
      <c r="D328" s="2">
        <f t="shared" si="4"/>
        <v>110000</v>
      </c>
    </row>
    <row r="329" spans="1:4" x14ac:dyDescent="0.25">
      <c r="A329" s="18" t="s">
        <v>166</v>
      </c>
      <c r="B329" s="2">
        <v>180000</v>
      </c>
      <c r="C329" s="2">
        <v>1212</v>
      </c>
      <c r="D329" s="2">
        <f t="shared" si="4"/>
        <v>178788</v>
      </c>
    </row>
    <row r="330" spans="1:4" x14ac:dyDescent="0.25">
      <c r="A330" s="18" t="s">
        <v>179</v>
      </c>
      <c r="B330" s="2"/>
      <c r="C330" s="2"/>
      <c r="D330" s="2">
        <f t="shared" si="4"/>
        <v>0</v>
      </c>
    </row>
    <row r="331" spans="1:4" x14ac:dyDescent="0.25">
      <c r="A331" s="18" t="s">
        <v>138</v>
      </c>
      <c r="B331" s="2">
        <v>300000</v>
      </c>
      <c r="C331" s="2">
        <v>319187.5</v>
      </c>
      <c r="D331" s="2">
        <f t="shared" si="4"/>
        <v>-19187.5</v>
      </c>
    </row>
    <row r="332" spans="1:4" x14ac:dyDescent="0.25">
      <c r="A332" s="18" t="s">
        <v>139</v>
      </c>
      <c r="B332" s="2">
        <v>400000</v>
      </c>
      <c r="C332" s="2">
        <v>689440</v>
      </c>
      <c r="D332" s="2">
        <f t="shared" si="4"/>
        <v>-289440</v>
      </c>
    </row>
    <row r="333" spans="1:4" x14ac:dyDescent="0.25">
      <c r="A333" s="18" t="s">
        <v>140</v>
      </c>
      <c r="B333" s="2">
        <v>200000</v>
      </c>
      <c r="C333" s="2"/>
      <c r="D333" s="2">
        <f t="shared" si="4"/>
        <v>200000</v>
      </c>
    </row>
    <row r="334" spans="1:4" x14ac:dyDescent="0.25">
      <c r="A334" s="18" t="s">
        <v>141</v>
      </c>
      <c r="B334" s="2">
        <v>100000</v>
      </c>
      <c r="C334" s="2"/>
      <c r="D334" s="2">
        <f t="shared" si="4"/>
        <v>100000</v>
      </c>
    </row>
    <row r="335" spans="1:4" x14ac:dyDescent="0.25">
      <c r="A335" s="18" t="s">
        <v>180</v>
      </c>
      <c r="B335" s="2">
        <v>125000</v>
      </c>
      <c r="C335" s="2">
        <f>8000+41725</f>
        <v>49725</v>
      </c>
      <c r="D335" s="2">
        <f t="shared" si="4"/>
        <v>75275</v>
      </c>
    </row>
    <row r="336" spans="1:4" x14ac:dyDescent="0.25">
      <c r="A336" s="18" t="s">
        <v>36</v>
      </c>
      <c r="B336" s="2">
        <v>20000</v>
      </c>
      <c r="C336" s="2"/>
      <c r="D336" s="2">
        <f t="shared" si="4"/>
        <v>20000</v>
      </c>
    </row>
    <row r="337" spans="1:4" x14ac:dyDescent="0.25">
      <c r="A337" s="18" t="s">
        <v>90</v>
      </c>
      <c r="B337" s="2">
        <v>80000</v>
      </c>
      <c r="C337" s="2">
        <v>8719</v>
      </c>
      <c r="D337" s="2">
        <f t="shared" si="4"/>
        <v>71281</v>
      </c>
    </row>
    <row r="338" spans="1:4" x14ac:dyDescent="0.25">
      <c r="A338" s="18" t="s">
        <v>86</v>
      </c>
      <c r="B338" s="2">
        <v>75000</v>
      </c>
      <c r="C338" s="2"/>
      <c r="D338" s="2">
        <f t="shared" si="4"/>
        <v>75000</v>
      </c>
    </row>
    <row r="339" spans="1:4" x14ac:dyDescent="0.25">
      <c r="A339" s="18" t="s">
        <v>181</v>
      </c>
      <c r="B339" s="2">
        <v>75000</v>
      </c>
      <c r="C339" s="2"/>
      <c r="D339" s="2">
        <f t="shared" si="4"/>
        <v>75000</v>
      </c>
    </row>
    <row r="340" spans="1:4" x14ac:dyDescent="0.25">
      <c r="A340" s="18" t="s">
        <v>182</v>
      </c>
      <c r="B340" s="2">
        <v>1200000</v>
      </c>
      <c r="C340" s="2">
        <v>2491442.21</v>
      </c>
      <c r="D340" s="2">
        <f t="shared" si="4"/>
        <v>-1291442.21</v>
      </c>
    </row>
    <row r="341" spans="1:4" x14ac:dyDescent="0.25">
      <c r="A341" s="18" t="s">
        <v>49</v>
      </c>
      <c r="B341" s="2">
        <v>100000</v>
      </c>
      <c r="C341" s="2"/>
      <c r="D341" s="2">
        <f t="shared" si="4"/>
        <v>100000</v>
      </c>
    </row>
    <row r="342" spans="1:4" x14ac:dyDescent="0.25">
      <c r="A342" s="18" t="s">
        <v>33</v>
      </c>
      <c r="B342" s="2">
        <v>150000</v>
      </c>
      <c r="C342" s="2">
        <v>57300</v>
      </c>
      <c r="D342" s="2">
        <f t="shared" si="4"/>
        <v>92700</v>
      </c>
    </row>
    <row r="343" spans="1:4" x14ac:dyDescent="0.25">
      <c r="A343" s="18" t="s">
        <v>41</v>
      </c>
      <c r="B343" s="2">
        <v>70000</v>
      </c>
      <c r="C343" s="2"/>
      <c r="D343" s="2">
        <f t="shared" si="4"/>
        <v>70000</v>
      </c>
    </row>
    <row r="344" spans="1:4" x14ac:dyDescent="0.25">
      <c r="A344" s="18" t="s">
        <v>145</v>
      </c>
      <c r="B344" s="2">
        <v>800000</v>
      </c>
      <c r="C344" s="2">
        <v>201761.35</v>
      </c>
      <c r="D344" s="2">
        <f t="shared" si="4"/>
        <v>598238.65</v>
      </c>
    </row>
    <row r="345" spans="1:4" x14ac:dyDescent="0.25">
      <c r="A345" s="18" t="s">
        <v>50</v>
      </c>
      <c r="B345" s="2">
        <v>20000</v>
      </c>
      <c r="C345" s="2">
        <v>600</v>
      </c>
      <c r="D345" s="2">
        <f t="shared" si="4"/>
        <v>19400</v>
      </c>
    </row>
    <row r="346" spans="1:4" x14ac:dyDescent="0.25">
      <c r="A346" s="18" t="s">
        <v>94</v>
      </c>
      <c r="B346" s="2">
        <v>15000</v>
      </c>
      <c r="C346" s="2">
        <v>3400</v>
      </c>
      <c r="D346" s="2">
        <f t="shared" si="4"/>
        <v>11600</v>
      </c>
    </row>
    <row r="347" spans="1:4" x14ac:dyDescent="0.25">
      <c r="A347" s="18" t="s">
        <v>51</v>
      </c>
      <c r="B347" s="2">
        <v>750000</v>
      </c>
      <c r="C347" s="2">
        <v>125579</v>
      </c>
      <c r="D347" s="2">
        <f t="shared" si="4"/>
        <v>624421</v>
      </c>
    </row>
    <row r="348" spans="1:4" x14ac:dyDescent="0.25">
      <c r="A348" s="18" t="s">
        <v>52</v>
      </c>
      <c r="B348" s="2">
        <v>50000</v>
      </c>
      <c r="C348" s="2"/>
      <c r="D348" s="2">
        <f t="shared" si="4"/>
        <v>50000</v>
      </c>
    </row>
    <row r="349" spans="1:4" x14ac:dyDescent="0.25">
      <c r="A349" s="18" t="s">
        <v>167</v>
      </c>
      <c r="B349" s="2">
        <v>200000</v>
      </c>
      <c r="C349" s="2"/>
      <c r="D349" s="2">
        <f t="shared" si="4"/>
        <v>200000</v>
      </c>
    </row>
    <row r="350" spans="1:4" x14ac:dyDescent="0.25">
      <c r="A350" s="18" t="s">
        <v>37</v>
      </c>
      <c r="B350" s="2">
        <v>40247.599999999999</v>
      </c>
      <c r="C350" s="2"/>
      <c r="D350" s="2">
        <f t="shared" si="4"/>
        <v>40247.599999999999</v>
      </c>
    </row>
    <row r="351" spans="1:4" x14ac:dyDescent="0.25">
      <c r="A351" s="18" t="s">
        <v>165</v>
      </c>
      <c r="B351" s="2">
        <v>400000</v>
      </c>
      <c r="C351" s="2"/>
      <c r="D351" s="2">
        <f t="shared" si="4"/>
        <v>400000</v>
      </c>
    </row>
    <row r="352" spans="1:4" x14ac:dyDescent="0.25">
      <c r="A352" s="18" t="s">
        <v>183</v>
      </c>
      <c r="B352" s="2">
        <v>700000</v>
      </c>
      <c r="C352" s="2">
        <v>776404</v>
      </c>
      <c r="D352" s="2">
        <f t="shared" si="4"/>
        <v>-76404</v>
      </c>
    </row>
    <row r="353" spans="1:4" x14ac:dyDescent="0.25">
      <c r="A353" s="37"/>
      <c r="B353" s="6"/>
      <c r="C353" s="6"/>
      <c r="D353" s="2"/>
    </row>
    <row r="354" spans="1:4" x14ac:dyDescent="0.25">
      <c r="A354" s="28" t="s">
        <v>27</v>
      </c>
      <c r="B354" s="8">
        <f>SUM(B324:B353)</f>
        <v>7265247.5999999996</v>
      </c>
      <c r="C354" s="8">
        <f>SUM(C324:C353)</f>
        <v>5771211.6399999997</v>
      </c>
      <c r="D354" s="8">
        <f>SUM(D324:D353)</f>
        <v>1494035.96</v>
      </c>
    </row>
    <row r="355" spans="1:4" x14ac:dyDescent="0.25">
      <c r="B355" s="7"/>
    </row>
    <row r="356" spans="1:4" x14ac:dyDescent="0.25">
      <c r="A356" s="43" t="s">
        <v>65</v>
      </c>
      <c r="B356" s="14"/>
      <c r="C356" s="14"/>
    </row>
    <row r="357" spans="1:4" x14ac:dyDescent="0.25">
      <c r="B357" s="14"/>
      <c r="C357" s="12"/>
    </row>
    <row r="358" spans="1:4" x14ac:dyDescent="0.25">
      <c r="B358" s="14"/>
      <c r="C358" s="12"/>
    </row>
    <row r="359" spans="1:4" x14ac:dyDescent="0.25">
      <c r="A359" s="13" t="s">
        <v>125</v>
      </c>
      <c r="B359" s="14"/>
      <c r="C359" s="12"/>
    </row>
    <row r="360" spans="1:4" x14ac:dyDescent="0.25">
      <c r="A360" s="13" t="s">
        <v>126</v>
      </c>
      <c r="B360" s="14"/>
      <c r="C360" s="12" t="s">
        <v>127</v>
      </c>
    </row>
    <row r="361" spans="1:4" x14ac:dyDescent="0.25">
      <c r="B361" s="14"/>
    </row>
    <row r="362" spans="1:4" x14ac:dyDescent="0.25">
      <c r="C362" s="10"/>
    </row>
    <row r="363" spans="1:4" x14ac:dyDescent="0.25">
      <c r="A363" s="34"/>
      <c r="B363" s="10"/>
      <c r="C363" s="10" t="s">
        <v>128</v>
      </c>
      <c r="D363" s="10"/>
    </row>
    <row r="364" spans="1:4" x14ac:dyDescent="0.25">
      <c r="A364" s="34"/>
      <c r="B364" s="10"/>
      <c r="C364" s="10" t="s">
        <v>129</v>
      </c>
      <c r="D364" s="10"/>
    </row>
    <row r="365" spans="1:4" x14ac:dyDescent="0.25">
      <c r="B365" s="12"/>
      <c r="C365" s="12"/>
      <c r="D365" s="12"/>
    </row>
    <row r="366" spans="1:4" x14ac:dyDescent="0.25">
      <c r="B366" s="12"/>
      <c r="C366" s="12"/>
      <c r="D366" s="12"/>
    </row>
    <row r="367" spans="1:4" x14ac:dyDescent="0.25">
      <c r="B367" s="12"/>
      <c r="C367" s="12"/>
      <c r="D367" s="12"/>
    </row>
    <row r="368" spans="1:4" x14ac:dyDescent="0.25">
      <c r="B368" s="12"/>
      <c r="C368" s="12"/>
      <c r="D368" s="12"/>
    </row>
    <row r="369" spans="1:4" ht="15.75" x14ac:dyDescent="0.25">
      <c r="A369" s="124" t="s">
        <v>178</v>
      </c>
      <c r="B369" s="125"/>
      <c r="C369" s="125"/>
      <c r="D369" s="125"/>
    </row>
    <row r="370" spans="1:4" x14ac:dyDescent="0.25">
      <c r="A370" s="126" t="s">
        <v>255</v>
      </c>
      <c r="B370" s="126"/>
      <c r="C370" s="126"/>
      <c r="D370" s="126"/>
    </row>
    <row r="371" spans="1:4" x14ac:dyDescent="0.25">
      <c r="A371" s="34"/>
      <c r="B371" s="10"/>
      <c r="C371" s="10"/>
      <c r="D371" s="10"/>
    </row>
    <row r="372" spans="1:4" x14ac:dyDescent="0.25">
      <c r="A372" s="115" t="s">
        <v>4</v>
      </c>
      <c r="B372" s="115" t="s">
        <v>5</v>
      </c>
      <c r="C372" s="115" t="s">
        <v>124</v>
      </c>
      <c r="D372" s="15" t="s">
        <v>8</v>
      </c>
    </row>
    <row r="373" spans="1:4" x14ac:dyDescent="0.25">
      <c r="A373" s="116"/>
      <c r="B373" s="116"/>
      <c r="C373" s="116"/>
      <c r="D373" s="16" t="s">
        <v>5</v>
      </c>
    </row>
    <row r="374" spans="1:4" x14ac:dyDescent="0.25">
      <c r="A374" s="17"/>
      <c r="B374" s="19"/>
      <c r="C374" s="19"/>
      <c r="D374" s="19"/>
    </row>
    <row r="375" spans="1:4" x14ac:dyDescent="0.25">
      <c r="A375" s="18" t="s">
        <v>38</v>
      </c>
      <c r="B375" s="2">
        <v>38596</v>
      </c>
      <c r="C375" s="2"/>
      <c r="D375" s="2">
        <f t="shared" ref="D375:D402" si="5">B375-C375</f>
        <v>38596</v>
      </c>
    </row>
    <row r="376" spans="1:4" x14ac:dyDescent="0.25">
      <c r="A376" s="18" t="s">
        <v>35</v>
      </c>
      <c r="B376" s="2">
        <v>430000</v>
      </c>
      <c r="C376" s="2">
        <f>19047.59+5400+3600+6000+20575+6975+7500+44170</f>
        <v>113267.59</v>
      </c>
      <c r="D376" s="2">
        <f t="shared" si="5"/>
        <v>316732.41000000003</v>
      </c>
    </row>
    <row r="377" spans="1:4" x14ac:dyDescent="0.25">
      <c r="A377" s="84" t="s">
        <v>88</v>
      </c>
      <c r="B377" s="85">
        <v>20000</v>
      </c>
      <c r="C377" s="2">
        <f>30000+19849+25142.05</f>
        <v>74991.05</v>
      </c>
      <c r="D377" s="2">
        <f t="shared" si="5"/>
        <v>-54991.05</v>
      </c>
    </row>
    <row r="378" spans="1:4" x14ac:dyDescent="0.25">
      <c r="A378" s="18" t="s">
        <v>92</v>
      </c>
      <c r="B378" s="2">
        <v>300000</v>
      </c>
      <c r="C378" s="2"/>
      <c r="D378" s="2">
        <f t="shared" si="5"/>
        <v>300000</v>
      </c>
    </row>
    <row r="379" spans="1:4" x14ac:dyDescent="0.25">
      <c r="A379" s="84" t="s">
        <v>166</v>
      </c>
      <c r="B379" s="85">
        <v>0</v>
      </c>
      <c r="C379" s="2"/>
      <c r="D379" s="2">
        <f t="shared" si="5"/>
        <v>0</v>
      </c>
    </row>
    <row r="380" spans="1:4" x14ac:dyDescent="0.25">
      <c r="A380" s="18" t="s">
        <v>143</v>
      </c>
      <c r="B380" s="2">
        <v>145000</v>
      </c>
      <c r="C380" s="2">
        <f>3000+3990+38040+43508+36125</f>
        <v>124663</v>
      </c>
      <c r="D380" s="2">
        <f t="shared" si="5"/>
        <v>20337</v>
      </c>
    </row>
    <row r="381" spans="1:4" x14ac:dyDescent="0.25">
      <c r="A381" s="18" t="s">
        <v>90</v>
      </c>
      <c r="B381" s="2">
        <v>120000</v>
      </c>
      <c r="C381" s="2">
        <f>3450+10915+600</f>
        <v>14965</v>
      </c>
      <c r="D381" s="2">
        <f t="shared" si="5"/>
        <v>105035</v>
      </c>
    </row>
    <row r="382" spans="1:4" x14ac:dyDescent="0.25">
      <c r="A382" s="18" t="s">
        <v>164</v>
      </c>
      <c r="B382" s="2">
        <v>75000</v>
      </c>
      <c r="C382" s="2">
        <f>1775</f>
        <v>1775</v>
      </c>
      <c r="D382" s="2">
        <f t="shared" si="5"/>
        <v>73225</v>
      </c>
    </row>
    <row r="383" spans="1:4" x14ac:dyDescent="0.25">
      <c r="A383" s="18" t="s">
        <v>102</v>
      </c>
      <c r="B383" s="2">
        <v>1500000</v>
      </c>
      <c r="C383" s="2">
        <f>214375+103410+218450+95575+191615+108890+193970+288520+81940+103755+151410+170345</f>
        <v>1922255</v>
      </c>
      <c r="D383" s="2">
        <f t="shared" si="5"/>
        <v>-422255</v>
      </c>
    </row>
    <row r="384" spans="1:4" x14ac:dyDescent="0.25">
      <c r="A384" s="18" t="s">
        <v>49</v>
      </c>
      <c r="B384" s="2">
        <v>100000</v>
      </c>
      <c r="C384" s="2"/>
      <c r="D384" s="2">
        <f t="shared" si="5"/>
        <v>100000</v>
      </c>
    </row>
    <row r="385" spans="1:6" x14ac:dyDescent="0.25">
      <c r="A385" s="18" t="s">
        <v>33</v>
      </c>
      <c r="B385" s="2">
        <f>150000-100000</f>
        <v>50000</v>
      </c>
      <c r="C385" s="2"/>
      <c r="D385" s="2">
        <f t="shared" si="5"/>
        <v>50000</v>
      </c>
    </row>
    <row r="386" spans="1:6" x14ac:dyDescent="0.25">
      <c r="A386" s="18" t="s">
        <v>144</v>
      </c>
      <c r="B386" s="2">
        <v>70000</v>
      </c>
      <c r="C386" s="2">
        <v>1021</v>
      </c>
      <c r="D386" s="2">
        <f t="shared" si="5"/>
        <v>68979</v>
      </c>
    </row>
    <row r="387" spans="1:6" x14ac:dyDescent="0.25">
      <c r="A387" s="18" t="s">
        <v>145</v>
      </c>
      <c r="B387" s="2">
        <v>300000</v>
      </c>
      <c r="C387" s="2">
        <f>1160+28831+300+600+750+65220</f>
        <v>96861</v>
      </c>
      <c r="D387" s="2">
        <f t="shared" si="5"/>
        <v>203139</v>
      </c>
    </row>
    <row r="388" spans="1:6" x14ac:dyDescent="0.25">
      <c r="A388" s="18" t="s">
        <v>146</v>
      </c>
      <c r="B388" s="2">
        <v>20000</v>
      </c>
      <c r="C388" s="2">
        <f>3550+900</f>
        <v>4450</v>
      </c>
      <c r="D388" s="2">
        <f t="shared" si="5"/>
        <v>15550</v>
      </c>
    </row>
    <row r="389" spans="1:6" x14ac:dyDescent="0.25">
      <c r="A389" s="18" t="s">
        <v>94</v>
      </c>
      <c r="B389" s="2">
        <v>15000</v>
      </c>
      <c r="C389" s="2">
        <v>14993</v>
      </c>
      <c r="D389" s="2">
        <f t="shared" si="5"/>
        <v>7</v>
      </c>
    </row>
    <row r="390" spans="1:6" x14ac:dyDescent="0.25">
      <c r="A390" s="84" t="s">
        <v>51</v>
      </c>
      <c r="B390" s="85">
        <f>750000-300000</f>
        <v>450000</v>
      </c>
      <c r="C390" s="2">
        <f>14250+40863.89+16600+33570.54+8900+4725+630</f>
        <v>119539.43</v>
      </c>
      <c r="D390" s="2">
        <f t="shared" si="5"/>
        <v>330460.57</v>
      </c>
    </row>
    <row r="391" spans="1:6" x14ac:dyDescent="0.25">
      <c r="A391" s="18" t="s">
        <v>52</v>
      </c>
      <c r="B391" s="2">
        <v>50000</v>
      </c>
      <c r="C391" s="2">
        <v>8500</v>
      </c>
      <c r="D391" s="2">
        <f t="shared" si="5"/>
        <v>41500</v>
      </c>
    </row>
    <row r="392" spans="1:6" x14ac:dyDescent="0.25">
      <c r="A392" s="18" t="s">
        <v>223</v>
      </c>
      <c r="B392" s="2">
        <v>455427.6</v>
      </c>
      <c r="C392" s="2"/>
      <c r="D392" s="2">
        <f t="shared" si="5"/>
        <v>455427.6</v>
      </c>
    </row>
    <row r="393" spans="1:6" x14ac:dyDescent="0.25">
      <c r="A393" s="84" t="s">
        <v>210</v>
      </c>
      <c r="B393" s="85">
        <f>1200000-700000</f>
        <v>500000</v>
      </c>
      <c r="C393" s="2">
        <f>2200+25000+152824+30000+1200+28060+402559+63420</f>
        <v>705263</v>
      </c>
      <c r="D393" s="2">
        <f t="shared" si="5"/>
        <v>-205263</v>
      </c>
    </row>
    <row r="394" spans="1:6" x14ac:dyDescent="0.25">
      <c r="A394" s="18" t="s">
        <v>211</v>
      </c>
      <c r="B394" s="2">
        <v>500000</v>
      </c>
      <c r="C394" s="2"/>
      <c r="D394" s="2">
        <f t="shared" si="5"/>
        <v>500000</v>
      </c>
    </row>
    <row r="395" spans="1:6" x14ac:dyDescent="0.25">
      <c r="A395" s="18" t="s">
        <v>212</v>
      </c>
      <c r="B395" s="2">
        <v>300000</v>
      </c>
      <c r="C395" s="2">
        <f>4116.65+40000+30000+9360+3380.25+15275</f>
        <v>102131.9</v>
      </c>
      <c r="D395" s="2">
        <f t="shared" si="5"/>
        <v>197868.1</v>
      </c>
    </row>
    <row r="396" spans="1:6" x14ac:dyDescent="0.25">
      <c r="A396" s="18" t="s">
        <v>213</v>
      </c>
      <c r="B396" s="2">
        <v>375000</v>
      </c>
      <c r="C396" s="2">
        <f>1500+1000+6500</f>
        <v>9000</v>
      </c>
      <c r="D396" s="2">
        <f t="shared" si="5"/>
        <v>366000</v>
      </c>
    </row>
    <row r="397" spans="1:6" x14ac:dyDescent="0.25">
      <c r="A397" s="84" t="s">
        <v>32</v>
      </c>
      <c r="B397" s="85">
        <f>250000-100000</f>
        <v>150000</v>
      </c>
      <c r="C397" s="2">
        <f>945.85+400+15186+493.34+758+7540</f>
        <v>25323.19</v>
      </c>
      <c r="D397" s="2">
        <f t="shared" si="5"/>
        <v>124676.81</v>
      </c>
    </row>
    <row r="398" spans="1:6" x14ac:dyDescent="0.25">
      <c r="A398" s="18" t="s">
        <v>96</v>
      </c>
      <c r="B398" s="2">
        <v>776404</v>
      </c>
      <c r="C398" s="2">
        <f>194101+194101+194101+194101</f>
        <v>776404</v>
      </c>
      <c r="D398" s="2">
        <f t="shared" si="5"/>
        <v>0</v>
      </c>
      <c r="F398" s="13">
        <f>194101</f>
        <v>194101</v>
      </c>
    </row>
    <row r="399" spans="1:6" x14ac:dyDescent="0.25">
      <c r="A399" s="86" t="s">
        <v>241</v>
      </c>
      <c r="B399" s="87">
        <v>100000</v>
      </c>
      <c r="C399" s="2">
        <v>100000</v>
      </c>
      <c r="D399" s="2">
        <f t="shared" si="5"/>
        <v>0</v>
      </c>
      <c r="F399" s="13">
        <f>F398*4</f>
        <v>776404</v>
      </c>
    </row>
    <row r="400" spans="1:6" x14ac:dyDescent="0.25">
      <c r="A400" s="86" t="s">
        <v>242</v>
      </c>
      <c r="B400" s="87">
        <v>200000</v>
      </c>
      <c r="C400" s="2"/>
      <c r="D400" s="2">
        <f t="shared" si="5"/>
        <v>200000</v>
      </c>
    </row>
    <row r="401" spans="1:4" x14ac:dyDescent="0.25">
      <c r="A401" s="86" t="s">
        <v>243</v>
      </c>
      <c r="B401" s="87">
        <v>800000</v>
      </c>
      <c r="C401" s="2">
        <v>800000</v>
      </c>
      <c r="D401" s="2">
        <f t="shared" si="5"/>
        <v>0</v>
      </c>
    </row>
    <row r="402" spans="1:4" x14ac:dyDescent="0.25">
      <c r="A402" s="86" t="s">
        <v>244</v>
      </c>
      <c r="B402" s="87">
        <v>400000</v>
      </c>
      <c r="C402" s="2">
        <v>400000</v>
      </c>
      <c r="D402" s="2">
        <f t="shared" si="5"/>
        <v>0</v>
      </c>
    </row>
    <row r="403" spans="1:4" x14ac:dyDescent="0.25">
      <c r="A403" s="37"/>
      <c r="B403" s="6"/>
      <c r="C403" s="6"/>
      <c r="D403" s="2"/>
    </row>
    <row r="404" spans="1:4" x14ac:dyDescent="0.25">
      <c r="A404" s="28" t="s">
        <v>27</v>
      </c>
      <c r="B404" s="8">
        <f>SUM(B375:B403)</f>
        <v>8240427.5999999996</v>
      </c>
      <c r="C404" s="8">
        <f>SUM(C375:C403)</f>
        <v>5415403.1600000001</v>
      </c>
      <c r="D404" s="8">
        <f>SUM(D375:D403)</f>
        <v>2825024.4400000004</v>
      </c>
    </row>
    <row r="405" spans="1:4" x14ac:dyDescent="0.25">
      <c r="B405" s="7"/>
    </row>
    <row r="406" spans="1:4" x14ac:dyDescent="0.25">
      <c r="A406" s="43" t="s">
        <v>65</v>
      </c>
      <c r="B406" s="14"/>
      <c r="C406" s="14"/>
    </row>
    <row r="407" spans="1:4" x14ac:dyDescent="0.25">
      <c r="B407" s="14"/>
      <c r="C407" s="12"/>
    </row>
    <row r="408" spans="1:4" x14ac:dyDescent="0.25">
      <c r="B408" s="14"/>
      <c r="C408" s="12"/>
    </row>
    <row r="409" spans="1:4" x14ac:dyDescent="0.25">
      <c r="A409" s="13" t="s">
        <v>125</v>
      </c>
      <c r="B409" s="14"/>
      <c r="C409" s="12"/>
    </row>
    <row r="410" spans="1:4" x14ac:dyDescent="0.25">
      <c r="A410" s="13" t="s">
        <v>126</v>
      </c>
      <c r="B410" s="14"/>
      <c r="C410" s="12" t="s">
        <v>127</v>
      </c>
    </row>
    <row r="411" spans="1:4" x14ac:dyDescent="0.25">
      <c r="B411" s="14"/>
    </row>
    <row r="412" spans="1:4" x14ac:dyDescent="0.25">
      <c r="C412" s="10"/>
    </row>
    <row r="413" spans="1:4" x14ac:dyDescent="0.25">
      <c r="A413" s="34"/>
      <c r="B413" s="10"/>
      <c r="C413" s="10" t="s">
        <v>128</v>
      </c>
      <c r="D413" s="10"/>
    </row>
    <row r="414" spans="1:4" x14ac:dyDescent="0.25">
      <c r="A414" s="34"/>
      <c r="B414" s="10"/>
      <c r="C414" s="10" t="s">
        <v>129</v>
      </c>
      <c r="D414" s="10"/>
    </row>
  </sheetData>
  <mergeCells count="34">
    <mergeCell ref="A318:D318"/>
    <mergeCell ref="A319:D319"/>
    <mergeCell ref="A321:A322"/>
    <mergeCell ref="B321:B322"/>
    <mergeCell ref="C321:C322"/>
    <mergeCell ref="A220:D220"/>
    <mergeCell ref="A221:D221"/>
    <mergeCell ref="A223:A224"/>
    <mergeCell ref="B223:B224"/>
    <mergeCell ref="C223:C224"/>
    <mergeCell ref="A173:A174"/>
    <mergeCell ref="B173:B174"/>
    <mergeCell ref="C173:C174"/>
    <mergeCell ref="A6:A7"/>
    <mergeCell ref="B6:B7"/>
    <mergeCell ref="C6:C7"/>
    <mergeCell ref="A67:A68"/>
    <mergeCell ref="B67:B68"/>
    <mergeCell ref="C67:C68"/>
    <mergeCell ref="A123:D123"/>
    <mergeCell ref="A124:D124"/>
    <mergeCell ref="A126:A127"/>
    <mergeCell ref="B126:B127"/>
    <mergeCell ref="C126:C127"/>
    <mergeCell ref="A269:D269"/>
    <mergeCell ref="A270:D270"/>
    <mergeCell ref="A272:A273"/>
    <mergeCell ref="B272:B273"/>
    <mergeCell ref="C272:C273"/>
    <mergeCell ref="A369:D369"/>
    <mergeCell ref="A370:D370"/>
    <mergeCell ref="A372:A373"/>
    <mergeCell ref="B372:B373"/>
    <mergeCell ref="C372:C373"/>
  </mergeCells>
  <pageMargins left="0.73" right="0.12" top="1.1499999999999999" bottom="0.75" header="1.1299999999999999" footer="0.3"/>
  <pageSetup paperSize="5" scale="95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zoomScale="180" zoomScaleNormal="180" workbookViewId="0">
      <selection activeCell="A4" sqref="A4"/>
    </sheetView>
  </sheetViews>
  <sheetFormatPr defaultRowHeight="15" x14ac:dyDescent="0.25"/>
  <cols>
    <col min="1" max="1" width="43.140625" style="13" customWidth="1"/>
    <col min="2" max="2" width="16.140625" style="13" customWidth="1"/>
    <col min="3" max="3" width="15.7109375" style="13" customWidth="1"/>
    <col min="4" max="4" width="17.28515625" style="13" customWidth="1"/>
    <col min="5" max="5" width="12.28515625" style="13" bestFit="1" customWidth="1"/>
    <col min="6" max="6" width="13.42578125" style="13" bestFit="1" customWidth="1"/>
    <col min="7" max="7" width="13.85546875" style="13" bestFit="1" customWidth="1"/>
    <col min="8" max="8" width="9.140625" style="13"/>
    <col min="9" max="9" width="11" style="13" bestFit="1" customWidth="1"/>
    <col min="10" max="10" width="15.42578125" style="13" bestFit="1" customWidth="1"/>
    <col min="11" max="11" width="11.7109375" style="13" customWidth="1"/>
    <col min="12" max="12" width="9.85546875" style="13" customWidth="1"/>
    <col min="13" max="14" width="9.140625" style="13"/>
    <col min="15" max="16" width="12" style="13" bestFit="1" customWidth="1"/>
    <col min="17" max="16384" width="9.140625" style="13"/>
  </cols>
  <sheetData>
    <row r="1" spans="1:10" x14ac:dyDescent="0.25">
      <c r="A1" s="34"/>
      <c r="B1" s="10"/>
      <c r="C1" s="10"/>
      <c r="D1" s="10"/>
      <c r="E1" s="12"/>
    </row>
    <row r="2" spans="1:10" ht="15.75" x14ac:dyDescent="0.25">
      <c r="A2" s="124" t="s">
        <v>155</v>
      </c>
      <c r="B2" s="125"/>
      <c r="C2" s="125"/>
      <c r="D2" s="125"/>
      <c r="E2" s="12"/>
    </row>
    <row r="3" spans="1:10" x14ac:dyDescent="0.25">
      <c r="A3" s="126" t="s">
        <v>205</v>
      </c>
      <c r="B3" s="126"/>
      <c r="C3" s="126"/>
      <c r="D3" s="126"/>
      <c r="E3" s="12"/>
      <c r="G3" s="13">
        <f>35000+8770</f>
        <v>43770</v>
      </c>
    </row>
    <row r="4" spans="1:10" ht="7.5" customHeight="1" x14ac:dyDescent="0.25">
      <c r="A4" s="34"/>
      <c r="B4" s="10"/>
      <c r="C4" s="10"/>
      <c r="D4" s="10"/>
      <c r="E4" s="12"/>
    </row>
    <row r="5" spans="1:10" x14ac:dyDescent="0.25">
      <c r="A5" s="115" t="s">
        <v>4</v>
      </c>
      <c r="B5" s="115" t="s">
        <v>5</v>
      </c>
      <c r="C5" s="115" t="s">
        <v>124</v>
      </c>
      <c r="D5" s="15" t="s">
        <v>8</v>
      </c>
      <c r="E5" s="12"/>
      <c r="G5" s="13">
        <f>G3-50000</f>
        <v>-6230</v>
      </c>
    </row>
    <row r="6" spans="1:10" x14ac:dyDescent="0.25">
      <c r="A6" s="116"/>
      <c r="B6" s="116"/>
      <c r="C6" s="116"/>
      <c r="D6" s="16" t="s">
        <v>5</v>
      </c>
      <c r="E6" s="12"/>
    </row>
    <row r="7" spans="1:10" ht="6.75" customHeight="1" x14ac:dyDescent="0.25">
      <c r="A7" s="17"/>
      <c r="B7" s="19"/>
      <c r="C7" s="19"/>
      <c r="D7" s="19"/>
      <c r="E7" s="12"/>
    </row>
    <row r="8" spans="1:10" x14ac:dyDescent="0.25">
      <c r="A8" s="18" t="s">
        <v>156</v>
      </c>
      <c r="B8" s="2">
        <v>50000</v>
      </c>
      <c r="C8" s="2">
        <v>25000</v>
      </c>
      <c r="D8" s="2">
        <f t="shared" ref="D8:D31" si="0">B8-C8</f>
        <v>25000</v>
      </c>
      <c r="E8" s="12"/>
    </row>
    <row r="9" spans="1:10" x14ac:dyDescent="0.25">
      <c r="A9" s="18" t="s">
        <v>157</v>
      </c>
      <c r="B9" s="2">
        <v>30000</v>
      </c>
      <c r="C9" s="2">
        <v>1500</v>
      </c>
      <c r="D9" s="2">
        <f t="shared" si="0"/>
        <v>28500</v>
      </c>
      <c r="E9" s="12"/>
      <c r="G9" s="13" t="s">
        <v>148</v>
      </c>
      <c r="J9" s="13">
        <v>31329</v>
      </c>
    </row>
    <row r="10" spans="1:10" x14ac:dyDescent="0.25">
      <c r="A10" s="18" t="s">
        <v>186</v>
      </c>
      <c r="B10" s="2">
        <v>100000</v>
      </c>
      <c r="C10" s="2">
        <v>12498</v>
      </c>
      <c r="D10" s="2">
        <f t="shared" si="0"/>
        <v>87502</v>
      </c>
      <c r="E10" s="12" t="s">
        <v>119</v>
      </c>
      <c r="F10" s="12">
        <v>123271</v>
      </c>
      <c r="G10" s="12"/>
      <c r="J10" s="13">
        <v>2819.61</v>
      </c>
    </row>
    <row r="11" spans="1:10" x14ac:dyDescent="0.25">
      <c r="A11" s="18" t="s">
        <v>184</v>
      </c>
      <c r="B11" s="2">
        <v>113400</v>
      </c>
      <c r="C11" s="2">
        <v>72450</v>
      </c>
      <c r="D11" s="2">
        <f t="shared" si="0"/>
        <v>40950</v>
      </c>
      <c r="E11" s="12"/>
      <c r="G11" s="12">
        <v>857870</v>
      </c>
      <c r="J11" s="13">
        <v>3956.79</v>
      </c>
    </row>
    <row r="12" spans="1:10" x14ac:dyDescent="0.25">
      <c r="A12" s="18" t="s">
        <v>185</v>
      </c>
      <c r="B12" s="2">
        <v>145000</v>
      </c>
      <c r="C12" s="2">
        <v>42466</v>
      </c>
      <c r="D12" s="2">
        <f t="shared" si="0"/>
        <v>102534</v>
      </c>
      <c r="E12" s="12"/>
      <c r="G12" s="12"/>
      <c r="J12" s="13">
        <v>100</v>
      </c>
    </row>
    <row r="13" spans="1:10" x14ac:dyDescent="0.25">
      <c r="A13" s="18" t="s">
        <v>187</v>
      </c>
      <c r="B13" s="2">
        <v>50000</v>
      </c>
      <c r="C13" s="2"/>
      <c r="D13" s="2">
        <f t="shared" si="0"/>
        <v>50000</v>
      </c>
      <c r="E13" s="12"/>
      <c r="G13" s="12"/>
      <c r="I13" s="13">
        <f>30*6</f>
        <v>180</v>
      </c>
      <c r="J13" s="13">
        <v>469.94</v>
      </c>
    </row>
    <row r="14" spans="1:10" x14ac:dyDescent="0.25">
      <c r="A14" s="18" t="s">
        <v>188</v>
      </c>
      <c r="B14" s="2">
        <v>25000</v>
      </c>
      <c r="C14" s="2"/>
      <c r="D14" s="2">
        <f t="shared" si="0"/>
        <v>25000</v>
      </c>
      <c r="E14" s="12" t="s">
        <v>112</v>
      </c>
      <c r="F14" s="12">
        <v>131800</v>
      </c>
      <c r="G14" s="12">
        <f>G11*55%</f>
        <v>471828.50000000006</v>
      </c>
      <c r="I14" s="13">
        <f>I13*12</f>
        <v>2160</v>
      </c>
    </row>
    <row r="15" spans="1:10" x14ac:dyDescent="0.25">
      <c r="A15" s="18" t="s">
        <v>189</v>
      </c>
      <c r="B15" s="2">
        <v>25000</v>
      </c>
      <c r="C15" s="2">
        <v>29006.25</v>
      </c>
      <c r="D15" s="2">
        <f t="shared" si="0"/>
        <v>-4006.25</v>
      </c>
      <c r="G15" s="12"/>
    </row>
    <row r="16" spans="1:10" x14ac:dyDescent="0.25">
      <c r="A16" s="18" t="s">
        <v>190</v>
      </c>
      <c r="B16" s="2">
        <v>650000</v>
      </c>
      <c r="C16" s="2">
        <v>864740.38</v>
      </c>
      <c r="D16" s="2">
        <f t="shared" si="0"/>
        <v>-214740.38</v>
      </c>
      <c r="G16" s="12"/>
    </row>
    <row r="17" spans="1:10" x14ac:dyDescent="0.25">
      <c r="A17" s="18" t="s">
        <v>191</v>
      </c>
      <c r="B17" s="2"/>
      <c r="C17" s="2"/>
      <c r="D17" s="2">
        <f t="shared" si="0"/>
        <v>0</v>
      </c>
      <c r="E17" s="13" t="s">
        <v>118</v>
      </c>
      <c r="F17" s="12">
        <v>63020</v>
      </c>
      <c r="G17" s="12">
        <f>150*3000</f>
        <v>450000</v>
      </c>
      <c r="I17" s="13">
        <f>300*150</f>
        <v>45000</v>
      </c>
    </row>
    <row r="18" spans="1:10" x14ac:dyDescent="0.25">
      <c r="A18" s="4" t="s">
        <v>192</v>
      </c>
      <c r="B18" s="2">
        <v>25000</v>
      </c>
      <c r="C18" s="2"/>
      <c r="D18" s="2">
        <f t="shared" si="0"/>
        <v>25000</v>
      </c>
      <c r="E18" s="13" t="s">
        <v>117</v>
      </c>
      <c r="F18" s="12">
        <v>3999</v>
      </c>
      <c r="G18" s="12"/>
    </row>
    <row r="19" spans="1:10" x14ac:dyDescent="0.25">
      <c r="A19" s="18" t="s">
        <v>193</v>
      </c>
      <c r="B19" s="2">
        <v>300000</v>
      </c>
      <c r="C19" s="2"/>
      <c r="D19" s="2">
        <f t="shared" si="0"/>
        <v>300000</v>
      </c>
      <c r="G19" s="13">
        <f>35*3</f>
        <v>105</v>
      </c>
    </row>
    <row r="20" spans="1:10" x14ac:dyDescent="0.25">
      <c r="A20" s="25" t="s">
        <v>43</v>
      </c>
      <c r="B20" s="2"/>
      <c r="C20" s="2"/>
      <c r="D20" s="2">
        <f t="shared" si="0"/>
        <v>0</v>
      </c>
      <c r="E20" s="13" t="s">
        <v>117</v>
      </c>
      <c r="F20" s="12">
        <v>2074.83</v>
      </c>
      <c r="G20" s="13">
        <f>G19*6</f>
        <v>630</v>
      </c>
    </row>
    <row r="21" spans="1:10" x14ac:dyDescent="0.25">
      <c r="A21" s="27" t="s">
        <v>194</v>
      </c>
      <c r="B21" s="2">
        <v>23395.09</v>
      </c>
      <c r="C21" s="2"/>
      <c r="D21" s="2">
        <f t="shared" si="0"/>
        <v>23395.09</v>
      </c>
      <c r="F21" s="12"/>
    </row>
    <row r="22" spans="1:10" x14ac:dyDescent="0.25">
      <c r="A22" s="27" t="s">
        <v>195</v>
      </c>
      <c r="B22" s="2">
        <v>15000</v>
      </c>
      <c r="C22" s="2"/>
      <c r="D22" s="2">
        <f t="shared" si="0"/>
        <v>15000</v>
      </c>
      <c r="F22" s="12"/>
    </row>
    <row r="23" spans="1:10" x14ac:dyDescent="0.25">
      <c r="A23" s="27" t="s">
        <v>196</v>
      </c>
      <c r="B23" s="2">
        <v>46000</v>
      </c>
      <c r="C23" s="2"/>
      <c r="D23" s="2">
        <f t="shared" si="0"/>
        <v>46000</v>
      </c>
      <c r="F23" s="12"/>
    </row>
    <row r="24" spans="1:10" x14ac:dyDescent="0.25">
      <c r="A24" s="18" t="s">
        <v>197</v>
      </c>
      <c r="B24" s="2">
        <v>50000</v>
      </c>
      <c r="C24" s="2">
        <f>30200+3000</f>
        <v>33200</v>
      </c>
      <c r="D24" s="2">
        <f t="shared" si="0"/>
        <v>16800</v>
      </c>
      <c r="F24" s="12"/>
    </row>
    <row r="25" spans="1:10" x14ac:dyDescent="0.25">
      <c r="A25" s="18" t="s">
        <v>198</v>
      </c>
      <c r="B25" s="2"/>
      <c r="C25" s="2"/>
      <c r="D25" s="2"/>
      <c r="F25" s="12"/>
    </row>
    <row r="26" spans="1:10" x14ac:dyDescent="0.25">
      <c r="A26" s="27" t="s">
        <v>199</v>
      </c>
      <c r="B26" s="2">
        <v>30000</v>
      </c>
      <c r="C26" s="2"/>
      <c r="D26" s="2">
        <f t="shared" si="0"/>
        <v>30000</v>
      </c>
      <c r="F26" s="12"/>
    </row>
    <row r="27" spans="1:10" x14ac:dyDescent="0.25">
      <c r="A27" s="76" t="s">
        <v>200</v>
      </c>
      <c r="B27" s="2">
        <v>150000</v>
      </c>
      <c r="C27" s="2"/>
      <c r="D27" s="2">
        <f t="shared" si="0"/>
        <v>150000</v>
      </c>
      <c r="F27" s="12"/>
    </row>
    <row r="28" spans="1:10" x14ac:dyDescent="0.25">
      <c r="A28" s="76" t="s">
        <v>201</v>
      </c>
      <c r="B28" s="2">
        <v>150000</v>
      </c>
      <c r="C28" s="2"/>
      <c r="D28" s="2">
        <f t="shared" si="0"/>
        <v>150000</v>
      </c>
      <c r="F28" s="12"/>
    </row>
    <row r="29" spans="1:10" x14ac:dyDescent="0.25">
      <c r="A29" s="18" t="s">
        <v>202</v>
      </c>
      <c r="B29" s="2">
        <v>60000</v>
      </c>
      <c r="C29" s="2"/>
      <c r="D29" s="2">
        <f t="shared" si="0"/>
        <v>60000</v>
      </c>
      <c r="F29" s="12"/>
    </row>
    <row r="30" spans="1:10" x14ac:dyDescent="0.25">
      <c r="A30" s="18" t="s">
        <v>203</v>
      </c>
      <c r="B30" s="2">
        <v>63400</v>
      </c>
      <c r="C30" s="2"/>
      <c r="D30" s="2">
        <f t="shared" si="0"/>
        <v>63400</v>
      </c>
      <c r="F30" s="12"/>
    </row>
    <row r="31" spans="1:10" x14ac:dyDescent="0.25">
      <c r="A31" s="18" t="s">
        <v>204</v>
      </c>
      <c r="B31" s="2">
        <v>75000</v>
      </c>
      <c r="C31" s="2">
        <v>89530.75</v>
      </c>
      <c r="D31" s="2">
        <f t="shared" si="0"/>
        <v>-14530.75</v>
      </c>
    </row>
    <row r="32" spans="1:10" ht="7.5" customHeight="1" x14ac:dyDescent="0.25">
      <c r="A32" s="37"/>
      <c r="B32" s="6"/>
      <c r="C32" s="6"/>
      <c r="D32" s="2"/>
      <c r="I32" s="13" t="e">
        <f>SUM(#REF!)</f>
        <v>#REF!</v>
      </c>
      <c r="J32" s="13" t="s">
        <v>123</v>
      </c>
    </row>
    <row r="33" spans="1:8" x14ac:dyDescent="0.25">
      <c r="A33" s="28" t="s">
        <v>27</v>
      </c>
      <c r="B33" s="8">
        <f>SUM(B8:B32)</f>
        <v>2176195.09</v>
      </c>
      <c r="C33" s="8">
        <f>SUM(C8:C32)</f>
        <v>1170391.3799999999</v>
      </c>
      <c r="D33" s="8">
        <f>SUM(D8:D32)</f>
        <v>1005803.71</v>
      </c>
      <c r="G33" s="13">
        <f>SUM(G32:G32)</f>
        <v>0</v>
      </c>
      <c r="H33" s="13" t="s">
        <v>122</v>
      </c>
    </row>
    <row r="34" spans="1:8" ht="8.25" customHeight="1" x14ac:dyDescent="0.25">
      <c r="B34" s="7"/>
    </row>
    <row r="35" spans="1:8" x14ac:dyDescent="0.25">
      <c r="A35" s="43" t="s">
        <v>65</v>
      </c>
      <c r="B35" s="14"/>
      <c r="C35" s="14"/>
    </row>
    <row r="36" spans="1:8" x14ac:dyDescent="0.25">
      <c r="B36" s="14"/>
      <c r="C36" s="12"/>
      <c r="D36" s="14"/>
    </row>
    <row r="37" spans="1:8" x14ac:dyDescent="0.25">
      <c r="B37" s="14"/>
      <c r="C37" s="12"/>
      <c r="D37" s="14"/>
    </row>
    <row r="38" spans="1:8" x14ac:dyDescent="0.25">
      <c r="A38" s="13" t="s">
        <v>158</v>
      </c>
      <c r="B38" s="14"/>
      <c r="C38" s="12"/>
    </row>
    <row r="39" spans="1:8" x14ac:dyDescent="0.25">
      <c r="A39" s="13" t="s">
        <v>159</v>
      </c>
      <c r="B39" s="14"/>
      <c r="C39" s="12" t="s">
        <v>127</v>
      </c>
    </row>
    <row r="40" spans="1:8" x14ac:dyDescent="0.25">
      <c r="B40" s="14"/>
    </row>
    <row r="41" spans="1:8" x14ac:dyDescent="0.25">
      <c r="C41" s="10"/>
    </row>
    <row r="42" spans="1:8" x14ac:dyDescent="0.25">
      <c r="A42" s="34"/>
      <c r="B42" s="10"/>
      <c r="C42" s="10" t="s">
        <v>128</v>
      </c>
      <c r="D42" s="10"/>
    </row>
    <row r="43" spans="1:8" x14ac:dyDescent="0.25">
      <c r="A43" s="34"/>
      <c r="B43" s="10"/>
      <c r="C43" s="10" t="s">
        <v>129</v>
      </c>
      <c r="D43" s="10"/>
    </row>
    <row r="44" spans="1:8" x14ac:dyDescent="0.25">
      <c r="A44" s="34"/>
      <c r="B44" s="10"/>
      <c r="C44" s="10"/>
      <c r="D44" s="10"/>
    </row>
    <row r="45" spans="1:8" x14ac:dyDescent="0.25">
      <c r="A45" s="115" t="s">
        <v>4</v>
      </c>
      <c r="B45" s="115" t="s">
        <v>5</v>
      </c>
      <c r="C45" s="115" t="s">
        <v>124</v>
      </c>
      <c r="D45" s="15" t="s">
        <v>8</v>
      </c>
    </row>
    <row r="46" spans="1:8" x14ac:dyDescent="0.25">
      <c r="A46" s="116"/>
      <c r="B46" s="116"/>
      <c r="C46" s="116"/>
      <c r="D46" s="16" t="s">
        <v>5</v>
      </c>
    </row>
    <row r="47" spans="1:8" x14ac:dyDescent="0.25">
      <c r="A47" s="50" t="s">
        <v>97</v>
      </c>
      <c r="B47" s="11">
        <v>550000</v>
      </c>
      <c r="C47" s="11">
        <f>2990+320448+8782.5+3260</f>
        <v>335480.5</v>
      </c>
      <c r="D47" s="11">
        <f t="shared" ref="D47:D63" si="1">B47-C47</f>
        <v>214519.5</v>
      </c>
    </row>
    <row r="48" spans="1:8" x14ac:dyDescent="0.25">
      <c r="A48" s="50" t="s">
        <v>41</v>
      </c>
      <c r="B48" s="11">
        <v>57600</v>
      </c>
      <c r="C48" s="11">
        <v>57600</v>
      </c>
      <c r="D48" s="11">
        <f t="shared" si="1"/>
        <v>0</v>
      </c>
    </row>
    <row r="49" spans="1:5" x14ac:dyDescent="0.25">
      <c r="A49" s="50" t="s">
        <v>98</v>
      </c>
      <c r="B49" s="11">
        <v>10000</v>
      </c>
      <c r="C49" s="11">
        <v>5000</v>
      </c>
      <c r="D49" s="11">
        <f t="shared" si="1"/>
        <v>5000</v>
      </c>
      <c r="E49" s="13" t="s">
        <v>131</v>
      </c>
    </row>
    <row r="50" spans="1:5" x14ac:dyDescent="0.25">
      <c r="A50" s="50" t="s">
        <v>44</v>
      </c>
      <c r="B50" s="11">
        <v>15000</v>
      </c>
      <c r="C50" s="11"/>
      <c r="D50" s="11">
        <f t="shared" si="1"/>
        <v>15000</v>
      </c>
    </row>
    <row r="51" spans="1:5" x14ac:dyDescent="0.25">
      <c r="A51" s="50" t="s">
        <v>42</v>
      </c>
      <c r="B51" s="11">
        <v>15000</v>
      </c>
      <c r="C51" s="11">
        <v>3450</v>
      </c>
      <c r="D51" s="11">
        <f t="shared" si="1"/>
        <v>11550</v>
      </c>
    </row>
    <row r="52" spans="1:5" x14ac:dyDescent="0.25">
      <c r="A52" s="50" t="s">
        <v>43</v>
      </c>
      <c r="B52" s="11">
        <v>10000</v>
      </c>
      <c r="C52" s="11">
        <v>6202</v>
      </c>
      <c r="D52" s="11">
        <f t="shared" si="1"/>
        <v>3798</v>
      </c>
    </row>
    <row r="53" spans="1:5" x14ac:dyDescent="0.25">
      <c r="A53" s="51" t="s">
        <v>45</v>
      </c>
      <c r="B53" s="52">
        <v>86400</v>
      </c>
      <c r="C53" s="52">
        <v>72000</v>
      </c>
      <c r="D53" s="52">
        <f t="shared" si="1"/>
        <v>14400</v>
      </c>
    </row>
    <row r="54" spans="1:5" x14ac:dyDescent="0.25">
      <c r="A54" s="51" t="s">
        <v>46</v>
      </c>
      <c r="B54" s="52">
        <v>12000</v>
      </c>
      <c r="C54" s="52"/>
      <c r="D54" s="52">
        <f t="shared" si="1"/>
        <v>12000</v>
      </c>
      <c r="E54" s="13" t="s">
        <v>132</v>
      </c>
    </row>
    <row r="55" spans="1:5" x14ac:dyDescent="0.25">
      <c r="A55" s="51" t="s">
        <v>47</v>
      </c>
      <c r="B55" s="52">
        <v>200000</v>
      </c>
      <c r="C55" s="52">
        <f>250808-60400</f>
        <v>190408</v>
      </c>
      <c r="D55" s="52">
        <f t="shared" si="1"/>
        <v>9592</v>
      </c>
    </row>
    <row r="56" spans="1:5" x14ac:dyDescent="0.25">
      <c r="A56" s="51" t="s">
        <v>130</v>
      </c>
      <c r="B56" s="52">
        <v>100000</v>
      </c>
      <c r="C56" s="52">
        <v>23300</v>
      </c>
      <c r="D56" s="52">
        <f t="shared" si="1"/>
        <v>76700</v>
      </c>
    </row>
    <row r="57" spans="1:5" x14ac:dyDescent="0.25">
      <c r="A57" s="45" t="s">
        <v>50</v>
      </c>
      <c r="B57" s="46">
        <v>20000</v>
      </c>
      <c r="C57" s="46">
        <f>1206+4260+300+3552</f>
        <v>9318</v>
      </c>
      <c r="D57" s="46">
        <f t="shared" si="1"/>
        <v>10682</v>
      </c>
    </row>
    <row r="58" spans="1:5" x14ac:dyDescent="0.25">
      <c r="A58" s="45" t="s">
        <v>94</v>
      </c>
      <c r="B58" s="46">
        <v>10000</v>
      </c>
      <c r="C58" s="46">
        <v>10000</v>
      </c>
      <c r="D58" s="46">
        <f t="shared" si="1"/>
        <v>0</v>
      </c>
    </row>
    <row r="59" spans="1:5" x14ac:dyDescent="0.25">
      <c r="A59" s="45" t="s">
        <v>51</v>
      </c>
      <c r="B59" s="46">
        <f>200000+250000</f>
        <v>450000</v>
      </c>
      <c r="C59" s="46">
        <v>385144.1</v>
      </c>
      <c r="D59" s="46">
        <f t="shared" si="1"/>
        <v>64855.900000000023</v>
      </c>
      <c r="E59" s="13" t="s">
        <v>133</v>
      </c>
    </row>
    <row r="60" spans="1:5" x14ac:dyDescent="0.25">
      <c r="A60" s="45" t="s">
        <v>52</v>
      </c>
      <c r="B60" s="46">
        <v>50000</v>
      </c>
      <c r="C60" s="46">
        <v>34671.5</v>
      </c>
      <c r="D60" s="46">
        <f t="shared" si="1"/>
        <v>15328.5</v>
      </c>
    </row>
    <row r="61" spans="1:5" x14ac:dyDescent="0.25">
      <c r="A61" s="51" t="s">
        <v>48</v>
      </c>
      <c r="B61" s="52">
        <v>35000</v>
      </c>
      <c r="C61" s="52">
        <v>9000</v>
      </c>
      <c r="D61" s="52">
        <f t="shared" si="1"/>
        <v>26000</v>
      </c>
      <c r="E61" s="13" t="s">
        <v>132</v>
      </c>
    </row>
    <row r="62" spans="1:5" x14ac:dyDescent="0.25">
      <c r="A62" s="51" t="s">
        <v>37</v>
      </c>
      <c r="B62" s="52">
        <v>30000</v>
      </c>
      <c r="C62" s="52">
        <v>19876</v>
      </c>
      <c r="D62" s="52">
        <f t="shared" si="1"/>
        <v>10124</v>
      </c>
    </row>
    <row r="63" spans="1:5" x14ac:dyDescent="0.25">
      <c r="A63" s="18" t="s">
        <v>34</v>
      </c>
      <c r="B63" s="2">
        <v>40000</v>
      </c>
      <c r="C63" s="2">
        <v>20625</v>
      </c>
      <c r="D63" s="2">
        <f t="shared" si="1"/>
        <v>19375</v>
      </c>
      <c r="E63" s="13" t="s">
        <v>134</v>
      </c>
    </row>
    <row r="64" spans="1:5" x14ac:dyDescent="0.25">
      <c r="A64" s="13" t="s">
        <v>135</v>
      </c>
      <c r="B64" s="12">
        <f>SUM(B47:B63)</f>
        <v>1691000</v>
      </c>
      <c r="C64" s="12">
        <f>SUM(C47:C63)</f>
        <v>1182075.1000000001</v>
      </c>
      <c r="D64" s="12">
        <f>SUM(D47:D63)</f>
        <v>508924.9</v>
      </c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2">
        <v>1672836.33</v>
      </c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>
        <f>B67-B64</f>
        <v>-18163.669999999925</v>
      </c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</sheetData>
  <mergeCells count="8">
    <mergeCell ref="A45:A46"/>
    <mergeCell ref="B45:B46"/>
    <mergeCell ref="C45:C46"/>
    <mergeCell ref="A2:D2"/>
    <mergeCell ref="A3:D3"/>
    <mergeCell ref="A5:A6"/>
    <mergeCell ref="B5:B6"/>
    <mergeCell ref="C5:C6"/>
  </mergeCells>
  <pageMargins left="0.26" right="0.17" top="0.75" bottom="0.75" header="0.3" footer="0.3"/>
  <pageSetup scale="11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"/>
  <sheetViews>
    <sheetView topLeftCell="A94" zoomScale="160" zoomScaleNormal="160" workbookViewId="0">
      <selection activeCell="A94" sqref="A94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5" width="14.7109375" style="13" customWidth="1"/>
    <col min="6" max="6" width="16.28515625" style="13" customWidth="1"/>
    <col min="7" max="7" width="14.28515625" style="13" customWidth="1"/>
    <col min="8" max="8" width="9.140625" style="13"/>
    <col min="9" max="9" width="13.42578125" style="13" bestFit="1" customWidth="1"/>
    <col min="10" max="10" width="13.28515625" style="13" bestFit="1" customWidth="1"/>
    <col min="11" max="11" width="9.140625" style="13"/>
    <col min="12" max="12" width="11" style="13" bestFit="1" customWidth="1"/>
    <col min="13" max="13" width="15.42578125" style="13" bestFit="1" customWidth="1"/>
    <col min="14" max="14" width="11.7109375" style="13" customWidth="1"/>
    <col min="15" max="15" width="9.85546875" style="13" customWidth="1"/>
    <col min="16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136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137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/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/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/>
      <c r="B10" s="26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1278616.72</v>
      </c>
      <c r="D11" s="2">
        <f>C11/4*3</f>
        <v>958962.54</v>
      </c>
      <c r="E11" s="11">
        <f>117372.31+97372.31+97372.31+104872.31+144446.38+100372.31+98872.31+98872.31+101871.43</f>
        <v>961423.98</v>
      </c>
      <c r="F11" s="2">
        <f>C11-E11</f>
        <v>317192.74</v>
      </c>
      <c r="G11" s="2">
        <f>D11-E11</f>
        <v>-2461.4399999999441</v>
      </c>
      <c r="I11" s="14"/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907422</v>
      </c>
      <c r="D12" s="2">
        <v>907422</v>
      </c>
      <c r="E12" s="2">
        <f>145456.28+53064.89+100644.94+77635.25+173854.03+130085.92+130608.52+158444.41+79302.95</f>
        <v>1049097.1900000002</v>
      </c>
      <c r="F12" s="2">
        <f t="shared" ref="F12:F13" si="0">C12-E12</f>
        <v>-141675.19000000018</v>
      </c>
      <c r="G12" s="2">
        <f t="shared" ref="G12:G13" si="1">D12-E12</f>
        <v>-141675.19000000018</v>
      </c>
      <c r="I12" s="14"/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</v>
      </c>
      <c r="D13" s="2">
        <f>C13</f>
        <v>15000</v>
      </c>
      <c r="E13" s="2"/>
      <c r="F13" s="2">
        <f t="shared" si="0"/>
        <v>15000</v>
      </c>
      <c r="G13" s="2">
        <f t="shared" si="1"/>
        <v>15000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2"/>
      <c r="I14" s="12"/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2201038.7199999997</v>
      </c>
      <c r="D15" s="8">
        <f>SUM(D11:D14)</f>
        <v>1881384.54</v>
      </c>
      <c r="E15" s="8">
        <f>SUM(E11:E14)</f>
        <v>2010521.1700000002</v>
      </c>
      <c r="F15" s="8">
        <f>SUM(F11:F14)</f>
        <v>190517.54999999981</v>
      </c>
      <c r="G15" s="8">
        <f>SUM(G11:G14)</f>
        <v>-129136.63000000012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5826344.4400000004</v>
      </c>
      <c r="D18" s="2">
        <f>C18/4*3</f>
        <v>4369758.33</v>
      </c>
      <c r="E18" s="11">
        <f>507164.54+447164.54+447164.54+455164.54+627512.04+447164.54+447164.54+447164.54+447164.54</f>
        <v>4272828.3600000003</v>
      </c>
      <c r="F18" s="2">
        <f>C18-E18</f>
        <v>1553516.08</v>
      </c>
      <c r="G18" s="2">
        <f>D18-E18</f>
        <v>96929.969999999739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889203.6</v>
      </c>
      <c r="D19" s="2">
        <v>600000</v>
      </c>
      <c r="E19" s="2">
        <f>100251.6+122496.17+65391.24+37491+56702.16+67137.08+82547+100995+47295</f>
        <v>680306.25</v>
      </c>
      <c r="F19" s="2">
        <f>C19-E19</f>
        <v>208897.34999999998</v>
      </c>
      <c r="G19" s="2">
        <f>D19-E19</f>
        <v>-80306.25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6715548.04</v>
      </c>
      <c r="D22" s="8">
        <f>SUM(D18:D21)</f>
        <v>4969758.33</v>
      </c>
      <c r="E22" s="8">
        <f>SUM(E18:E21)</f>
        <v>4953134.6100000003</v>
      </c>
      <c r="F22" s="8">
        <f>SUM(F18:F21)</f>
        <v>1762413.4300000002</v>
      </c>
      <c r="G22" s="8">
        <f>SUM(G18:G21)</f>
        <v>16623.719999999739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795756.96</v>
      </c>
      <c r="D25" s="2">
        <f>C25/4*3</f>
        <v>596817.72</v>
      </c>
      <c r="E25" s="11">
        <f>71477.5+60182.83+59477.5+65477.5+82259+60183.13+60183.13+60183.13+60182.83</f>
        <v>579606.55000000005</v>
      </c>
      <c r="F25" s="2">
        <f>C25-E25</f>
        <v>216150.40999999992</v>
      </c>
      <c r="G25" s="2">
        <f>D25-E25</f>
        <v>17211.169999999925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113663</v>
      </c>
      <c r="D26" s="2">
        <v>75000</v>
      </c>
      <c r="E26" s="2">
        <f>7179.03+11958+13454.3+1906.56+926.39+1845.07+13538.83+2407.56+10098.2</f>
        <v>63313.94</v>
      </c>
      <c r="F26" s="2">
        <f>C26-E26</f>
        <v>50349.06</v>
      </c>
      <c r="G26" s="2">
        <f>D26-E26</f>
        <v>11686.059999999998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/>
      <c r="D27" s="2"/>
      <c r="E27" s="2"/>
      <c r="F27" s="2">
        <f>C27-E27</f>
        <v>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909419.96</v>
      </c>
      <c r="D29" s="8">
        <f>SUM(D25:D28)</f>
        <v>671817.72</v>
      </c>
      <c r="E29" s="8">
        <f>SUM(E25:E28)</f>
        <v>642920.49</v>
      </c>
      <c r="F29" s="8">
        <f>SUM(F25:F28)</f>
        <v>266499.46999999991</v>
      </c>
      <c r="G29" s="8">
        <f>SUM(G25:G28)</f>
        <v>28897.229999999923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586932.16</v>
      </c>
      <c r="D32" s="2">
        <f>C32/4*3</f>
        <v>440199.12</v>
      </c>
      <c r="E32" s="11">
        <f>49893.98+41893.98+44677.18+44677.18+68080.18+44677.18+44677.18+44677.18+44677.18</f>
        <v>427931.22</v>
      </c>
      <c r="F32" s="2">
        <f>C32-E32</f>
        <v>159000.94000000006</v>
      </c>
      <c r="G32" s="2">
        <f>D32-E32</f>
        <v>12267.900000000023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48659.8</v>
      </c>
      <c r="D33" s="2">
        <v>36500</v>
      </c>
      <c r="E33" s="2">
        <f>2080+922+810+1410+3060+18369+2004+10160</f>
        <v>38815</v>
      </c>
      <c r="F33" s="2">
        <f>C33-E33</f>
        <v>9844.8000000000029</v>
      </c>
      <c r="G33" s="2">
        <f>D33-E33</f>
        <v>-2315</v>
      </c>
      <c r="L33" s="12"/>
      <c r="M33" s="12">
        <v>15000</v>
      </c>
    </row>
    <row r="34" spans="1:13" x14ac:dyDescent="0.25">
      <c r="A34" s="25"/>
      <c r="B34" s="27" t="s">
        <v>13</v>
      </c>
      <c r="C34" s="2"/>
      <c r="D34" s="2"/>
      <c r="E34" s="2"/>
      <c r="F34" s="2"/>
      <c r="G34" s="2"/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635591.96000000008</v>
      </c>
      <c r="D36" s="8">
        <f>SUM(D32:D35)</f>
        <v>476699.12</v>
      </c>
      <c r="E36" s="8">
        <f>SUM(E32:E35)</f>
        <v>466746.22</v>
      </c>
      <c r="F36" s="8">
        <f>SUM(F32:F35)</f>
        <v>168845.74000000005</v>
      </c>
      <c r="G36" s="8">
        <f>SUM(G32:G35)</f>
        <v>9952.9000000000233</v>
      </c>
      <c r="L36" s="12"/>
    </row>
    <row r="37" spans="1:13" x14ac:dyDescent="0.25">
      <c r="A37" s="25"/>
      <c r="B37" s="18"/>
      <c r="C37" s="2"/>
      <c r="D37" s="2"/>
      <c r="E37" s="2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2"/>
      <c r="I38" s="13">
        <f>170*18</f>
        <v>3060</v>
      </c>
      <c r="L38" s="12"/>
    </row>
    <row r="39" spans="1:13" x14ac:dyDescent="0.25">
      <c r="A39" s="25"/>
      <c r="B39" s="27" t="s">
        <v>11</v>
      </c>
      <c r="C39" s="2">
        <v>455978.4</v>
      </c>
      <c r="D39" s="2">
        <f>C39/4*3</f>
        <v>341983.80000000005</v>
      </c>
      <c r="E39" s="11">
        <f>39218.2+35218.2+35218.2+37218.2+48898.2+35218.2+35218.2+35218.2+35218.2</f>
        <v>336643.80000000005</v>
      </c>
      <c r="F39" s="2">
        <f>C39-E39</f>
        <v>119334.59999999998</v>
      </c>
      <c r="G39" s="2">
        <f>D39-E39</f>
        <v>5340</v>
      </c>
      <c r="I39" s="13">
        <f>18*130</f>
        <v>2340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72185</v>
      </c>
      <c r="D40" s="2">
        <v>50000</v>
      </c>
      <c r="E40" s="2">
        <f>5186.5+300+9964+2200+3244+2200</f>
        <v>23094.5</v>
      </c>
      <c r="F40" s="2">
        <f>C40-E40</f>
        <v>49090.5</v>
      </c>
      <c r="G40" s="2">
        <f>D40-E40</f>
        <v>26905.5</v>
      </c>
      <c r="I40" s="13">
        <f>SUM(I38:I39)</f>
        <v>5400</v>
      </c>
    </row>
    <row r="41" spans="1:13" x14ac:dyDescent="0.25">
      <c r="A41" s="25"/>
      <c r="B41" s="27" t="s">
        <v>13</v>
      </c>
      <c r="C41" s="2"/>
      <c r="D41" s="2"/>
      <c r="E41" s="2"/>
      <c r="F41" s="2"/>
      <c r="G41" s="2"/>
      <c r="I41" s="13">
        <f>350*18</f>
        <v>6300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2"/>
      <c r="I42" s="13">
        <f>SUM(I40:I41)</f>
        <v>11700</v>
      </c>
    </row>
    <row r="43" spans="1:13" x14ac:dyDescent="0.25">
      <c r="A43" s="25"/>
      <c r="B43" s="28" t="s">
        <v>27</v>
      </c>
      <c r="C43" s="8">
        <f>SUM(C39:C42)</f>
        <v>528163.4</v>
      </c>
      <c r="D43" s="8">
        <f>SUM(D39:D42)</f>
        <v>391983.80000000005</v>
      </c>
      <c r="E43" s="8">
        <f>SUM(E39:E42)</f>
        <v>359738.30000000005</v>
      </c>
      <c r="F43" s="8">
        <f>SUM(F39:F42)</f>
        <v>168425.09999999998</v>
      </c>
      <c r="G43" s="8">
        <f>SUM(G39:G42)</f>
        <v>32245.5</v>
      </c>
      <c r="I43" s="21">
        <f>15000-I42</f>
        <v>3300</v>
      </c>
    </row>
    <row r="44" spans="1:13" x14ac:dyDescent="0.25">
      <c r="A44" s="25"/>
      <c r="B44" s="18"/>
      <c r="C44" s="2"/>
      <c r="D44" s="2"/>
      <c r="E44" s="2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2"/>
      <c r="I45" s="13">
        <v>6000</v>
      </c>
      <c r="M45" s="12">
        <v>34163973.780000001</v>
      </c>
    </row>
    <row r="46" spans="1:13" x14ac:dyDescent="0.25">
      <c r="A46" s="25"/>
      <c r="B46" s="27" t="s">
        <v>11</v>
      </c>
      <c r="C46" s="2">
        <v>883152.6</v>
      </c>
      <c r="D46" s="2">
        <f>C46/4*3</f>
        <v>662364.44999999995</v>
      </c>
      <c r="E46" s="11">
        <f>43686.72+39386.72+39386.72+39386.72+64004.22+39386.72+39386.72+39386.72+39386.72</f>
        <v>383397.98</v>
      </c>
      <c r="F46" s="2">
        <f>C46-E46</f>
        <v>499754.62</v>
      </c>
      <c r="G46" s="2">
        <f>D46-E46</f>
        <v>278966.46999999997</v>
      </c>
      <c r="I46" s="13">
        <v>9352</v>
      </c>
      <c r="M46" s="14">
        <f>M45*55%</f>
        <v>18790185.579000004</v>
      </c>
    </row>
    <row r="47" spans="1:13" x14ac:dyDescent="0.25">
      <c r="A47" s="25"/>
      <c r="B47" s="27" t="s">
        <v>12</v>
      </c>
      <c r="C47" s="2">
        <v>169427.5</v>
      </c>
      <c r="D47" s="2">
        <v>130000</v>
      </c>
      <c r="E47" s="2">
        <f>7668+3742+41926.8+1198+500+10390+5388+49924+27363</f>
        <v>148099.79999999999</v>
      </c>
      <c r="F47" s="2">
        <f>C47-E47</f>
        <v>21327.700000000012</v>
      </c>
      <c r="G47" s="2">
        <f>D47-E47</f>
        <v>-18099.799999999988</v>
      </c>
    </row>
    <row r="48" spans="1:13" x14ac:dyDescent="0.25">
      <c r="A48" s="25"/>
      <c r="B48" s="27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  <c r="I48" s="43">
        <v>2000</v>
      </c>
    </row>
    <row r="49" spans="1:9" x14ac:dyDescent="0.25">
      <c r="A49" s="25"/>
      <c r="B49" s="27" t="s">
        <v>14</v>
      </c>
      <c r="C49" s="2"/>
      <c r="D49" s="2"/>
      <c r="E49" s="2"/>
      <c r="F49" s="2"/>
      <c r="G49" s="2"/>
      <c r="H49" s="12"/>
      <c r="I49" s="13">
        <v>5000</v>
      </c>
    </row>
    <row r="50" spans="1:9" x14ac:dyDescent="0.25">
      <c r="A50" s="25"/>
      <c r="B50" s="28" t="s">
        <v>27</v>
      </c>
      <c r="C50" s="8">
        <f>SUM(C46:C49)</f>
        <v>1052580.1000000001</v>
      </c>
      <c r="D50" s="8"/>
      <c r="E50" s="8">
        <f>SUM(E46:E49)</f>
        <v>531497.78</v>
      </c>
      <c r="F50" s="8">
        <f>SUM(F46:F49)</f>
        <v>521082.32</v>
      </c>
      <c r="G50" s="8">
        <f>SUM(G46:G49)</f>
        <v>260866.66999999998</v>
      </c>
      <c r="H50" s="12"/>
    </row>
    <row r="51" spans="1:9" x14ac:dyDescent="0.25">
      <c r="A51" s="25"/>
      <c r="B51" s="18"/>
      <c r="C51" s="2"/>
      <c r="D51" s="2"/>
      <c r="E51" s="2"/>
      <c r="F51" s="2"/>
      <c r="G51" s="2"/>
      <c r="H51" s="12"/>
      <c r="I51" s="13">
        <f>SUM(I45:I50)</f>
        <v>22352</v>
      </c>
    </row>
    <row r="52" spans="1:9" x14ac:dyDescent="0.25">
      <c r="A52" s="25">
        <v>1091</v>
      </c>
      <c r="B52" s="26" t="s">
        <v>19</v>
      </c>
      <c r="C52" s="2"/>
      <c r="D52" s="2"/>
      <c r="E52" s="2"/>
      <c r="F52" s="2"/>
      <c r="G52" s="2"/>
      <c r="H52" s="12"/>
      <c r="I52" s="13">
        <v>22352</v>
      </c>
    </row>
    <row r="53" spans="1:9" x14ac:dyDescent="0.25">
      <c r="A53" s="25"/>
      <c r="B53" s="27" t="s">
        <v>11</v>
      </c>
      <c r="C53" s="2">
        <v>1381633.04</v>
      </c>
      <c r="D53" s="2">
        <f>C53/4*3</f>
        <v>1036224.78</v>
      </c>
      <c r="E53" s="11">
        <f>130839.92+102839.92+102839.92+102839.92+147916.92+102841.92+102839.92+102839.92+102839.92</f>
        <v>998638.28000000014</v>
      </c>
      <c r="F53" s="2">
        <f>C53-E53</f>
        <v>382994.75999999989</v>
      </c>
      <c r="G53" s="2">
        <f>D53-E53</f>
        <v>37586.499999999884</v>
      </c>
      <c r="H53" s="12"/>
      <c r="I53" s="13">
        <f>I52-I51</f>
        <v>0</v>
      </c>
    </row>
    <row r="54" spans="1:9" x14ac:dyDescent="0.25">
      <c r="A54" s="25"/>
      <c r="B54" s="27" t="s">
        <v>12</v>
      </c>
      <c r="C54" s="2">
        <v>251782.6</v>
      </c>
      <c r="D54" s="2">
        <v>180000</v>
      </c>
      <c r="E54" s="2">
        <f>24187+22532+17190.5+17729.95+2933.75+2246+3790+18026.75+13097</f>
        <v>121732.95</v>
      </c>
      <c r="F54" s="2">
        <f>C54-E54</f>
        <v>130049.65000000001</v>
      </c>
      <c r="G54" s="2">
        <f>D54-E54</f>
        <v>58267.05</v>
      </c>
      <c r="H54" s="12"/>
    </row>
    <row r="55" spans="1:9" x14ac:dyDescent="0.25">
      <c r="A55" s="25"/>
      <c r="B55" s="27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9" x14ac:dyDescent="0.25">
      <c r="A56" s="25"/>
      <c r="B56" s="27" t="s">
        <v>14</v>
      </c>
      <c r="C56" s="2"/>
      <c r="D56" s="2"/>
      <c r="E56" s="2"/>
      <c r="F56" s="2"/>
      <c r="G56" s="2"/>
      <c r="H56" s="12"/>
    </row>
    <row r="57" spans="1:9" x14ac:dyDescent="0.25">
      <c r="A57" s="29"/>
      <c r="B57" s="28" t="s">
        <v>27</v>
      </c>
      <c r="C57" s="8">
        <f>SUM(C53:C56)</f>
        <v>1633415.6400000001</v>
      </c>
      <c r="D57" s="8">
        <f>SUM(D53:D56)</f>
        <v>1216224.78</v>
      </c>
      <c r="E57" s="8">
        <f>SUM(E53:E56)</f>
        <v>1120371.2300000002</v>
      </c>
      <c r="F57" s="8">
        <f>SUM(F53:F56)</f>
        <v>513044.40999999992</v>
      </c>
      <c r="G57" s="8">
        <f>SUM(G53:G56)</f>
        <v>95853.549999999886</v>
      </c>
      <c r="H57" s="12"/>
    </row>
    <row r="58" spans="1:9" ht="15.75" thickBot="1" x14ac:dyDescent="0.3">
      <c r="A58" s="30"/>
      <c r="B58" s="31"/>
      <c r="C58" s="9"/>
      <c r="D58" s="9"/>
      <c r="E58" s="9"/>
      <c r="F58" s="9"/>
      <c r="G58" s="32"/>
      <c r="H58" s="12"/>
    </row>
    <row r="59" spans="1:9" x14ac:dyDescent="0.25">
      <c r="A59" s="33"/>
      <c r="B59" s="34"/>
      <c r="C59" s="10"/>
      <c r="D59" s="10"/>
      <c r="E59" s="10"/>
      <c r="F59" s="10"/>
      <c r="G59" s="10"/>
      <c r="H59" s="12"/>
    </row>
    <row r="61" spans="1:9" x14ac:dyDescent="0.25">
      <c r="A61" s="33"/>
      <c r="B61" s="34"/>
      <c r="C61" s="10"/>
      <c r="D61" s="10"/>
      <c r="E61" s="10"/>
      <c r="F61" s="10"/>
      <c r="G61" s="10"/>
      <c r="H61" s="12"/>
    </row>
    <row r="62" spans="1:9" x14ac:dyDescent="0.25">
      <c r="A62" s="13" t="s">
        <v>0</v>
      </c>
      <c r="B62" s="34"/>
      <c r="C62" s="10"/>
      <c r="D62" s="10"/>
      <c r="E62" s="10"/>
      <c r="F62" s="10"/>
      <c r="G62" s="10"/>
      <c r="H62" s="12"/>
    </row>
    <row r="63" spans="1:9" x14ac:dyDescent="0.25">
      <c r="A63" s="13" t="s">
        <v>1</v>
      </c>
      <c r="B63" s="34"/>
      <c r="C63" s="10"/>
      <c r="D63" s="10"/>
      <c r="E63" s="10"/>
      <c r="F63" s="10"/>
      <c r="G63" s="10"/>
      <c r="H63" s="12"/>
    </row>
    <row r="64" spans="1:9" x14ac:dyDescent="0.25">
      <c r="A64" s="13" t="s">
        <v>2</v>
      </c>
      <c r="B64" s="34"/>
      <c r="C64" s="10"/>
      <c r="D64" s="10"/>
      <c r="E64" s="10"/>
      <c r="F64" s="10"/>
      <c r="G64" s="10"/>
      <c r="H64" s="12"/>
    </row>
    <row r="65" spans="1:15" x14ac:dyDescent="0.25">
      <c r="A65" s="22" t="s">
        <v>114</v>
      </c>
      <c r="B65" s="34"/>
      <c r="C65" s="10"/>
      <c r="D65" s="10"/>
      <c r="E65" s="10"/>
      <c r="F65" s="10"/>
      <c r="G65" s="10"/>
      <c r="H65" s="12"/>
    </row>
    <row r="66" spans="1:15" x14ac:dyDescent="0.25">
      <c r="A66" s="33"/>
      <c r="B66" s="34"/>
      <c r="C66" s="10"/>
      <c r="D66" s="10"/>
      <c r="E66" s="10"/>
      <c r="F66" s="10"/>
      <c r="G66" s="10"/>
      <c r="H66" s="12"/>
    </row>
    <row r="67" spans="1:15" x14ac:dyDescent="0.25">
      <c r="A67" s="115" t="s">
        <v>3</v>
      </c>
      <c r="B67" s="115" t="s">
        <v>4</v>
      </c>
      <c r="C67" s="115" t="s">
        <v>5</v>
      </c>
      <c r="D67" s="115" t="s">
        <v>6</v>
      </c>
      <c r="E67" s="115" t="s">
        <v>7</v>
      </c>
      <c r="F67" s="15" t="s">
        <v>8</v>
      </c>
      <c r="G67" s="15" t="s">
        <v>8</v>
      </c>
      <c r="H67" s="12"/>
    </row>
    <row r="68" spans="1:15" x14ac:dyDescent="0.25">
      <c r="A68" s="116"/>
      <c r="B68" s="116"/>
      <c r="C68" s="116"/>
      <c r="D68" s="116"/>
      <c r="E68" s="116"/>
      <c r="F68" s="16" t="s">
        <v>5</v>
      </c>
      <c r="G68" s="16" t="s">
        <v>6</v>
      </c>
      <c r="H68" s="12"/>
    </row>
    <row r="69" spans="1:15" x14ac:dyDescent="0.25">
      <c r="A69" s="24"/>
      <c r="B69" s="17"/>
      <c r="C69" s="19"/>
      <c r="D69" s="19"/>
      <c r="E69" s="19"/>
      <c r="F69" s="19"/>
      <c r="G69" s="19"/>
      <c r="H69" s="12"/>
    </row>
    <row r="70" spans="1:15" x14ac:dyDescent="0.25">
      <c r="A70" s="25">
        <v>1101</v>
      </c>
      <c r="B70" s="26" t="s">
        <v>20</v>
      </c>
      <c r="C70" s="2"/>
      <c r="D70" s="2"/>
      <c r="E70" s="2"/>
      <c r="F70" s="2"/>
      <c r="G70" s="2"/>
      <c r="H70" s="12"/>
      <c r="J70" s="12">
        <v>5000</v>
      </c>
      <c r="L70" s="12">
        <v>5000</v>
      </c>
      <c r="M70" s="12">
        <v>5000</v>
      </c>
      <c r="N70" s="12">
        <v>5000</v>
      </c>
    </row>
    <row r="71" spans="1:15" x14ac:dyDescent="0.25">
      <c r="A71" s="25"/>
      <c r="B71" s="27" t="s">
        <v>11</v>
      </c>
      <c r="C71" s="2">
        <v>623143.92000000004</v>
      </c>
      <c r="D71" s="2">
        <f>C71/4*2</f>
        <v>311571.96000000002</v>
      </c>
      <c r="E71" s="11">
        <f>55487.16+47487.16+47487.16+51487.16+68136.16+49487.16+49487.16+49487.16+49487.16</f>
        <v>468033.44000000018</v>
      </c>
      <c r="F71" s="2">
        <f>C71-E71</f>
        <v>155110.47999999986</v>
      </c>
      <c r="G71" s="2">
        <f>D71-E71</f>
        <v>-156461.48000000016</v>
      </c>
      <c r="H71" s="12"/>
      <c r="J71" s="12">
        <v>1228.6500000000001</v>
      </c>
      <c r="L71" s="12">
        <v>3650.5</v>
      </c>
      <c r="M71" s="12">
        <v>3350</v>
      </c>
      <c r="N71" s="12">
        <v>5302.5</v>
      </c>
    </row>
    <row r="72" spans="1:15" x14ac:dyDescent="0.25">
      <c r="A72" s="25"/>
      <c r="B72" s="27" t="s">
        <v>12</v>
      </c>
      <c r="C72" s="2">
        <v>92737</v>
      </c>
      <c r="D72" s="2">
        <v>90000</v>
      </c>
      <c r="E72" s="2">
        <f>20000+3700+23860.2+1680+5054+4290+1130+13530+7284.56</f>
        <v>80528.759999999995</v>
      </c>
      <c r="F72" s="2">
        <f>C72-E72</f>
        <v>12208.240000000005</v>
      </c>
      <c r="G72" s="2">
        <f>D72-E72</f>
        <v>9471.2400000000052</v>
      </c>
      <c r="H72" s="12"/>
      <c r="J72" s="12"/>
      <c r="L72" s="12">
        <v>3350</v>
      </c>
      <c r="M72" s="12">
        <v>630</v>
      </c>
      <c r="N72" s="12">
        <v>3350</v>
      </c>
    </row>
    <row r="73" spans="1:15" x14ac:dyDescent="0.25">
      <c r="A73" s="25"/>
      <c r="B73" s="27" t="s">
        <v>13</v>
      </c>
      <c r="C73" s="2"/>
      <c r="D73" s="2"/>
      <c r="E73" s="2"/>
      <c r="F73" s="2">
        <f>C73-E73</f>
        <v>0</v>
      </c>
      <c r="G73" s="2">
        <f>D73-E73</f>
        <v>0</v>
      </c>
      <c r="H73" s="12"/>
      <c r="J73" s="12">
        <v>5302.5</v>
      </c>
      <c r="L73" s="12">
        <v>1228.6500000000001</v>
      </c>
      <c r="M73" s="12">
        <v>5302</v>
      </c>
      <c r="N73" s="12">
        <v>2000</v>
      </c>
      <c r="O73" s="12">
        <v>446</v>
      </c>
    </row>
    <row r="74" spans="1:15" x14ac:dyDescent="0.25">
      <c r="A74" s="25"/>
      <c r="B74" s="27" t="s">
        <v>14</v>
      </c>
      <c r="C74" s="2"/>
      <c r="D74" s="2"/>
      <c r="E74" s="2"/>
      <c r="F74" s="2"/>
      <c r="G74" s="2"/>
      <c r="H74" s="12"/>
      <c r="J74" s="12">
        <v>3650.5</v>
      </c>
      <c r="L74" s="12">
        <v>2958</v>
      </c>
      <c r="M74" s="12"/>
      <c r="N74" s="12"/>
      <c r="O74" s="12">
        <v>150</v>
      </c>
    </row>
    <row r="75" spans="1:15" x14ac:dyDescent="0.25">
      <c r="A75" s="18"/>
      <c r="B75" s="28" t="s">
        <v>27</v>
      </c>
      <c r="C75" s="8">
        <f>SUM(C71:C74)</f>
        <v>715880.92</v>
      </c>
      <c r="D75" s="8">
        <f>SUM(D71:D74)</f>
        <v>401571.96</v>
      </c>
      <c r="E75" s="8">
        <f>SUM(E71:E74)</f>
        <v>548562.20000000019</v>
      </c>
      <c r="F75" s="8">
        <f>SUM(F71:F74)</f>
        <v>167318.71999999986</v>
      </c>
      <c r="G75" s="8">
        <f>SUM(G71:G74)</f>
        <v>-146990.24000000017</v>
      </c>
      <c r="H75" s="12"/>
      <c r="J75" s="12">
        <v>630</v>
      </c>
      <c r="L75" s="12"/>
      <c r="M75" s="12"/>
      <c r="N75" s="12">
        <v>630</v>
      </c>
      <c r="O75" s="13">
        <v>797</v>
      </c>
    </row>
    <row r="76" spans="1:15" x14ac:dyDescent="0.25">
      <c r="A76" s="25"/>
      <c r="B76" s="18"/>
      <c r="C76" s="2"/>
      <c r="D76" s="2"/>
      <c r="E76" s="2"/>
      <c r="F76" s="2"/>
      <c r="G76" s="2"/>
      <c r="H76" s="12"/>
      <c r="J76" s="12">
        <v>630</v>
      </c>
      <c r="L76" s="12"/>
      <c r="M76" s="12">
        <f>SUM(M70:M75)</f>
        <v>14282</v>
      </c>
      <c r="N76" s="12">
        <v>446</v>
      </c>
    </row>
    <row r="77" spans="1:15" x14ac:dyDescent="0.25">
      <c r="A77" s="25">
        <v>6544</v>
      </c>
      <c r="B77" s="26" t="s">
        <v>21</v>
      </c>
      <c r="C77" s="18"/>
      <c r="D77" s="2"/>
      <c r="E77" s="2"/>
      <c r="F77" s="2"/>
      <c r="G77" s="2"/>
      <c r="H77" s="12"/>
      <c r="L77" s="12"/>
      <c r="O77" s="14">
        <f>SUM(O73:O76)</f>
        <v>1393</v>
      </c>
    </row>
    <row r="78" spans="1:15" x14ac:dyDescent="0.25">
      <c r="A78" s="25"/>
      <c r="B78" s="27" t="s">
        <v>11</v>
      </c>
      <c r="C78" s="2">
        <v>1019403.44</v>
      </c>
      <c r="D78" s="2">
        <f>C78/4*2</f>
        <v>509701.72</v>
      </c>
      <c r="E78" s="11">
        <f>106961.1+69302.1+74787.12+75123.55+118187.55+62900.11+71059.43+71006.24+72666.29</f>
        <v>721993.49</v>
      </c>
      <c r="F78" s="2">
        <f>C78-E78</f>
        <v>297409.94999999995</v>
      </c>
      <c r="G78" s="2">
        <f>D78-E78</f>
        <v>-212291.77000000002</v>
      </c>
      <c r="H78" s="12"/>
      <c r="L78" s="12"/>
    </row>
    <row r="79" spans="1:15" x14ac:dyDescent="0.25">
      <c r="A79" s="25"/>
      <c r="B79" s="27" t="s">
        <v>12</v>
      </c>
      <c r="C79" s="2">
        <v>619090</v>
      </c>
      <c r="D79" s="2">
        <v>500000</v>
      </c>
      <c r="E79" s="2">
        <f>91475.1+58152.12+51285.28+110382.15+3589.41+157709.23+156898.36+68220.61+15466.49</f>
        <v>713178.75</v>
      </c>
      <c r="F79" s="2">
        <f>C79-E79</f>
        <v>-94088.75</v>
      </c>
      <c r="G79" s="2">
        <f>D79-E79</f>
        <v>-213178.75</v>
      </c>
      <c r="H79" s="12"/>
      <c r="L79" s="12"/>
    </row>
    <row r="80" spans="1:15" x14ac:dyDescent="0.25">
      <c r="A80" s="25"/>
      <c r="B80" s="27" t="s">
        <v>13</v>
      </c>
      <c r="C80" s="2"/>
      <c r="D80" s="2"/>
      <c r="E80" s="2"/>
      <c r="F80" s="2"/>
      <c r="G80" s="2"/>
      <c r="H80" s="12"/>
      <c r="L80" s="12"/>
    </row>
    <row r="81" spans="1:14" x14ac:dyDescent="0.25">
      <c r="A81" s="25"/>
      <c r="B81" s="27" t="s">
        <v>14</v>
      </c>
      <c r="C81" s="2"/>
      <c r="D81" s="2"/>
      <c r="E81" s="2"/>
      <c r="F81" s="2"/>
      <c r="G81" s="2"/>
      <c r="H81" s="12"/>
      <c r="J81" s="12">
        <f>SUM(J70:J76)</f>
        <v>16441.650000000001</v>
      </c>
      <c r="L81" s="12">
        <f>SUM(L70:L80)</f>
        <v>16187.15</v>
      </c>
      <c r="M81" s="14">
        <f>M76-16500</f>
        <v>-2218</v>
      </c>
      <c r="N81" s="14">
        <f>SUM(N70:N80)</f>
        <v>16728.5</v>
      </c>
    </row>
    <row r="82" spans="1:14" x14ac:dyDescent="0.25">
      <c r="A82" s="25"/>
      <c r="B82" s="28" t="s">
        <v>27</v>
      </c>
      <c r="C82" s="8">
        <f>SUM(C78:C81)</f>
        <v>1638493.44</v>
      </c>
      <c r="D82" s="8">
        <f>SUM(D78:D81)</f>
        <v>1009701.72</v>
      </c>
      <c r="E82" s="8">
        <f>SUM(E78:E81)</f>
        <v>1435172.24</v>
      </c>
      <c r="F82" s="8">
        <f>SUM(F78:F81)</f>
        <v>203321.19999999995</v>
      </c>
      <c r="G82" s="8">
        <f>SUM(G78:G81)</f>
        <v>-425470.52</v>
      </c>
      <c r="H82" s="12"/>
      <c r="J82" s="13">
        <f>16500</f>
        <v>16500</v>
      </c>
      <c r="L82" s="13">
        <v>16500</v>
      </c>
      <c r="N82" s="13">
        <v>16500</v>
      </c>
    </row>
    <row r="83" spans="1:14" x14ac:dyDescent="0.25">
      <c r="A83" s="25"/>
      <c r="B83" s="18"/>
      <c r="C83" s="2"/>
      <c r="D83" s="2"/>
      <c r="E83" s="2"/>
      <c r="F83" s="2"/>
      <c r="G83" s="2"/>
      <c r="H83" s="12"/>
      <c r="J83" s="14">
        <f>J82-J81</f>
        <v>58.349999999998545</v>
      </c>
      <c r="L83" s="14">
        <f>L82-L81</f>
        <v>312.85000000000036</v>
      </c>
      <c r="N83" s="14">
        <f>N82-N81</f>
        <v>-228.5</v>
      </c>
    </row>
    <row r="84" spans="1:14" x14ac:dyDescent="0.25">
      <c r="A84" s="25">
        <v>4411</v>
      </c>
      <c r="B84" s="26" t="s">
        <v>22</v>
      </c>
      <c r="C84" s="18"/>
      <c r="D84" s="2"/>
      <c r="E84" s="2"/>
      <c r="F84" s="2"/>
      <c r="G84" s="2"/>
      <c r="H84" s="12"/>
    </row>
    <row r="85" spans="1:14" x14ac:dyDescent="0.25">
      <c r="A85" s="25"/>
      <c r="B85" s="27" t="s">
        <v>11</v>
      </c>
      <c r="C85" s="2">
        <v>2196512.08</v>
      </c>
      <c r="D85" s="2">
        <f>C85/4*2</f>
        <v>1098256.04</v>
      </c>
      <c r="E85" s="11">
        <f>213957.92+167107.92+167107.92+181107.92+243912.92+167107.92+167107.92+167107.92+167107.92</f>
        <v>1641626.2799999998</v>
      </c>
      <c r="F85" s="2">
        <f>C85-E85</f>
        <v>554885.80000000028</v>
      </c>
      <c r="G85" s="2">
        <f>D85-E85</f>
        <v>-543370.23999999976</v>
      </c>
      <c r="H85" s="12"/>
    </row>
    <row r="86" spans="1:14" x14ac:dyDescent="0.25">
      <c r="A86" s="25"/>
      <c r="B86" s="27" t="s">
        <v>12</v>
      </c>
      <c r="C86" s="2">
        <v>144544.5</v>
      </c>
      <c r="D86" s="2">
        <v>50000</v>
      </c>
      <c r="E86" s="2">
        <f>710.17+17928.29+6893.74+4570+13976.97+710+7002+36124</f>
        <v>87915.17</v>
      </c>
      <c r="F86" s="2">
        <f>C86-E86</f>
        <v>56629.33</v>
      </c>
      <c r="G86" s="2">
        <f>D86-E86</f>
        <v>-37915.17</v>
      </c>
      <c r="H86" s="12"/>
    </row>
    <row r="87" spans="1:14" x14ac:dyDescent="0.25">
      <c r="A87" s="25"/>
      <c r="B87" s="27" t="s">
        <v>13</v>
      </c>
      <c r="C87" s="2"/>
      <c r="D87" s="2"/>
      <c r="E87" s="2"/>
      <c r="F87" s="2"/>
      <c r="G87" s="2"/>
      <c r="H87" s="12"/>
    </row>
    <row r="88" spans="1:14" x14ac:dyDescent="0.25">
      <c r="A88" s="25"/>
      <c r="B88" s="27" t="s">
        <v>14</v>
      </c>
      <c r="C88" s="2"/>
      <c r="D88" s="2"/>
      <c r="E88" s="2"/>
      <c r="F88" s="2"/>
      <c r="G88" s="2"/>
      <c r="H88" s="12"/>
    </row>
    <row r="89" spans="1:14" x14ac:dyDescent="0.25">
      <c r="A89" s="25"/>
      <c r="B89" s="28" t="s">
        <v>27</v>
      </c>
      <c r="C89" s="8">
        <f>SUM(C85:C88)</f>
        <v>2341056.58</v>
      </c>
      <c r="D89" s="8">
        <f>SUM(D85:D88)</f>
        <v>1148256.04</v>
      </c>
      <c r="E89" s="8">
        <f>SUM(E85:E88)</f>
        <v>1729541.4499999997</v>
      </c>
      <c r="F89" s="8">
        <f>SUM(F85:F88)</f>
        <v>611515.13000000024</v>
      </c>
      <c r="G89" s="8">
        <f>SUM(G85:G88)</f>
        <v>-581285.4099999998</v>
      </c>
      <c r="H89" s="12"/>
    </row>
    <row r="90" spans="1:14" x14ac:dyDescent="0.25">
      <c r="A90" s="25"/>
      <c r="B90" s="18"/>
      <c r="C90" s="2"/>
      <c r="D90" s="2"/>
      <c r="E90" s="2"/>
      <c r="F90" s="2"/>
      <c r="G90" s="2"/>
      <c r="H90" s="12"/>
    </row>
    <row r="91" spans="1:14" x14ac:dyDescent="0.25">
      <c r="A91" s="25">
        <v>7611</v>
      </c>
      <c r="B91" s="26" t="s">
        <v>23</v>
      </c>
      <c r="C91" s="2"/>
      <c r="D91" s="2"/>
      <c r="E91" s="2"/>
      <c r="F91" s="2"/>
      <c r="G91" s="2"/>
      <c r="H91" s="12"/>
    </row>
    <row r="92" spans="1:14" x14ac:dyDescent="0.25">
      <c r="A92" s="25"/>
      <c r="B92" s="27" t="s">
        <v>11</v>
      </c>
      <c r="C92" s="2">
        <v>992283.32</v>
      </c>
      <c r="D92" s="2">
        <f>C92/4*2</f>
        <v>496141.66</v>
      </c>
      <c r="E92" s="11">
        <f>84286.36+68536.36+68486.36+75036.36+104009.86+68536.36+68286.36+68536.36+68536.36</f>
        <v>674250.74</v>
      </c>
      <c r="F92" s="2">
        <f>C92-E92</f>
        <v>318032.57999999996</v>
      </c>
      <c r="G92" s="2">
        <f>D92-E92</f>
        <v>-178109.08000000002</v>
      </c>
      <c r="H92" s="12"/>
    </row>
    <row r="93" spans="1:14" x14ac:dyDescent="0.25">
      <c r="A93" s="25"/>
      <c r="B93" s="27" t="s">
        <v>12</v>
      </c>
      <c r="C93" s="2">
        <v>157000.95000000001</v>
      </c>
      <c r="D93" s="2">
        <v>100000</v>
      </c>
      <c r="E93" s="2">
        <f>26300+5800+15920.75+9030+23743+13272+2540+14973+5300</f>
        <v>116878.75</v>
      </c>
      <c r="F93" s="2">
        <f>C93-E93</f>
        <v>40122.200000000012</v>
      </c>
      <c r="G93" s="2">
        <f>D93-E93</f>
        <v>-16878.75</v>
      </c>
      <c r="H93" s="12"/>
    </row>
    <row r="94" spans="1:14" x14ac:dyDescent="0.25">
      <c r="A94" s="25"/>
      <c r="B94" s="27" t="s">
        <v>13</v>
      </c>
      <c r="C94" s="2">
        <v>20000</v>
      </c>
      <c r="D94" s="2"/>
      <c r="E94" s="2"/>
      <c r="F94" s="2"/>
      <c r="G94" s="2"/>
      <c r="H94" s="12"/>
    </row>
    <row r="95" spans="1:14" x14ac:dyDescent="0.25">
      <c r="A95" s="25"/>
      <c r="B95" s="27" t="s">
        <v>14</v>
      </c>
      <c r="C95" s="2"/>
      <c r="D95" s="2"/>
      <c r="E95" s="2"/>
      <c r="F95" s="2"/>
      <c r="G95" s="2"/>
      <c r="H95" s="12"/>
    </row>
    <row r="96" spans="1:14" x14ac:dyDescent="0.25">
      <c r="A96" s="25"/>
      <c r="B96" s="28" t="s">
        <v>27</v>
      </c>
      <c r="C96" s="8">
        <f>SUM(C92:C95)</f>
        <v>1169284.27</v>
      </c>
      <c r="D96" s="8">
        <f>SUM(D92:D95)</f>
        <v>596141.65999999992</v>
      </c>
      <c r="E96" s="8">
        <f>SUM(E92:E95)</f>
        <v>791129.49</v>
      </c>
      <c r="F96" s="8">
        <f>SUM(F92:F95)</f>
        <v>358154.77999999997</v>
      </c>
      <c r="G96" s="8">
        <f>SUM(G92:G95)</f>
        <v>-194987.83000000002</v>
      </c>
      <c r="H96" s="12"/>
    </row>
    <row r="97" spans="1:8" x14ac:dyDescent="0.25">
      <c r="A97" s="25"/>
      <c r="B97" s="18"/>
      <c r="C97" s="2"/>
      <c r="D97" s="2"/>
      <c r="E97" s="2"/>
      <c r="F97" s="2"/>
      <c r="G97" s="2"/>
      <c r="H97" s="12"/>
    </row>
    <row r="98" spans="1:8" x14ac:dyDescent="0.25">
      <c r="A98" s="25">
        <v>8711</v>
      </c>
      <c r="B98" s="26" t="s">
        <v>24</v>
      </c>
      <c r="C98" s="2"/>
      <c r="D98" s="2"/>
      <c r="E98" s="2"/>
      <c r="F98" s="2"/>
      <c r="G98" s="2"/>
      <c r="H98" s="12"/>
    </row>
    <row r="99" spans="1:8" x14ac:dyDescent="0.25">
      <c r="A99" s="25"/>
      <c r="B99" s="27" t="s">
        <v>11</v>
      </c>
      <c r="C99" s="2">
        <v>752074.44</v>
      </c>
      <c r="D99" s="2">
        <f>C99/4*2</f>
        <v>376037.22</v>
      </c>
      <c r="E99" s="11">
        <f>68568.62+56568.62+56568.62+62568.62+84194.12+56568.62+56568.62+56568.62+56568.62</f>
        <v>554743.07999999996</v>
      </c>
      <c r="F99" s="2">
        <f>C99-E99</f>
        <v>197331.36</v>
      </c>
      <c r="G99" s="2">
        <f>D99-E99</f>
        <v>-178705.86</v>
      </c>
      <c r="H99" s="12"/>
    </row>
    <row r="100" spans="1:8" x14ac:dyDescent="0.25">
      <c r="A100" s="25"/>
      <c r="B100" s="27" t="s">
        <v>12</v>
      </c>
      <c r="C100" s="2">
        <v>72539.5</v>
      </c>
      <c r="D100" s="2">
        <v>25000</v>
      </c>
      <c r="E100" s="2">
        <f>6720.03+214+1104.34+3376.27+9654+923.33+2185.75+9132.7</f>
        <v>33310.42</v>
      </c>
      <c r="F100" s="2">
        <f>C100-E100</f>
        <v>39229.08</v>
      </c>
      <c r="G100" s="2">
        <f>D100-E100</f>
        <v>-8310.4199999999983</v>
      </c>
      <c r="H100" s="12"/>
    </row>
    <row r="101" spans="1:8" x14ac:dyDescent="0.25">
      <c r="A101" s="25"/>
      <c r="B101" s="27" t="s">
        <v>13</v>
      </c>
      <c r="C101" s="2"/>
      <c r="D101" s="2"/>
      <c r="E101" s="2"/>
      <c r="F101" s="2"/>
      <c r="G101" s="2"/>
      <c r="H101" s="12"/>
    </row>
    <row r="102" spans="1:8" x14ac:dyDescent="0.25">
      <c r="A102" s="25"/>
      <c r="B102" s="27" t="s">
        <v>14</v>
      </c>
      <c r="C102" s="2"/>
      <c r="D102" s="2"/>
      <c r="E102" s="2"/>
      <c r="F102" s="2"/>
      <c r="G102" s="2"/>
      <c r="H102" s="12"/>
    </row>
    <row r="103" spans="1:8" x14ac:dyDescent="0.25">
      <c r="A103" s="25"/>
      <c r="B103" s="28" t="s">
        <v>27</v>
      </c>
      <c r="C103" s="8">
        <f>SUM(C99:C102)</f>
        <v>824613.94</v>
      </c>
      <c r="D103" s="8">
        <f>SUM(D99:D102)</f>
        <v>401037.22</v>
      </c>
      <c r="E103" s="8">
        <f>SUM(E99:E102)</f>
        <v>588053.5</v>
      </c>
      <c r="F103" s="8">
        <f>SUM(F99:F102)</f>
        <v>236560.44</v>
      </c>
      <c r="G103" s="8">
        <f>SUM(G99:G102)</f>
        <v>-187016.27999999997</v>
      </c>
      <c r="H103" s="12"/>
    </row>
    <row r="104" spans="1:8" x14ac:dyDescent="0.25">
      <c r="A104" s="25"/>
      <c r="B104" s="18"/>
      <c r="C104" s="2"/>
      <c r="D104" s="2"/>
      <c r="E104" s="2"/>
      <c r="F104" s="2"/>
      <c r="G104" s="2"/>
      <c r="H104" s="12"/>
    </row>
    <row r="105" spans="1:8" x14ac:dyDescent="0.25">
      <c r="A105" s="25">
        <v>8751</v>
      </c>
      <c r="B105" s="26" t="s">
        <v>25</v>
      </c>
      <c r="C105" s="2"/>
      <c r="D105" s="2"/>
      <c r="E105" s="2"/>
      <c r="F105" s="2"/>
      <c r="G105" s="2"/>
      <c r="H105" s="12"/>
    </row>
    <row r="106" spans="1:8" x14ac:dyDescent="0.25">
      <c r="A106" s="25"/>
      <c r="B106" s="27" t="s">
        <v>11</v>
      </c>
      <c r="C106" s="2">
        <v>834996</v>
      </c>
      <c r="D106" s="2">
        <f>C106/4*2</f>
        <v>417498</v>
      </c>
      <c r="E106" s="11">
        <f>74640.31+62740.31+62640.31+68640.31+92196.81+63129.75+63129.75+63229.75+63229.75</f>
        <v>613577.05000000005</v>
      </c>
      <c r="F106" s="2">
        <f>C106-E106</f>
        <v>221418.94999999995</v>
      </c>
      <c r="G106" s="2">
        <f>D106-E106</f>
        <v>-196079.05000000005</v>
      </c>
      <c r="H106" s="12"/>
    </row>
    <row r="107" spans="1:8" x14ac:dyDescent="0.25">
      <c r="A107" s="25"/>
      <c r="B107" s="27" t="s">
        <v>12</v>
      </c>
      <c r="C107" s="2">
        <v>45705</v>
      </c>
      <c r="D107" s="2">
        <v>5000</v>
      </c>
      <c r="E107" s="2">
        <f>300+390+755+7545+2000+4900</f>
        <v>15890</v>
      </c>
      <c r="F107" s="2">
        <f>C107-E107</f>
        <v>29815</v>
      </c>
      <c r="G107" s="2">
        <f>D107-E107</f>
        <v>-10890</v>
      </c>
      <c r="H107" s="12"/>
    </row>
    <row r="108" spans="1:8" x14ac:dyDescent="0.25">
      <c r="A108" s="25"/>
      <c r="B108" s="27" t="s">
        <v>13</v>
      </c>
      <c r="C108" s="2">
        <v>20000</v>
      </c>
      <c r="D108" s="2"/>
      <c r="E108" s="2"/>
      <c r="F108" s="2"/>
      <c r="G108" s="2"/>
      <c r="H108" s="12"/>
    </row>
    <row r="109" spans="1:8" x14ac:dyDescent="0.25">
      <c r="A109" s="25"/>
      <c r="B109" s="27" t="s">
        <v>14</v>
      </c>
      <c r="C109" s="2"/>
      <c r="D109" s="2"/>
      <c r="E109" s="2"/>
      <c r="F109" s="2"/>
      <c r="G109" s="2"/>
      <c r="H109" s="12"/>
    </row>
    <row r="110" spans="1:8" x14ac:dyDescent="0.25">
      <c r="A110" s="25"/>
      <c r="B110" s="28" t="s">
        <v>27</v>
      </c>
      <c r="C110" s="8">
        <f>SUM(C106:C109)</f>
        <v>900701</v>
      </c>
      <c r="D110" s="8">
        <f>SUM(D106:D109)</f>
        <v>422498</v>
      </c>
      <c r="E110" s="8">
        <f>SUM(E106:E109)</f>
        <v>629467.05000000005</v>
      </c>
      <c r="F110" s="8">
        <f>SUM(F106:F109)</f>
        <v>251233.94999999995</v>
      </c>
      <c r="G110" s="8">
        <f>SUM(G106:G109)</f>
        <v>-206969.05000000005</v>
      </c>
      <c r="H110" s="12"/>
    </row>
    <row r="111" spans="1:8" x14ac:dyDescent="0.25">
      <c r="A111" s="25"/>
      <c r="B111" s="18"/>
      <c r="C111" s="2"/>
      <c r="D111" s="2"/>
      <c r="E111" s="2"/>
      <c r="F111" s="2"/>
      <c r="G111" s="2"/>
      <c r="H111" s="12"/>
    </row>
    <row r="112" spans="1:8" x14ac:dyDescent="0.25">
      <c r="A112" s="25">
        <v>8811</v>
      </c>
      <c r="B112" s="26" t="s">
        <v>26</v>
      </c>
      <c r="C112" s="2"/>
      <c r="D112" s="2"/>
      <c r="E112" s="2"/>
      <c r="F112" s="2"/>
      <c r="G112" s="2"/>
      <c r="H112" s="12"/>
    </row>
    <row r="113" spans="1:8" x14ac:dyDescent="0.25">
      <c r="A113" s="25"/>
      <c r="B113" s="27" t="s">
        <v>11</v>
      </c>
      <c r="C113" s="2"/>
      <c r="D113" s="2"/>
      <c r="E113" s="2"/>
      <c r="F113" s="2">
        <f>C113-E113</f>
        <v>0</v>
      </c>
      <c r="G113" s="2">
        <f>D113-E113</f>
        <v>0</v>
      </c>
      <c r="H113" s="12"/>
    </row>
    <row r="114" spans="1:8" x14ac:dyDescent="0.25">
      <c r="A114" s="25"/>
      <c r="B114" s="27" t="s">
        <v>12</v>
      </c>
      <c r="C114" s="2">
        <v>42119</v>
      </c>
      <c r="D114" s="2">
        <v>10000</v>
      </c>
      <c r="E114" s="2">
        <f>7267+12690</f>
        <v>19957</v>
      </c>
      <c r="F114" s="2">
        <f>C114-E114</f>
        <v>22162</v>
      </c>
      <c r="G114" s="2">
        <f>D114-E114</f>
        <v>-9957</v>
      </c>
      <c r="H114" s="12"/>
    </row>
    <row r="115" spans="1:8" x14ac:dyDescent="0.25">
      <c r="A115" s="25"/>
      <c r="B115" s="27" t="s">
        <v>13</v>
      </c>
      <c r="C115" s="2"/>
      <c r="D115" s="2"/>
      <c r="E115" s="2"/>
      <c r="F115" s="2"/>
      <c r="G115" s="2"/>
      <c r="H115" s="12"/>
    </row>
    <row r="116" spans="1:8" x14ac:dyDescent="0.25">
      <c r="A116" s="25"/>
      <c r="B116" s="27" t="s">
        <v>14</v>
      </c>
      <c r="C116" s="2"/>
      <c r="D116" s="2"/>
      <c r="E116" s="2"/>
      <c r="F116" s="2"/>
      <c r="G116" s="2"/>
      <c r="H116" s="12"/>
    </row>
    <row r="117" spans="1:8" x14ac:dyDescent="0.25">
      <c r="A117" s="29"/>
      <c r="B117" s="28" t="s">
        <v>27</v>
      </c>
      <c r="C117" s="8">
        <f>SUM(C113:C116)</f>
        <v>42119</v>
      </c>
      <c r="D117" s="8">
        <f>SUM(D113:D116)</f>
        <v>10000</v>
      </c>
      <c r="E117" s="8">
        <f>SUM(E113:E116)</f>
        <v>19957</v>
      </c>
      <c r="F117" s="8">
        <f>SUM(F113:F116)</f>
        <v>22162</v>
      </c>
      <c r="G117" s="8">
        <f>SUM(G113:G116)</f>
        <v>-9957</v>
      </c>
      <c r="H117" s="12"/>
    </row>
    <row r="118" spans="1:8" ht="15.75" thickBot="1" x14ac:dyDescent="0.3">
      <c r="A118" s="35"/>
      <c r="B118" s="36"/>
      <c r="C118" s="9"/>
      <c r="D118" s="9"/>
      <c r="E118" s="9"/>
      <c r="F118" s="9"/>
      <c r="G118" s="3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C120" s="12"/>
      <c r="D120" s="12"/>
      <c r="E120" s="12"/>
      <c r="F120" s="12"/>
      <c r="G120" s="12"/>
      <c r="H120" s="12"/>
    </row>
    <row r="121" spans="1:8" x14ac:dyDescent="0.25">
      <c r="C121" s="12"/>
      <c r="D121" s="12"/>
      <c r="E121" s="12"/>
      <c r="F121" s="12"/>
      <c r="G121" s="12"/>
      <c r="H121" s="12"/>
    </row>
    <row r="122" spans="1:8" x14ac:dyDescent="0.25">
      <c r="A122" s="13" t="s">
        <v>0</v>
      </c>
      <c r="B122" s="34"/>
      <c r="C122" s="10"/>
      <c r="D122" s="10"/>
      <c r="E122" s="10"/>
      <c r="F122" s="10"/>
      <c r="G122" s="10"/>
      <c r="H122" s="12"/>
    </row>
    <row r="123" spans="1:8" x14ac:dyDescent="0.25">
      <c r="A123" s="13" t="s">
        <v>1</v>
      </c>
      <c r="B123" s="34"/>
      <c r="C123" s="10"/>
      <c r="D123" s="10"/>
      <c r="E123" s="10"/>
      <c r="F123" s="10"/>
      <c r="G123" s="10"/>
      <c r="H123" s="12"/>
    </row>
    <row r="124" spans="1:8" x14ac:dyDescent="0.25">
      <c r="A124" s="13" t="s">
        <v>2</v>
      </c>
      <c r="B124" s="34"/>
      <c r="C124" s="10"/>
      <c r="D124" s="10"/>
      <c r="E124" s="10"/>
      <c r="F124" s="10"/>
      <c r="G124" s="10"/>
      <c r="H124" s="12"/>
    </row>
    <row r="125" spans="1:8" x14ac:dyDescent="0.25">
      <c r="A125" s="22" t="s">
        <v>114</v>
      </c>
      <c r="B125" s="34"/>
      <c r="C125" s="10"/>
      <c r="D125" s="10"/>
      <c r="E125" s="10"/>
      <c r="F125" s="10"/>
      <c r="G125" s="10"/>
      <c r="H125" s="12"/>
    </row>
    <row r="126" spans="1:8" x14ac:dyDescent="0.25">
      <c r="A126" s="33"/>
      <c r="B126" s="34"/>
      <c r="C126" s="10"/>
      <c r="D126" s="10"/>
      <c r="E126" s="10"/>
      <c r="F126" s="10"/>
      <c r="G126" s="10"/>
      <c r="H126" s="12"/>
    </row>
    <row r="127" spans="1:8" x14ac:dyDescent="0.25">
      <c r="A127" s="115" t="s">
        <v>3</v>
      </c>
      <c r="B127" s="115" t="s">
        <v>4</v>
      </c>
      <c r="C127" s="115" t="s">
        <v>5</v>
      </c>
      <c r="D127" s="115" t="s">
        <v>6</v>
      </c>
      <c r="E127" s="115" t="s">
        <v>7</v>
      </c>
      <c r="F127" s="15" t="s">
        <v>8</v>
      </c>
      <c r="G127" s="15" t="s">
        <v>8</v>
      </c>
      <c r="H127" s="12"/>
    </row>
    <row r="128" spans="1:8" x14ac:dyDescent="0.25">
      <c r="A128" s="116"/>
      <c r="B128" s="116"/>
      <c r="C128" s="116"/>
      <c r="D128" s="116"/>
      <c r="E128" s="116"/>
      <c r="F128" s="16" t="s">
        <v>5</v>
      </c>
      <c r="G128" s="16" t="s">
        <v>6</v>
      </c>
      <c r="H128" s="12"/>
    </row>
    <row r="129" spans="1:12" x14ac:dyDescent="0.25">
      <c r="A129" s="17"/>
      <c r="B129" s="17"/>
      <c r="C129" s="19"/>
      <c r="D129" s="19"/>
      <c r="E129" s="19"/>
      <c r="F129" s="19"/>
      <c r="G129" s="19"/>
      <c r="H129" s="12"/>
    </row>
    <row r="130" spans="1:12" x14ac:dyDescent="0.25">
      <c r="A130" s="18" t="s">
        <v>29</v>
      </c>
      <c r="B130" s="18" t="s">
        <v>38</v>
      </c>
      <c r="C130" s="2">
        <v>33446.199999999997</v>
      </c>
      <c r="D130" s="2"/>
      <c r="E130" s="2"/>
      <c r="F130" s="2">
        <f t="shared" ref="F130:F169" si="2">C130-E130</f>
        <v>33446.199999999997</v>
      </c>
      <c r="G130" s="2">
        <f t="shared" ref="G130:G171" si="3">D130-E130</f>
        <v>0</v>
      </c>
      <c r="H130" s="12"/>
    </row>
    <row r="131" spans="1:12" x14ac:dyDescent="0.25">
      <c r="A131" s="18"/>
      <c r="B131" s="18" t="s">
        <v>31</v>
      </c>
      <c r="C131" s="2">
        <v>300000</v>
      </c>
      <c r="D131" s="2">
        <v>300000</v>
      </c>
      <c r="E131" s="2">
        <f>24296.11+600+50000+304000</f>
        <v>378896.11</v>
      </c>
      <c r="F131" s="2">
        <f t="shared" si="2"/>
        <v>-78896.109999999986</v>
      </c>
      <c r="G131" s="2">
        <f t="shared" si="3"/>
        <v>-78896.109999999986</v>
      </c>
      <c r="H131" s="12"/>
    </row>
    <row r="132" spans="1:12" x14ac:dyDescent="0.25">
      <c r="A132" s="18"/>
      <c r="B132" s="18" t="s">
        <v>85</v>
      </c>
      <c r="C132" s="2">
        <v>60000</v>
      </c>
      <c r="D132" s="2">
        <v>60000</v>
      </c>
      <c r="E132" s="2">
        <f>1375+11078+25420+3220+4475+49484+7124</f>
        <v>102176</v>
      </c>
      <c r="F132" s="2">
        <f t="shared" si="2"/>
        <v>-42176</v>
      </c>
      <c r="G132" s="2">
        <f t="shared" si="3"/>
        <v>-42176</v>
      </c>
      <c r="H132" s="12"/>
      <c r="J132" s="12"/>
    </row>
    <row r="133" spans="1:12" x14ac:dyDescent="0.25">
      <c r="A133" s="18"/>
      <c r="B133" s="18" t="s">
        <v>32</v>
      </c>
      <c r="C133" s="2">
        <v>30000</v>
      </c>
      <c r="D133" s="2">
        <v>10000</v>
      </c>
      <c r="E133" s="2">
        <f>7600+70</f>
        <v>7670</v>
      </c>
      <c r="F133" s="2">
        <f t="shared" si="2"/>
        <v>22330</v>
      </c>
      <c r="G133" s="2">
        <f t="shared" si="3"/>
        <v>2330</v>
      </c>
      <c r="H133" s="12"/>
      <c r="J133" s="12">
        <v>857870</v>
      </c>
    </row>
    <row r="134" spans="1:12" x14ac:dyDescent="0.25">
      <c r="A134" s="18"/>
      <c r="B134" s="18" t="s">
        <v>86</v>
      </c>
      <c r="C134" s="2">
        <v>50000</v>
      </c>
      <c r="D134" s="2">
        <v>20000</v>
      </c>
      <c r="E134" s="2">
        <f>6693+7030.5+3000</f>
        <v>16723.5</v>
      </c>
      <c r="F134" s="2">
        <f t="shared" si="2"/>
        <v>33276.5</v>
      </c>
      <c r="G134" s="2">
        <f t="shared" si="3"/>
        <v>3276.5</v>
      </c>
      <c r="H134" s="12"/>
      <c r="J134" s="12"/>
    </row>
    <row r="135" spans="1:12" x14ac:dyDescent="0.25">
      <c r="A135" s="18"/>
      <c r="B135" s="18" t="s">
        <v>87</v>
      </c>
      <c r="C135" s="2">
        <v>650000</v>
      </c>
      <c r="D135" s="2"/>
      <c r="E135" s="2"/>
      <c r="F135" s="2">
        <f t="shared" si="2"/>
        <v>650000</v>
      </c>
      <c r="G135" s="2">
        <f t="shared" si="3"/>
        <v>0</v>
      </c>
      <c r="H135" s="12"/>
      <c r="J135" s="12"/>
      <c r="L135" s="13">
        <f>30*6</f>
        <v>180</v>
      </c>
    </row>
    <row r="136" spans="1:12" x14ac:dyDescent="0.25">
      <c r="A136" s="18"/>
      <c r="B136" s="18" t="s">
        <v>35</v>
      </c>
      <c r="C136" s="2">
        <v>170000</v>
      </c>
      <c r="D136" s="2">
        <v>170000</v>
      </c>
      <c r="E136" s="2">
        <f>16850+62900+56050+25800</f>
        <v>161600</v>
      </c>
      <c r="F136" s="2">
        <f t="shared" si="2"/>
        <v>8400</v>
      </c>
      <c r="G136" s="2">
        <f t="shared" si="3"/>
        <v>8400</v>
      </c>
      <c r="H136" s="12" t="s">
        <v>112</v>
      </c>
      <c r="J136" s="12">
        <f>J133*55%</f>
        <v>471828.50000000006</v>
      </c>
      <c r="L136" s="13">
        <f>L135*12</f>
        <v>2160</v>
      </c>
    </row>
    <row r="137" spans="1:12" x14ac:dyDescent="0.25">
      <c r="A137" s="18"/>
      <c r="B137" s="18" t="s">
        <v>88</v>
      </c>
      <c r="C137" s="2">
        <v>20000</v>
      </c>
      <c r="D137" s="2"/>
      <c r="E137" s="2"/>
      <c r="F137" s="2">
        <f t="shared" si="2"/>
        <v>20000</v>
      </c>
      <c r="G137" s="2">
        <f t="shared" si="3"/>
        <v>0</v>
      </c>
      <c r="J137" s="12"/>
    </row>
    <row r="138" spans="1:12" x14ac:dyDescent="0.25">
      <c r="A138" s="18"/>
      <c r="B138" s="18" t="s">
        <v>92</v>
      </c>
      <c r="C138" s="2">
        <v>300000</v>
      </c>
      <c r="D138" s="2">
        <v>40000</v>
      </c>
      <c r="E138" s="2">
        <f>15000+20000</f>
        <v>35000</v>
      </c>
      <c r="F138" s="2">
        <f t="shared" si="2"/>
        <v>265000</v>
      </c>
      <c r="G138" s="2">
        <f t="shared" si="3"/>
        <v>5000</v>
      </c>
      <c r="J138" s="12"/>
    </row>
    <row r="139" spans="1:12" x14ac:dyDescent="0.25">
      <c r="A139" s="18"/>
      <c r="B139" s="18" t="s">
        <v>33</v>
      </c>
      <c r="C139" s="2">
        <v>50000</v>
      </c>
      <c r="D139" s="2">
        <v>50000</v>
      </c>
      <c r="E139" s="2">
        <f>3300+5920+36300+33700+33800</f>
        <v>113020</v>
      </c>
      <c r="F139" s="2">
        <f t="shared" si="2"/>
        <v>-63020</v>
      </c>
      <c r="G139" s="2">
        <f t="shared" si="3"/>
        <v>-63020</v>
      </c>
      <c r="J139" s="12">
        <f>150*3000</f>
        <v>450000</v>
      </c>
      <c r="L139" s="13">
        <f>300*150</f>
        <v>45000</v>
      </c>
    </row>
    <row r="140" spans="1:12" x14ac:dyDescent="0.25">
      <c r="A140" s="18"/>
      <c r="B140" s="18" t="s">
        <v>89</v>
      </c>
      <c r="C140" s="2">
        <v>25000</v>
      </c>
      <c r="D140" s="2">
        <v>25000</v>
      </c>
      <c r="E140" s="2">
        <v>20499</v>
      </c>
      <c r="F140" s="2">
        <f t="shared" si="2"/>
        <v>4501</v>
      </c>
      <c r="G140" s="2">
        <f t="shared" si="3"/>
        <v>4501</v>
      </c>
      <c r="J140" s="12"/>
    </row>
    <row r="141" spans="1:12" x14ac:dyDescent="0.25">
      <c r="A141" s="18"/>
      <c r="B141" s="18" t="s">
        <v>39</v>
      </c>
      <c r="C141" s="2">
        <v>50000</v>
      </c>
      <c r="D141" s="2">
        <v>20000</v>
      </c>
      <c r="E141" s="2">
        <f>10299+455+7894+5640</f>
        <v>24288</v>
      </c>
      <c r="F141" s="2">
        <f t="shared" si="2"/>
        <v>25712</v>
      </c>
      <c r="G141" s="2">
        <f t="shared" si="3"/>
        <v>-4288</v>
      </c>
      <c r="J141" s="13">
        <f>35*3</f>
        <v>105</v>
      </c>
    </row>
    <row r="142" spans="1:12" x14ac:dyDescent="0.25">
      <c r="A142" s="18"/>
      <c r="B142" s="18" t="s">
        <v>40</v>
      </c>
      <c r="C142" s="2">
        <v>50000</v>
      </c>
      <c r="D142" s="2">
        <v>15000</v>
      </c>
      <c r="E142" s="2">
        <f>1671+5835.33+2493.5+1000</f>
        <v>10999.83</v>
      </c>
      <c r="F142" s="2">
        <f t="shared" si="2"/>
        <v>39000.17</v>
      </c>
      <c r="G142" s="2">
        <f t="shared" si="3"/>
        <v>4000.17</v>
      </c>
      <c r="J142" s="13">
        <f>J141*6</f>
        <v>630</v>
      </c>
    </row>
    <row r="143" spans="1:12" x14ac:dyDescent="0.25">
      <c r="A143" s="18"/>
      <c r="B143" s="18" t="s">
        <v>36</v>
      </c>
      <c r="C143" s="2">
        <v>20000</v>
      </c>
      <c r="D143" s="2">
        <v>5000</v>
      </c>
      <c r="E143" s="2">
        <f>1588.5+1077+1500+579</f>
        <v>4744.5</v>
      </c>
      <c r="F143" s="2">
        <f t="shared" si="2"/>
        <v>15255.5</v>
      </c>
      <c r="G143" s="2">
        <f t="shared" si="3"/>
        <v>255.5</v>
      </c>
    </row>
    <row r="144" spans="1:12" x14ac:dyDescent="0.25">
      <c r="A144" s="18"/>
      <c r="B144" s="18" t="s">
        <v>90</v>
      </c>
      <c r="C144" s="2">
        <v>80000</v>
      </c>
      <c r="D144" s="2">
        <v>50000</v>
      </c>
      <c r="E144" s="2">
        <f>20896.8+5100+3900+325+10330</f>
        <v>40551.800000000003</v>
      </c>
      <c r="F144" s="2">
        <f t="shared" si="2"/>
        <v>39448.199999999997</v>
      </c>
      <c r="G144" s="2">
        <f t="shared" si="3"/>
        <v>9448.1999999999971</v>
      </c>
    </row>
    <row r="145" spans="1:10" x14ac:dyDescent="0.25">
      <c r="A145" s="18"/>
      <c r="B145" s="18" t="s">
        <v>30</v>
      </c>
      <c r="C145" s="2">
        <v>55000</v>
      </c>
      <c r="D145" s="2">
        <v>55000</v>
      </c>
      <c r="E145" s="2">
        <f>4000+28303+23270</f>
        <v>55573</v>
      </c>
      <c r="F145" s="2">
        <f t="shared" si="2"/>
        <v>-573</v>
      </c>
      <c r="G145" s="2">
        <f t="shared" si="3"/>
        <v>-573</v>
      </c>
    </row>
    <row r="146" spans="1:10" x14ac:dyDescent="0.25">
      <c r="A146" s="18"/>
      <c r="B146" s="18" t="s">
        <v>91</v>
      </c>
      <c r="C146" s="2">
        <v>700000</v>
      </c>
      <c r="D146" s="2"/>
      <c r="E146" s="2"/>
      <c r="F146" s="2">
        <f t="shared" si="2"/>
        <v>700000</v>
      </c>
      <c r="G146" s="2">
        <f t="shared" si="3"/>
        <v>0</v>
      </c>
      <c r="H146" s="13" t="s">
        <v>113</v>
      </c>
    </row>
    <row r="147" spans="1:10" x14ac:dyDescent="0.25">
      <c r="A147" s="18"/>
      <c r="B147" s="18" t="s">
        <v>101</v>
      </c>
      <c r="C147" s="2">
        <v>180000</v>
      </c>
      <c r="D147" s="2">
        <v>180000</v>
      </c>
      <c r="E147" s="2">
        <f>9081+55572.5+32601.6+40902.2+53656.75+8150+17470</f>
        <v>217434.05</v>
      </c>
      <c r="F147" s="2">
        <f t="shared" si="2"/>
        <v>-37434.049999999988</v>
      </c>
      <c r="G147" s="2">
        <f t="shared" si="3"/>
        <v>-37434.049999999988</v>
      </c>
    </row>
    <row r="148" spans="1:10" x14ac:dyDescent="0.25">
      <c r="A148" s="18"/>
      <c r="B148" s="18" t="s">
        <v>102</v>
      </c>
      <c r="C148" s="2">
        <v>700000</v>
      </c>
      <c r="D148" s="2">
        <v>700000</v>
      </c>
      <c r="E148" s="2">
        <f>55900+131950+113200+126800+81100+53550+126500</f>
        <v>689000</v>
      </c>
      <c r="F148" s="2">
        <f t="shared" si="2"/>
        <v>11000</v>
      </c>
      <c r="G148" s="2">
        <f t="shared" si="3"/>
        <v>11000</v>
      </c>
    </row>
    <row r="149" spans="1:10" x14ac:dyDescent="0.25">
      <c r="A149" s="18"/>
      <c r="B149" s="18" t="s">
        <v>49</v>
      </c>
      <c r="C149" s="2">
        <v>30000</v>
      </c>
      <c r="D149" s="2">
        <v>30000</v>
      </c>
      <c r="E149" s="2">
        <f>5000+18000</f>
        <v>23000</v>
      </c>
      <c r="F149" s="2">
        <f t="shared" si="2"/>
        <v>7000</v>
      </c>
      <c r="G149" s="2">
        <f t="shared" si="3"/>
        <v>7000</v>
      </c>
    </row>
    <row r="150" spans="1:10" x14ac:dyDescent="0.25">
      <c r="A150" s="18"/>
      <c r="B150" s="18" t="s">
        <v>93</v>
      </c>
      <c r="C150" s="2">
        <v>20000</v>
      </c>
      <c r="D150" s="2"/>
      <c r="E150" s="2"/>
      <c r="F150" s="2">
        <f t="shared" si="2"/>
        <v>20000</v>
      </c>
      <c r="G150" s="2">
        <f t="shared" si="3"/>
        <v>0</v>
      </c>
    </row>
    <row r="151" spans="1:10" x14ac:dyDescent="0.25">
      <c r="A151" s="18"/>
      <c r="B151" s="18" t="s">
        <v>50</v>
      </c>
      <c r="C151" s="2">
        <v>20000</v>
      </c>
      <c r="D151" s="2">
        <v>10000</v>
      </c>
      <c r="E151" s="2">
        <f>1206+4260+300+3552</f>
        <v>9318</v>
      </c>
      <c r="F151" s="2">
        <f t="shared" si="2"/>
        <v>10682</v>
      </c>
      <c r="G151" s="2">
        <f t="shared" si="3"/>
        <v>682</v>
      </c>
    </row>
    <row r="152" spans="1:10" x14ac:dyDescent="0.25">
      <c r="A152" s="18"/>
      <c r="B152" s="18" t="s">
        <v>94</v>
      </c>
      <c r="C152" s="2">
        <v>10000</v>
      </c>
      <c r="D152" s="2">
        <v>10000</v>
      </c>
      <c r="E152" s="2">
        <v>10000</v>
      </c>
      <c r="F152" s="2">
        <f t="shared" si="2"/>
        <v>0</v>
      </c>
      <c r="G152" s="2">
        <f t="shared" si="3"/>
        <v>0</v>
      </c>
    </row>
    <row r="153" spans="1:10" x14ac:dyDescent="0.25">
      <c r="A153" s="18"/>
      <c r="B153" s="18" t="s">
        <v>51</v>
      </c>
      <c r="C153" s="2">
        <v>200000</v>
      </c>
      <c r="D153" s="2">
        <v>200000</v>
      </c>
      <c r="E153" s="2">
        <f>25671+9061+37101+72210.5+33516+20434.6+30020</f>
        <v>228014.1</v>
      </c>
      <c r="F153" s="2">
        <f t="shared" si="2"/>
        <v>-28014.100000000006</v>
      </c>
      <c r="G153" s="2">
        <f t="shared" si="3"/>
        <v>-28014.100000000006</v>
      </c>
    </row>
    <row r="154" spans="1:10" x14ac:dyDescent="0.25">
      <c r="A154" s="18"/>
      <c r="B154" s="18" t="s">
        <v>95</v>
      </c>
      <c r="C154" s="2">
        <v>500000</v>
      </c>
      <c r="D154" s="2"/>
      <c r="E154" s="2"/>
      <c r="F154" s="2">
        <f t="shared" si="2"/>
        <v>500000</v>
      </c>
      <c r="G154" s="2">
        <f t="shared" si="3"/>
        <v>0</v>
      </c>
      <c r="J154" s="14"/>
    </row>
    <row r="155" spans="1:10" x14ac:dyDescent="0.25">
      <c r="A155" s="18"/>
      <c r="B155" s="18" t="s">
        <v>52</v>
      </c>
      <c r="C155" s="2">
        <v>50000</v>
      </c>
      <c r="D155" s="2"/>
      <c r="E155" s="2">
        <v>32271.5</v>
      </c>
      <c r="F155" s="2">
        <f t="shared" si="2"/>
        <v>17728.5</v>
      </c>
      <c r="G155" s="2">
        <f t="shared" si="3"/>
        <v>-32271.5</v>
      </c>
    </row>
    <row r="156" spans="1:10" x14ac:dyDescent="0.25">
      <c r="A156" s="18"/>
      <c r="B156" s="18" t="s">
        <v>96</v>
      </c>
      <c r="C156" s="2">
        <v>700000</v>
      </c>
      <c r="D156" s="2">
        <v>200000</v>
      </c>
      <c r="E156" s="2">
        <v>194101</v>
      </c>
      <c r="F156" s="2">
        <f t="shared" si="2"/>
        <v>505899</v>
      </c>
      <c r="G156" s="2">
        <f t="shared" si="3"/>
        <v>5899</v>
      </c>
    </row>
    <row r="157" spans="1:10" x14ac:dyDescent="0.25">
      <c r="A157" s="18"/>
      <c r="B157" s="18" t="s">
        <v>34</v>
      </c>
      <c r="C157" s="2">
        <v>40000</v>
      </c>
      <c r="D157" s="2">
        <v>10000</v>
      </c>
      <c r="E157" s="2">
        <f>3100+1905+1800+2300+300</f>
        <v>9405</v>
      </c>
      <c r="F157" s="2">
        <f t="shared" si="2"/>
        <v>30595</v>
      </c>
      <c r="G157" s="2">
        <f t="shared" si="3"/>
        <v>595</v>
      </c>
    </row>
    <row r="158" spans="1:10" x14ac:dyDescent="0.25">
      <c r="A158" s="18"/>
      <c r="B158" s="18" t="s">
        <v>48</v>
      </c>
      <c r="C158" s="2">
        <v>35000</v>
      </c>
      <c r="D158" s="2"/>
      <c r="E158" s="2"/>
      <c r="F158" s="2">
        <f t="shared" si="2"/>
        <v>35000</v>
      </c>
      <c r="G158" s="2">
        <f t="shared" si="3"/>
        <v>0</v>
      </c>
      <c r="I158" s="13">
        <f>150*455</f>
        <v>68250</v>
      </c>
    </row>
    <row r="159" spans="1:10" x14ac:dyDescent="0.25">
      <c r="A159" s="18"/>
      <c r="B159" s="18" t="s">
        <v>37</v>
      </c>
      <c r="C159" s="2">
        <v>30000</v>
      </c>
      <c r="D159" s="2"/>
      <c r="E159" s="2"/>
      <c r="F159" s="2">
        <f t="shared" si="2"/>
        <v>30000</v>
      </c>
      <c r="G159" s="2">
        <f t="shared" si="3"/>
        <v>0</v>
      </c>
    </row>
    <row r="160" spans="1:10" x14ac:dyDescent="0.25">
      <c r="A160" s="18"/>
      <c r="B160" s="18" t="s">
        <v>97</v>
      </c>
      <c r="C160" s="2">
        <v>550000</v>
      </c>
      <c r="D160" s="2">
        <v>350000</v>
      </c>
      <c r="E160" s="2">
        <f>2990+320448+8782.5+3260</f>
        <v>335480.5</v>
      </c>
      <c r="F160" s="2">
        <f t="shared" si="2"/>
        <v>214519.5</v>
      </c>
      <c r="G160" s="2">
        <f t="shared" si="3"/>
        <v>14519.5</v>
      </c>
    </row>
    <row r="161" spans="1:7" x14ac:dyDescent="0.25">
      <c r="A161" s="18"/>
      <c r="B161" s="18" t="s">
        <v>41</v>
      </c>
      <c r="C161" s="2">
        <v>57600</v>
      </c>
      <c r="D161" s="2"/>
      <c r="E161" s="2"/>
      <c r="F161" s="2">
        <f t="shared" si="2"/>
        <v>57600</v>
      </c>
      <c r="G161" s="2"/>
    </row>
    <row r="162" spans="1:7" x14ac:dyDescent="0.25">
      <c r="A162" s="18"/>
      <c r="B162" s="18" t="s">
        <v>98</v>
      </c>
      <c r="C162" s="2">
        <v>10000</v>
      </c>
      <c r="D162" s="2">
        <v>5000</v>
      </c>
      <c r="E162" s="2">
        <v>5000</v>
      </c>
      <c r="F162" s="2">
        <f t="shared" si="2"/>
        <v>5000</v>
      </c>
      <c r="G162" s="2">
        <f t="shared" si="3"/>
        <v>0</v>
      </c>
    </row>
    <row r="163" spans="1:7" x14ac:dyDescent="0.25">
      <c r="A163" s="18"/>
      <c r="B163" s="18" t="s">
        <v>99</v>
      </c>
      <c r="C163" s="2">
        <v>24842.400000000001</v>
      </c>
      <c r="D163" s="2"/>
      <c r="E163" s="2"/>
      <c r="F163" s="2">
        <f t="shared" si="2"/>
        <v>24842.400000000001</v>
      </c>
      <c r="G163" s="2">
        <f t="shared" si="3"/>
        <v>0</v>
      </c>
    </row>
    <row r="164" spans="1:7" x14ac:dyDescent="0.25">
      <c r="A164" s="18"/>
      <c r="B164" s="18" t="s">
        <v>42</v>
      </c>
      <c r="C164" s="2">
        <v>15000</v>
      </c>
      <c r="D164" s="2"/>
      <c r="E164" s="2">
        <v>3450</v>
      </c>
      <c r="F164" s="2">
        <f t="shared" si="2"/>
        <v>11550</v>
      </c>
      <c r="G164" s="2">
        <f t="shared" si="3"/>
        <v>-3450</v>
      </c>
    </row>
    <row r="165" spans="1:7" x14ac:dyDescent="0.25">
      <c r="A165" s="18"/>
      <c r="B165" s="18" t="s">
        <v>43</v>
      </c>
      <c r="C165" s="2">
        <v>10000</v>
      </c>
      <c r="D165" s="2">
        <v>5000</v>
      </c>
      <c r="E165" s="2">
        <v>3490</v>
      </c>
      <c r="F165" s="2">
        <f t="shared" si="2"/>
        <v>6510</v>
      </c>
      <c r="G165" s="2">
        <f t="shared" si="3"/>
        <v>1510</v>
      </c>
    </row>
    <row r="166" spans="1:7" x14ac:dyDescent="0.25">
      <c r="A166" s="18"/>
      <c r="B166" s="18" t="s">
        <v>44</v>
      </c>
      <c r="C166" s="2">
        <v>15000</v>
      </c>
      <c r="D166" s="2"/>
      <c r="E166" s="2"/>
      <c r="F166" s="2">
        <f t="shared" si="2"/>
        <v>15000</v>
      </c>
      <c r="G166" s="2">
        <f t="shared" si="3"/>
        <v>0</v>
      </c>
    </row>
    <row r="167" spans="1:7" x14ac:dyDescent="0.25">
      <c r="A167" s="18"/>
      <c r="B167" s="18" t="s">
        <v>45</v>
      </c>
      <c r="C167" s="2">
        <v>86400</v>
      </c>
      <c r="D167" s="2">
        <v>60000</v>
      </c>
      <c r="E167" s="2">
        <f>7200+7200+14400+7200+7200+7200+7200</f>
        <v>57600</v>
      </c>
      <c r="F167" s="2">
        <f t="shared" si="2"/>
        <v>28800</v>
      </c>
      <c r="G167" s="2">
        <f t="shared" si="3"/>
        <v>2400</v>
      </c>
    </row>
    <row r="168" spans="1:7" x14ac:dyDescent="0.25">
      <c r="A168" s="18"/>
      <c r="B168" s="18" t="s">
        <v>46</v>
      </c>
      <c r="C168" s="2">
        <v>12000</v>
      </c>
      <c r="D168" s="2"/>
      <c r="E168" s="2"/>
      <c r="F168" s="2">
        <f t="shared" si="2"/>
        <v>12000</v>
      </c>
      <c r="G168" s="2">
        <f t="shared" si="3"/>
        <v>0</v>
      </c>
    </row>
    <row r="169" spans="1:7" x14ac:dyDescent="0.25">
      <c r="A169" s="18"/>
      <c r="B169" s="18" t="s">
        <v>47</v>
      </c>
      <c r="C169" s="2">
        <v>200000</v>
      </c>
      <c r="D169" s="2">
        <v>130000</v>
      </c>
      <c r="E169" s="2">
        <f>4500+21030+31328+39000+27080+6350+34000</f>
        <v>163288</v>
      </c>
      <c r="F169" s="2">
        <f t="shared" si="2"/>
        <v>36712</v>
      </c>
      <c r="G169" s="2">
        <f t="shared" si="3"/>
        <v>-33288</v>
      </c>
    </row>
    <row r="170" spans="1:7" x14ac:dyDescent="0.25">
      <c r="A170" s="18"/>
      <c r="B170" s="18" t="s">
        <v>100</v>
      </c>
      <c r="C170" s="2">
        <v>50000</v>
      </c>
      <c r="D170" s="2"/>
      <c r="E170" s="2"/>
      <c r="F170" s="2"/>
      <c r="G170" s="2"/>
    </row>
    <row r="171" spans="1:7" x14ac:dyDescent="0.25">
      <c r="A171" s="37"/>
      <c r="B171" s="37"/>
      <c r="C171" s="6"/>
      <c r="D171" s="6"/>
      <c r="E171" s="6"/>
      <c r="F171" s="2"/>
      <c r="G171" s="2">
        <f t="shared" si="3"/>
        <v>0</v>
      </c>
    </row>
    <row r="172" spans="1:7" x14ac:dyDescent="0.25">
      <c r="A172" s="38"/>
      <c r="B172" s="28" t="s">
        <v>27</v>
      </c>
      <c r="C172" s="8">
        <f>SUM(C130:C171)</f>
        <v>6189288.6000000006</v>
      </c>
      <c r="D172" s="8">
        <f>SUM(D130:D171)</f>
        <v>2710000</v>
      </c>
      <c r="E172" s="8">
        <f>SUM(E130:E171)</f>
        <v>2952593.89</v>
      </c>
      <c r="F172" s="8">
        <f>SUM(F130:F171)</f>
        <v>3186694.7099999995</v>
      </c>
      <c r="G172" s="8">
        <f>SUM(G130:G171)</f>
        <v>-242593.88999999998</v>
      </c>
    </row>
    <row r="173" spans="1:7" x14ac:dyDescent="0.25">
      <c r="C173" s="7"/>
    </row>
    <row r="174" spans="1:7" x14ac:dyDescent="0.25">
      <c r="C174" s="14"/>
      <c r="E174" s="14">
        <v>800000</v>
      </c>
      <c r="F174" s="13">
        <f>170*45</f>
        <v>7650</v>
      </c>
    </row>
    <row r="175" spans="1:7" x14ac:dyDescent="0.25">
      <c r="C175" s="14"/>
      <c r="E175" s="12">
        <f>170000+700000</f>
        <v>870000</v>
      </c>
    </row>
    <row r="177" spans="1:11" x14ac:dyDescent="0.25">
      <c r="A177" s="13" t="s">
        <v>0</v>
      </c>
      <c r="B177" s="34"/>
      <c r="C177" s="10"/>
      <c r="D177" s="10"/>
      <c r="E177" s="10"/>
      <c r="F177" s="10"/>
      <c r="G177" s="10"/>
    </row>
    <row r="178" spans="1:11" x14ac:dyDescent="0.25">
      <c r="A178" s="13" t="s">
        <v>1</v>
      </c>
      <c r="B178" s="34"/>
      <c r="C178" s="10"/>
      <c r="D178" s="10"/>
      <c r="E178" s="10"/>
      <c r="F178" s="10"/>
      <c r="G178" s="10"/>
    </row>
    <row r="179" spans="1:11" x14ac:dyDescent="0.25">
      <c r="A179" s="13" t="s">
        <v>2</v>
      </c>
      <c r="B179" s="34"/>
      <c r="C179" s="10"/>
      <c r="D179" s="10"/>
      <c r="E179" s="10"/>
      <c r="F179" s="10"/>
      <c r="G179" s="10"/>
    </row>
    <row r="180" spans="1:11" x14ac:dyDescent="0.25">
      <c r="A180" s="22" t="s">
        <v>114</v>
      </c>
      <c r="B180" s="34"/>
      <c r="C180" s="10"/>
      <c r="D180" s="10"/>
      <c r="E180" s="10"/>
      <c r="F180" s="10"/>
      <c r="G180" s="10"/>
    </row>
    <row r="181" spans="1:11" x14ac:dyDescent="0.25">
      <c r="A181" s="33"/>
      <c r="B181" s="34"/>
      <c r="C181" s="10"/>
      <c r="D181" s="10"/>
      <c r="E181" s="10"/>
      <c r="F181" s="10"/>
      <c r="G181" s="10"/>
    </row>
    <row r="182" spans="1:11" x14ac:dyDescent="0.25">
      <c r="A182" s="115" t="s">
        <v>3</v>
      </c>
      <c r="B182" s="115" t="s">
        <v>4</v>
      </c>
      <c r="C182" s="115" t="s">
        <v>5</v>
      </c>
      <c r="D182" s="115" t="s">
        <v>6</v>
      </c>
      <c r="E182" s="115" t="s">
        <v>7</v>
      </c>
      <c r="F182" s="15" t="s">
        <v>8</v>
      </c>
      <c r="G182" s="15" t="s">
        <v>8</v>
      </c>
    </row>
    <row r="183" spans="1:11" x14ac:dyDescent="0.25">
      <c r="A183" s="116"/>
      <c r="B183" s="116"/>
      <c r="C183" s="116"/>
      <c r="D183" s="116"/>
      <c r="E183" s="116"/>
      <c r="F183" s="16" t="s">
        <v>5</v>
      </c>
      <c r="G183" s="16" t="s">
        <v>6</v>
      </c>
    </row>
    <row r="184" spans="1:11" x14ac:dyDescent="0.25">
      <c r="A184" s="17"/>
      <c r="B184" s="17"/>
      <c r="C184" s="17"/>
      <c r="D184" s="17"/>
      <c r="E184" s="17"/>
      <c r="F184" s="17"/>
      <c r="G184" s="17"/>
    </row>
    <row r="185" spans="1:11" x14ac:dyDescent="0.25">
      <c r="A185" s="18"/>
      <c r="B185" s="26" t="s">
        <v>53</v>
      </c>
      <c r="C185" s="18"/>
      <c r="D185" s="18"/>
      <c r="E185" s="18"/>
      <c r="F185" s="18"/>
      <c r="G185" s="18"/>
    </row>
    <row r="186" spans="1:11" x14ac:dyDescent="0.25">
      <c r="A186" s="18"/>
      <c r="B186" s="27" t="s">
        <v>11</v>
      </c>
      <c r="C186" s="2"/>
      <c r="D186" s="2"/>
      <c r="E186" s="2"/>
      <c r="F186" s="2"/>
      <c r="G186" s="2"/>
    </row>
    <row r="187" spans="1:11" x14ac:dyDescent="0.25">
      <c r="A187" s="18"/>
      <c r="B187" s="4" t="s">
        <v>58</v>
      </c>
      <c r="C187" s="2">
        <v>151694.65</v>
      </c>
      <c r="D187" s="2">
        <f>C187</f>
        <v>151694.65</v>
      </c>
      <c r="E187" s="2">
        <f>64561.87+99928.23+58781.73+85100.13+4982.14+9990.2</f>
        <v>323344.30000000005</v>
      </c>
      <c r="F187" s="2">
        <f t="shared" ref="F187:F205" si="4">C187-E187</f>
        <v>-171649.65000000005</v>
      </c>
      <c r="G187" s="2">
        <f t="shared" ref="G187:G202" si="5">D187-E187</f>
        <v>-171649.65000000005</v>
      </c>
    </row>
    <row r="188" spans="1:11" x14ac:dyDescent="0.25">
      <c r="A188" s="18"/>
      <c r="B188" s="4" t="s">
        <v>59</v>
      </c>
      <c r="C188" s="2">
        <v>500000</v>
      </c>
      <c r="D188" s="2">
        <v>500000</v>
      </c>
      <c r="E188" s="2">
        <f>97500+97500+97500+97500+96000+99000</f>
        <v>585000</v>
      </c>
      <c r="F188" s="2">
        <f t="shared" si="4"/>
        <v>-85000</v>
      </c>
      <c r="G188" s="2">
        <f t="shared" si="5"/>
        <v>-85000</v>
      </c>
      <c r="I188" s="14">
        <f>E188*12</f>
        <v>7020000</v>
      </c>
    </row>
    <row r="189" spans="1:11" x14ac:dyDescent="0.25">
      <c r="A189" s="18"/>
      <c r="B189" s="27" t="s">
        <v>12</v>
      </c>
      <c r="C189" s="2"/>
      <c r="D189" s="2"/>
      <c r="E189" s="2"/>
      <c r="F189" s="2">
        <f t="shared" si="4"/>
        <v>0</v>
      </c>
      <c r="G189" s="2">
        <f t="shared" si="5"/>
        <v>0</v>
      </c>
      <c r="K189" s="13">
        <v>1000</v>
      </c>
    </row>
    <row r="190" spans="1:11" x14ac:dyDescent="0.25">
      <c r="A190" s="18"/>
      <c r="B190" s="4" t="s">
        <v>54</v>
      </c>
      <c r="C190" s="2">
        <v>1672836.33</v>
      </c>
      <c r="D190" s="2">
        <v>300000</v>
      </c>
      <c r="E190" s="2">
        <v>20000</v>
      </c>
      <c r="F190" s="2">
        <f t="shared" si="4"/>
        <v>1652836.33</v>
      </c>
      <c r="G190" s="2">
        <f t="shared" si="5"/>
        <v>280000</v>
      </c>
      <c r="I190" s="14">
        <f>C190/4</f>
        <v>418209.08250000002</v>
      </c>
      <c r="K190" s="13">
        <v>50000</v>
      </c>
    </row>
    <row r="191" spans="1:11" x14ac:dyDescent="0.25">
      <c r="A191" s="18"/>
      <c r="B191" s="4" t="s">
        <v>55</v>
      </c>
      <c r="C191" s="2">
        <v>15000</v>
      </c>
      <c r="D191" s="2"/>
      <c r="E191" s="2"/>
      <c r="F191" s="2">
        <f t="shared" si="4"/>
        <v>15000</v>
      </c>
      <c r="G191" s="2">
        <f t="shared" si="5"/>
        <v>0</v>
      </c>
      <c r="K191" s="13">
        <f>K189/K190</f>
        <v>0.02</v>
      </c>
    </row>
    <row r="192" spans="1:11" x14ac:dyDescent="0.25">
      <c r="A192" s="18"/>
      <c r="B192" s="4" t="s">
        <v>56</v>
      </c>
      <c r="C192" s="2">
        <v>20000</v>
      </c>
      <c r="D192" s="2"/>
      <c r="E192" s="2"/>
      <c r="F192" s="2">
        <f t="shared" si="4"/>
        <v>20000</v>
      </c>
      <c r="G192" s="2">
        <f t="shared" si="5"/>
        <v>0</v>
      </c>
      <c r="I192" s="13">
        <v>1500</v>
      </c>
    </row>
    <row r="193" spans="1:9" x14ac:dyDescent="0.25">
      <c r="A193" s="18"/>
      <c r="B193" s="4" t="s">
        <v>57</v>
      </c>
      <c r="C193" s="2">
        <v>50000</v>
      </c>
      <c r="D193" s="2">
        <v>30000</v>
      </c>
      <c r="E193" s="2">
        <v>23300</v>
      </c>
      <c r="F193" s="2">
        <f t="shared" si="4"/>
        <v>26700</v>
      </c>
      <c r="G193" s="2">
        <f t="shared" si="5"/>
        <v>6700</v>
      </c>
      <c r="I193" s="13">
        <v>10800</v>
      </c>
    </row>
    <row r="194" spans="1:9" x14ac:dyDescent="0.25">
      <c r="A194" s="18"/>
      <c r="B194" s="4" t="s">
        <v>60</v>
      </c>
      <c r="C194" s="2">
        <v>400000</v>
      </c>
      <c r="D194" s="2">
        <f>C194</f>
        <v>400000</v>
      </c>
      <c r="E194" s="2">
        <f>300000+450000</f>
        <v>750000</v>
      </c>
      <c r="F194" s="2">
        <f t="shared" si="4"/>
        <v>-350000</v>
      </c>
      <c r="G194" s="2">
        <f t="shared" si="5"/>
        <v>-350000</v>
      </c>
      <c r="I194" s="13">
        <v>7200</v>
      </c>
    </row>
    <row r="195" spans="1:9" x14ac:dyDescent="0.25">
      <c r="A195" s="18"/>
      <c r="B195" s="4" t="s">
        <v>103</v>
      </c>
      <c r="C195" s="2">
        <v>20000</v>
      </c>
      <c r="D195" s="2">
        <f>C195</f>
        <v>20000</v>
      </c>
      <c r="E195" s="2">
        <v>18061</v>
      </c>
      <c r="F195" s="2">
        <f t="shared" si="4"/>
        <v>1939</v>
      </c>
      <c r="G195" s="2">
        <f t="shared" si="5"/>
        <v>1939</v>
      </c>
      <c r="I195" s="13">
        <f>SUM(I192:I194)</f>
        <v>19500</v>
      </c>
    </row>
    <row r="196" spans="1:9" x14ac:dyDescent="0.25">
      <c r="A196" s="18"/>
      <c r="B196" s="4" t="s">
        <v>61</v>
      </c>
      <c r="C196" s="2">
        <v>300000</v>
      </c>
      <c r="D196" s="2">
        <v>300000</v>
      </c>
      <c r="E196" s="2">
        <f>72597.82+64200+55700</f>
        <v>192497.82</v>
      </c>
      <c r="F196" s="2">
        <f t="shared" si="4"/>
        <v>107502.18</v>
      </c>
      <c r="G196" s="2">
        <f t="shared" si="5"/>
        <v>107502.18</v>
      </c>
    </row>
    <row r="197" spans="1:9" x14ac:dyDescent="0.25">
      <c r="A197" s="18"/>
      <c r="B197" s="4" t="s">
        <v>104</v>
      </c>
      <c r="C197" s="2">
        <v>500000</v>
      </c>
      <c r="D197" s="2">
        <v>100000</v>
      </c>
      <c r="E197" s="2">
        <v>4150</v>
      </c>
      <c r="F197" s="2">
        <f t="shared" si="4"/>
        <v>495850</v>
      </c>
      <c r="G197" s="2">
        <f t="shared" si="5"/>
        <v>95850</v>
      </c>
    </row>
    <row r="198" spans="1:9" x14ac:dyDescent="0.25">
      <c r="A198" s="18"/>
      <c r="B198" s="4" t="s">
        <v>105</v>
      </c>
      <c r="C198" s="2">
        <v>50000</v>
      </c>
      <c r="D198" s="2">
        <v>50000</v>
      </c>
      <c r="E198" s="2">
        <v>47007</v>
      </c>
      <c r="F198" s="2">
        <f t="shared" si="4"/>
        <v>2993</v>
      </c>
      <c r="G198" s="2">
        <f t="shared" si="5"/>
        <v>2993</v>
      </c>
    </row>
    <row r="199" spans="1:9" x14ac:dyDescent="0.25">
      <c r="A199" s="18"/>
      <c r="B199" s="27" t="s">
        <v>13</v>
      </c>
      <c r="C199" s="2"/>
      <c r="D199" s="2"/>
      <c r="E199" s="2"/>
      <c r="F199" s="2">
        <f t="shared" si="4"/>
        <v>0</v>
      </c>
      <c r="G199" s="2">
        <f t="shared" si="5"/>
        <v>0</v>
      </c>
    </row>
    <row r="200" spans="1:9" x14ac:dyDescent="0.25">
      <c r="A200" s="18"/>
      <c r="B200" s="4" t="s">
        <v>106</v>
      </c>
      <c r="C200" s="2">
        <v>500000</v>
      </c>
      <c r="D200" s="2">
        <f>C200</f>
        <v>500000</v>
      </c>
      <c r="E200" s="2">
        <f>33000+371788.5</f>
        <v>404788.5</v>
      </c>
      <c r="F200" s="2">
        <f t="shared" si="4"/>
        <v>95211.5</v>
      </c>
      <c r="G200" s="2">
        <f t="shared" si="5"/>
        <v>95211.5</v>
      </c>
    </row>
    <row r="201" spans="1:9" x14ac:dyDescent="0.25">
      <c r="A201" s="18"/>
      <c r="B201" s="4" t="s">
        <v>62</v>
      </c>
      <c r="C201" s="2"/>
      <c r="D201" s="2"/>
      <c r="E201" s="2"/>
      <c r="F201" s="2">
        <f t="shared" si="4"/>
        <v>0</v>
      </c>
      <c r="G201" s="2">
        <f t="shared" si="5"/>
        <v>0</v>
      </c>
    </row>
    <row r="202" spans="1:9" x14ac:dyDescent="0.25">
      <c r="A202" s="18"/>
      <c r="B202" s="5" t="s">
        <v>63</v>
      </c>
      <c r="C202" s="2">
        <v>1500000</v>
      </c>
      <c r="D202" s="2"/>
      <c r="E202" s="2"/>
      <c r="F202" s="2">
        <f t="shared" si="4"/>
        <v>1500000</v>
      </c>
      <c r="G202" s="2">
        <f t="shared" si="5"/>
        <v>0</v>
      </c>
    </row>
    <row r="203" spans="1:9" x14ac:dyDescent="0.25">
      <c r="A203" s="18"/>
      <c r="B203" s="4" t="s">
        <v>107</v>
      </c>
      <c r="C203" s="2">
        <v>50000</v>
      </c>
      <c r="D203" s="2"/>
      <c r="E203" s="2"/>
      <c r="F203" s="2">
        <f t="shared" si="4"/>
        <v>50000</v>
      </c>
      <c r="G203" s="2"/>
    </row>
    <row r="204" spans="1:9" x14ac:dyDescent="0.25">
      <c r="A204" s="18"/>
      <c r="B204" s="4" t="s">
        <v>108</v>
      </c>
      <c r="C204" s="2">
        <v>80000</v>
      </c>
      <c r="D204" s="2"/>
      <c r="E204" s="2"/>
      <c r="F204" s="2">
        <f t="shared" si="4"/>
        <v>80000</v>
      </c>
      <c r="G204" s="2"/>
    </row>
    <row r="205" spans="1:9" x14ac:dyDescent="0.25">
      <c r="A205" s="18"/>
      <c r="B205" s="4" t="s">
        <v>109</v>
      </c>
      <c r="C205" s="2">
        <v>150000</v>
      </c>
      <c r="D205" s="2"/>
      <c r="E205" s="2">
        <v>144800</v>
      </c>
      <c r="F205" s="2">
        <f t="shared" si="4"/>
        <v>5200</v>
      </c>
      <c r="G205" s="2"/>
    </row>
    <row r="206" spans="1:9" x14ac:dyDescent="0.25">
      <c r="A206" s="18"/>
      <c r="B206" s="4"/>
      <c r="C206" s="2"/>
      <c r="D206" s="2"/>
      <c r="E206" s="2"/>
      <c r="F206" s="2"/>
      <c r="G206" s="2"/>
    </row>
    <row r="207" spans="1:9" x14ac:dyDescent="0.25">
      <c r="A207" s="18"/>
      <c r="B207" s="39" t="s">
        <v>27</v>
      </c>
      <c r="C207" s="8">
        <f>SUM(C187:C206)</f>
        <v>5959530.9800000004</v>
      </c>
      <c r="D207" s="8">
        <f>SUM(D187:D206)</f>
        <v>2351694.65</v>
      </c>
      <c r="E207" s="8">
        <f>SUM(E187:E206)</f>
        <v>2512948.62</v>
      </c>
      <c r="F207" s="8">
        <f>SUM(F187:F206)</f>
        <v>3446582.36</v>
      </c>
      <c r="G207" s="8">
        <f>SUM(G187:G206)</f>
        <v>-16453.97000000003</v>
      </c>
    </row>
    <row r="208" spans="1:9" ht="15.75" thickBot="1" x14ac:dyDescent="0.3">
      <c r="A208" s="40"/>
      <c r="B208" s="41" t="s">
        <v>64</v>
      </c>
      <c r="C208" s="20">
        <f>C207+C172+C117+C110+C103+C96+C89+C82+C75+C57+C50+C43+C36+C29+C22+C15</f>
        <v>33456726.550000004</v>
      </c>
      <c r="D208" s="20">
        <f>D207+D172+D117+D110+D103+D96+D89+D82+D75+D57+D50+D43+D36+D29+D22+D15</f>
        <v>18658769.539999999</v>
      </c>
      <c r="E208" s="20">
        <f>E207+E172+E117+E110+E103+E96+E89+E82+E75+E57+E50+E43+E36+E29+E22+E15</f>
        <v>21292355.240000006</v>
      </c>
      <c r="F208" s="20">
        <f>F207+F172+F117+F110+F103+F96+F89+F82+F75+F57+F50+F43+F36+F29+F22+F15</f>
        <v>12074371.310000002</v>
      </c>
      <c r="G208" s="20">
        <f>G207+G172+G117+G110+G103+G96+G89+G82+G75+G57+G50+G43+G36+G29+G22+G15</f>
        <v>-1696421.2500000007</v>
      </c>
    </row>
    <row r="209" spans="2:7" ht="15.75" thickTop="1" x14ac:dyDescent="0.25">
      <c r="C209" s="12"/>
      <c r="D209" s="12"/>
      <c r="E209" s="12"/>
      <c r="F209" s="12"/>
      <c r="G209" s="12"/>
    </row>
    <row r="210" spans="2:7" x14ac:dyDescent="0.25">
      <c r="B210" s="13" t="s">
        <v>65</v>
      </c>
      <c r="C210" s="12"/>
      <c r="D210" s="12"/>
      <c r="E210" s="12"/>
      <c r="F210" s="12"/>
      <c r="G210" s="12"/>
    </row>
    <row r="211" spans="2:7" x14ac:dyDescent="0.25">
      <c r="C211" s="12"/>
      <c r="D211" s="12"/>
      <c r="E211" s="12"/>
      <c r="F211" s="12"/>
      <c r="G211" s="12"/>
    </row>
    <row r="212" spans="2:7" x14ac:dyDescent="0.25">
      <c r="C212" s="12"/>
      <c r="D212" s="12"/>
      <c r="E212" s="12"/>
      <c r="F212" s="12"/>
      <c r="G212" s="12"/>
    </row>
    <row r="213" spans="2:7" x14ac:dyDescent="0.25">
      <c r="B213" s="42" t="s">
        <v>66</v>
      </c>
      <c r="C213" s="12"/>
      <c r="D213" s="12"/>
      <c r="E213" s="12"/>
      <c r="F213" s="12"/>
      <c r="G213" s="12"/>
    </row>
    <row r="214" spans="2:7" x14ac:dyDescent="0.25">
      <c r="B214" s="13" t="s">
        <v>67</v>
      </c>
      <c r="C214" s="12"/>
      <c r="D214" s="12"/>
      <c r="E214" s="12"/>
      <c r="F214" s="12"/>
      <c r="G214" s="12"/>
    </row>
    <row r="215" spans="2:7" x14ac:dyDescent="0.25">
      <c r="C215" s="12"/>
      <c r="D215" s="12"/>
      <c r="E215" s="12"/>
      <c r="F215" s="12"/>
      <c r="G215" s="12"/>
    </row>
    <row r="216" spans="2:7" x14ac:dyDescent="0.25">
      <c r="C216" s="12"/>
      <c r="D216" s="12"/>
      <c r="E216" s="12">
        <v>225800</v>
      </c>
      <c r="F216" s="12"/>
      <c r="G216" s="12"/>
    </row>
    <row r="217" spans="2:7" x14ac:dyDescent="0.25">
      <c r="C217" s="12"/>
      <c r="D217" s="12"/>
      <c r="E217" s="12">
        <v>72597.820000000007</v>
      </c>
      <c r="F217" s="12"/>
      <c r="G217" s="12"/>
    </row>
    <row r="218" spans="2:7" x14ac:dyDescent="0.25">
      <c r="C218" s="12"/>
      <c r="D218" s="12"/>
      <c r="E218" s="12">
        <f>SUM(E216:E217)</f>
        <v>298397.82</v>
      </c>
      <c r="F218" s="12" t="s">
        <v>110</v>
      </c>
      <c r="G218" s="12"/>
    </row>
    <row r="219" spans="2:7" x14ac:dyDescent="0.25">
      <c r="C219" s="12"/>
      <c r="D219" s="12"/>
      <c r="E219" s="12"/>
      <c r="F219" s="12">
        <f>6000+11939.5+11450</f>
        <v>29389.5</v>
      </c>
      <c r="G219" s="12"/>
    </row>
    <row r="220" spans="2:7" x14ac:dyDescent="0.25">
      <c r="C220" s="12"/>
      <c r="D220" s="12"/>
      <c r="E220" s="12">
        <f>E196+E136</f>
        <v>354097.82</v>
      </c>
      <c r="F220" s="12"/>
      <c r="G220" s="12"/>
    </row>
    <row r="221" spans="2:7" x14ac:dyDescent="0.25">
      <c r="C221" s="12"/>
      <c r="D221" s="12"/>
      <c r="E221" s="12">
        <v>25800</v>
      </c>
      <c r="F221" s="12"/>
      <c r="G221" s="12"/>
    </row>
    <row r="222" spans="2:7" x14ac:dyDescent="0.25">
      <c r="C222" s="12"/>
      <c r="D222" s="12"/>
      <c r="E222" s="12">
        <f>SUM(E220:E221)</f>
        <v>379897.82</v>
      </c>
      <c r="F222" s="12" t="s">
        <v>111</v>
      </c>
      <c r="G222" s="12"/>
    </row>
    <row r="223" spans="2:7" x14ac:dyDescent="0.25">
      <c r="C223" s="12"/>
      <c r="D223" s="12"/>
      <c r="E223" s="12">
        <f>E218-E222</f>
        <v>-81500</v>
      </c>
      <c r="F223" s="12">
        <f>4675+7118</f>
        <v>11793</v>
      </c>
      <c r="G223" s="12"/>
    </row>
    <row r="224" spans="2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  <row r="367" spans="3:7" x14ac:dyDescent="0.25">
      <c r="C367" s="12"/>
      <c r="D367" s="12"/>
      <c r="E367" s="12"/>
      <c r="F367" s="12"/>
      <c r="G367" s="12"/>
    </row>
    <row r="368" spans="3:7" x14ac:dyDescent="0.25">
      <c r="C368" s="12"/>
      <c r="D368" s="12"/>
      <c r="E368" s="12"/>
      <c r="F368" s="12"/>
      <c r="G368" s="12"/>
    </row>
    <row r="369" spans="3:7" x14ac:dyDescent="0.25">
      <c r="C369" s="12"/>
      <c r="D369" s="12"/>
      <c r="E369" s="12"/>
      <c r="F369" s="12"/>
      <c r="G369" s="12"/>
    </row>
    <row r="370" spans="3:7" x14ac:dyDescent="0.25">
      <c r="C370" s="12"/>
      <c r="D370" s="12"/>
      <c r="E370" s="12"/>
      <c r="F370" s="12"/>
      <c r="G370" s="12"/>
    </row>
    <row r="371" spans="3:7" x14ac:dyDescent="0.25">
      <c r="C371" s="12"/>
      <c r="D371" s="12"/>
      <c r="E371" s="12"/>
      <c r="F371" s="12"/>
      <c r="G371" s="12"/>
    </row>
    <row r="372" spans="3:7" x14ac:dyDescent="0.25">
      <c r="C372" s="12"/>
      <c r="D372" s="12"/>
      <c r="E372" s="12"/>
      <c r="F372" s="12"/>
      <c r="G372" s="12"/>
    </row>
    <row r="373" spans="3:7" x14ac:dyDescent="0.25">
      <c r="C373" s="12"/>
      <c r="D373" s="12"/>
      <c r="E373" s="12"/>
      <c r="F373" s="12"/>
      <c r="G373" s="12"/>
    </row>
    <row r="374" spans="3:7" x14ac:dyDescent="0.25">
      <c r="C374" s="12"/>
      <c r="D374" s="12"/>
      <c r="E374" s="12"/>
      <c r="F374" s="12"/>
      <c r="G374" s="12"/>
    </row>
    <row r="375" spans="3:7" x14ac:dyDescent="0.25">
      <c r="C375" s="12"/>
      <c r="D375" s="12"/>
      <c r="E375" s="12"/>
      <c r="F375" s="12"/>
      <c r="G375" s="12"/>
    </row>
    <row r="376" spans="3:7" x14ac:dyDescent="0.25">
      <c r="C376" s="12"/>
      <c r="D376" s="12"/>
      <c r="E376" s="12"/>
      <c r="F376" s="12"/>
      <c r="G376" s="12"/>
    </row>
    <row r="377" spans="3:7" x14ac:dyDescent="0.25">
      <c r="C377" s="12"/>
      <c r="D377" s="12"/>
      <c r="E377" s="12"/>
      <c r="F377" s="12"/>
      <c r="G377" s="12"/>
    </row>
    <row r="378" spans="3:7" x14ac:dyDescent="0.25">
      <c r="C378" s="12"/>
      <c r="D378" s="12"/>
      <c r="E378" s="12"/>
      <c r="F378" s="12"/>
      <c r="G378" s="12"/>
    </row>
    <row r="379" spans="3:7" x14ac:dyDescent="0.25">
      <c r="C379" s="12"/>
      <c r="D379" s="12"/>
      <c r="E379" s="12"/>
      <c r="F379" s="12"/>
      <c r="G379" s="12"/>
    </row>
    <row r="380" spans="3:7" x14ac:dyDescent="0.25">
      <c r="C380" s="12"/>
      <c r="D380" s="12"/>
      <c r="E380" s="12"/>
      <c r="F380" s="12"/>
      <c r="G380" s="12"/>
    </row>
    <row r="381" spans="3:7" x14ac:dyDescent="0.25">
      <c r="C381" s="12"/>
      <c r="D381" s="12"/>
      <c r="E381" s="12"/>
      <c r="F381" s="12"/>
      <c r="G381" s="12"/>
    </row>
    <row r="382" spans="3:7" x14ac:dyDescent="0.25">
      <c r="C382" s="12"/>
      <c r="D382" s="12"/>
      <c r="E382" s="12"/>
      <c r="F382" s="12"/>
      <c r="G382" s="12"/>
    </row>
    <row r="383" spans="3:7" x14ac:dyDescent="0.25">
      <c r="C383" s="12"/>
      <c r="D383" s="12"/>
      <c r="E383" s="12"/>
      <c r="F383" s="12"/>
      <c r="G383" s="12"/>
    </row>
  </sheetData>
  <mergeCells count="20">
    <mergeCell ref="A67:A68"/>
    <mergeCell ref="B67:B68"/>
    <mergeCell ref="C67:C68"/>
    <mergeCell ref="D67:D68"/>
    <mergeCell ref="E67:E68"/>
    <mergeCell ref="A6:A7"/>
    <mergeCell ref="B6:B7"/>
    <mergeCell ref="C6:C7"/>
    <mergeCell ref="D6:D7"/>
    <mergeCell ref="E6:E7"/>
    <mergeCell ref="A182:A183"/>
    <mergeCell ref="B182:B183"/>
    <mergeCell ref="C182:C183"/>
    <mergeCell ref="D182:D183"/>
    <mergeCell ref="E182:E183"/>
    <mergeCell ref="A127:A128"/>
    <mergeCell ref="B127:B128"/>
    <mergeCell ref="C127:C128"/>
    <mergeCell ref="D127:D128"/>
    <mergeCell ref="E127:E12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"/>
  <sheetViews>
    <sheetView topLeftCell="A65" workbookViewId="0">
      <selection activeCell="C65" sqref="C65:C66"/>
    </sheetView>
  </sheetViews>
  <sheetFormatPr defaultRowHeight="15" x14ac:dyDescent="0.25"/>
  <cols>
    <col min="1" max="1" width="7.5703125" style="13" customWidth="1"/>
    <col min="2" max="2" width="41.42578125" style="13" customWidth="1"/>
    <col min="3" max="3" width="19.140625" style="13" customWidth="1"/>
    <col min="4" max="4" width="15" style="13" bestFit="1" customWidth="1"/>
    <col min="5" max="5" width="15.140625" style="13" customWidth="1"/>
    <col min="6" max="6" width="16.28515625" style="13" customWidth="1"/>
    <col min="7" max="7" width="14.28515625" style="13" customWidth="1"/>
    <col min="8" max="8" width="9.140625" style="13"/>
    <col min="9" max="9" width="15.140625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169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/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1729926.98</v>
      </c>
      <c r="D11" s="2">
        <f>C11/2</f>
        <v>864963.49</v>
      </c>
      <c r="E11" s="11">
        <v>735313.7</v>
      </c>
      <c r="F11" s="2">
        <f>C11-E11</f>
        <v>994613.28</v>
      </c>
      <c r="G11" s="56">
        <f>D11-E11</f>
        <v>129649.79000000004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1097980.6200000001</v>
      </c>
      <c r="D12" s="2">
        <f>C12*0.7</f>
        <v>768586.43400000001</v>
      </c>
      <c r="E12" s="52">
        <v>881389.07</v>
      </c>
      <c r="F12" s="2">
        <f t="shared" ref="F12:F13" si="0">C12-E12</f>
        <v>216591.55000000016</v>
      </c>
      <c r="G12" s="56">
        <f t="shared" ref="G12:G13" si="1">D12-E12</f>
        <v>-112802.63599999994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/>
      <c r="D13" s="2"/>
      <c r="E13" s="2"/>
      <c r="F13" s="2">
        <f t="shared" si="0"/>
        <v>0</v>
      </c>
      <c r="G13" s="56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56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2827907.6</v>
      </c>
      <c r="D15" s="8">
        <f>SUM(D11:D14)</f>
        <v>1633549.9240000001</v>
      </c>
      <c r="E15" s="8">
        <f>SUM(E11:E14)</f>
        <v>1616702.77</v>
      </c>
      <c r="F15" s="8">
        <f>SUM(F11:F14)</f>
        <v>1211204.83</v>
      </c>
      <c r="G15" s="57">
        <f>SUM(G11:G14)</f>
        <v>16847.154000000097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56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56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8408321.4000000004</v>
      </c>
      <c r="D18" s="2">
        <f>C18/2</f>
        <v>4204160.7</v>
      </c>
      <c r="E18" s="11">
        <v>2696044.46</v>
      </c>
      <c r="F18" s="2">
        <f>C18-E18</f>
        <v>5712276.9400000004</v>
      </c>
      <c r="G18" s="56">
        <f>D18-E18</f>
        <v>1508116.2400000002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1075936.3600000001</v>
      </c>
      <c r="D19" s="2">
        <f>C19*0.7</f>
        <v>753155.45200000005</v>
      </c>
      <c r="E19" s="52">
        <v>803432.32</v>
      </c>
      <c r="F19" s="2">
        <f>C19-E19</f>
        <v>272504.04000000015</v>
      </c>
      <c r="G19" s="56">
        <f>D19-E19</f>
        <v>-50276.8679999999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/>
      <c r="D20" s="2"/>
      <c r="E20" s="2"/>
      <c r="F20" s="2">
        <f>C20-E20</f>
        <v>0</v>
      </c>
      <c r="G20" s="56">
        <f>D20-E20</f>
        <v>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56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9484257.7599999998</v>
      </c>
      <c r="D22" s="8">
        <f>SUM(D18:D21)</f>
        <v>4957316.1520000007</v>
      </c>
      <c r="E22" s="8">
        <f>SUM(E18:E21)</f>
        <v>3499476.78</v>
      </c>
      <c r="F22" s="8">
        <f>SUM(F18:F21)</f>
        <v>5984780.9800000004</v>
      </c>
      <c r="G22" s="57">
        <f>SUM(G18:G21)</f>
        <v>1457839.3720000004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56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56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964222.84</v>
      </c>
      <c r="D25" s="2">
        <f>C25/2</f>
        <v>482111.42</v>
      </c>
      <c r="E25" s="11">
        <v>447725.82</v>
      </c>
      <c r="F25" s="2">
        <f>C25-E25</f>
        <v>516497.01999999996</v>
      </c>
      <c r="G25" s="56">
        <f>D25-E25</f>
        <v>34385.599999999977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137532.23000000001</v>
      </c>
      <c r="D26" s="2">
        <f>C26*0.7</f>
        <v>96272.561000000002</v>
      </c>
      <c r="E26" s="52">
        <v>19223.04</v>
      </c>
      <c r="F26" s="2">
        <f>C26-E26</f>
        <v>118309.19</v>
      </c>
      <c r="G26" s="56">
        <f>D26-E26</f>
        <v>77049.521000000008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/>
      <c r="D27" s="2"/>
      <c r="E27" s="2"/>
      <c r="F27" s="2">
        <f>C27-E27</f>
        <v>0</v>
      </c>
      <c r="G27" s="56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56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1101755.07</v>
      </c>
      <c r="D29" s="8">
        <f>SUM(D25:D28)</f>
        <v>578383.98100000003</v>
      </c>
      <c r="E29" s="8">
        <f>SUM(E25:E28)</f>
        <v>466948.86</v>
      </c>
      <c r="F29" s="8">
        <f>SUM(F25:F28)</f>
        <v>634806.21</v>
      </c>
      <c r="G29" s="57">
        <f>SUM(G25:G28)</f>
        <v>111435.12099999998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56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56"/>
      <c r="L31" s="12"/>
      <c r="M31" s="12">
        <v>2000</v>
      </c>
    </row>
    <row r="32" spans="1:19" x14ac:dyDescent="0.25">
      <c r="A32" s="25"/>
      <c r="B32" s="27" t="s">
        <v>11</v>
      </c>
      <c r="C32" s="2">
        <v>732880.38</v>
      </c>
      <c r="D32" s="2">
        <f>C32/2</f>
        <v>366440.19</v>
      </c>
      <c r="E32" s="11">
        <v>341159.44</v>
      </c>
      <c r="F32" s="2">
        <f>C32-E32</f>
        <v>391720.94</v>
      </c>
      <c r="G32" s="56">
        <f>D32-E32</f>
        <v>25280.75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80878.36</v>
      </c>
      <c r="D33" s="2">
        <f>C33*0.7</f>
        <v>56614.851999999999</v>
      </c>
      <c r="E33" s="52">
        <v>14093.3</v>
      </c>
      <c r="F33" s="2">
        <f>C33-E33</f>
        <v>66785.06</v>
      </c>
      <c r="G33" s="56">
        <f>D33-E33</f>
        <v>42521.551999999996</v>
      </c>
      <c r="L33" s="12"/>
      <c r="M33" s="12">
        <v>15000</v>
      </c>
    </row>
    <row r="34" spans="1:13" x14ac:dyDescent="0.25">
      <c r="A34" s="25"/>
      <c r="B34" s="27" t="s">
        <v>13</v>
      </c>
      <c r="C34" s="2"/>
      <c r="D34" s="2"/>
      <c r="E34" s="2"/>
      <c r="F34" s="2"/>
      <c r="G34" s="56"/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56"/>
      <c r="L35" s="12"/>
    </row>
    <row r="36" spans="1:13" x14ac:dyDescent="0.25">
      <c r="A36" s="25"/>
      <c r="B36" s="28" t="s">
        <v>27</v>
      </c>
      <c r="C36" s="8">
        <f>SUM(C32:C35)</f>
        <v>813758.74</v>
      </c>
      <c r="D36" s="8">
        <f>SUM(D32:D35)</f>
        <v>423055.04200000002</v>
      </c>
      <c r="E36" s="8">
        <f>SUM(E32:E35)</f>
        <v>355252.74</v>
      </c>
      <c r="F36" s="8">
        <f>SUM(F32:F35)</f>
        <v>458506</v>
      </c>
      <c r="G36" s="57">
        <f>SUM(G32:G35)</f>
        <v>67802.301999999996</v>
      </c>
      <c r="L36" s="12"/>
    </row>
    <row r="37" spans="1:13" x14ac:dyDescent="0.25">
      <c r="A37" s="25"/>
      <c r="B37" s="18"/>
      <c r="C37" s="2"/>
      <c r="D37" s="2"/>
      <c r="E37" s="2"/>
      <c r="F37" s="2"/>
      <c r="G37" s="56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56"/>
      <c r="L38" s="12"/>
    </row>
    <row r="39" spans="1:13" x14ac:dyDescent="0.25">
      <c r="A39" s="25"/>
      <c r="B39" s="27" t="s">
        <v>11</v>
      </c>
      <c r="C39" s="2">
        <v>591829.98</v>
      </c>
      <c r="D39" s="2">
        <f>C39/2</f>
        <v>295914.99</v>
      </c>
      <c r="E39" s="11">
        <v>241827.22</v>
      </c>
      <c r="F39" s="2">
        <f>C39-E39</f>
        <v>350002.76</v>
      </c>
      <c r="G39" s="56">
        <f>D39-E39</f>
        <v>54087.76999999999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79403.5</v>
      </c>
      <c r="D40" s="2">
        <f>C40*0.7</f>
        <v>55582.45</v>
      </c>
      <c r="E40" s="52">
        <v>26612</v>
      </c>
      <c r="F40" s="2">
        <f>C40-E40</f>
        <v>52791.5</v>
      </c>
      <c r="G40" s="56">
        <f>D40-E40</f>
        <v>28970.449999999997</v>
      </c>
    </row>
    <row r="41" spans="1:13" x14ac:dyDescent="0.25">
      <c r="A41" s="25"/>
      <c r="B41" s="27" t="s">
        <v>13</v>
      </c>
      <c r="C41" s="2"/>
      <c r="D41" s="2"/>
      <c r="E41" s="2"/>
      <c r="F41" s="2"/>
      <c r="G41" s="56"/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56"/>
    </row>
    <row r="43" spans="1:13" x14ac:dyDescent="0.25">
      <c r="A43" s="25"/>
      <c r="B43" s="28" t="s">
        <v>27</v>
      </c>
      <c r="C43" s="8">
        <f>SUM(C39:C42)</f>
        <v>671233.48</v>
      </c>
      <c r="D43" s="8">
        <f>SUM(D39:D42)</f>
        <v>351497.44</v>
      </c>
      <c r="E43" s="8">
        <f>SUM(E39:E42)</f>
        <v>268439.21999999997</v>
      </c>
      <c r="F43" s="8">
        <f>SUM(F39:F42)</f>
        <v>402794.26</v>
      </c>
      <c r="G43" s="57">
        <f>SUM(G39:G42)</f>
        <v>83058.219999999987</v>
      </c>
    </row>
    <row r="44" spans="1:13" x14ac:dyDescent="0.25">
      <c r="A44" s="25"/>
      <c r="B44" s="18"/>
      <c r="C44" s="2"/>
      <c r="D44" s="2"/>
      <c r="E44" s="2"/>
      <c r="F44" s="2"/>
      <c r="G44" s="56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56"/>
    </row>
    <row r="46" spans="1:13" x14ac:dyDescent="0.25">
      <c r="A46" s="25"/>
      <c r="B46" s="27" t="s">
        <v>11</v>
      </c>
      <c r="C46" s="2">
        <v>1053344.46</v>
      </c>
      <c r="D46" s="2">
        <f>C46/2</f>
        <v>526672.23</v>
      </c>
      <c r="E46" s="11">
        <v>263823.77</v>
      </c>
      <c r="F46" s="2">
        <f>C46-E46</f>
        <v>789520.69</v>
      </c>
      <c r="G46" s="56">
        <f>D46-E46</f>
        <v>262848.45999999996</v>
      </c>
    </row>
    <row r="47" spans="1:13" x14ac:dyDescent="0.25">
      <c r="A47" s="25"/>
      <c r="B47" s="27" t="s">
        <v>12</v>
      </c>
      <c r="C47" s="2">
        <v>205007.27</v>
      </c>
      <c r="D47" s="2">
        <f>C47*0.7</f>
        <v>143505.08899999998</v>
      </c>
      <c r="E47" s="52">
        <v>47371</v>
      </c>
      <c r="F47" s="2">
        <f>C47-E47</f>
        <v>157636.26999999999</v>
      </c>
      <c r="G47" s="56">
        <f>D47-E47</f>
        <v>96134.088999999978</v>
      </c>
    </row>
    <row r="48" spans="1:13" x14ac:dyDescent="0.25">
      <c r="A48" s="25"/>
      <c r="B48" s="27" t="s">
        <v>13</v>
      </c>
      <c r="C48" s="2"/>
      <c r="D48" s="2"/>
      <c r="E48" s="2"/>
      <c r="F48" s="2">
        <f>C48-E48</f>
        <v>0</v>
      </c>
      <c r="G48" s="56">
        <f>D48-E48</f>
        <v>0</v>
      </c>
      <c r="H48" s="12"/>
    </row>
    <row r="49" spans="1:13" x14ac:dyDescent="0.25">
      <c r="A49" s="25"/>
      <c r="B49" s="27" t="s">
        <v>14</v>
      </c>
      <c r="C49" s="2"/>
      <c r="D49" s="2"/>
      <c r="E49" s="2"/>
      <c r="F49" s="2"/>
      <c r="G49" s="56"/>
      <c r="H49" s="12"/>
    </row>
    <row r="50" spans="1:13" x14ac:dyDescent="0.25">
      <c r="A50" s="25"/>
      <c r="B50" s="28" t="s">
        <v>27</v>
      </c>
      <c r="C50" s="8">
        <f>SUM(C46:C49)</f>
        <v>1258351.73</v>
      </c>
      <c r="D50" s="8">
        <f>SUM(D46:D49)</f>
        <v>670177.3189999999</v>
      </c>
      <c r="E50" s="8">
        <f>SUM(E46:E49)</f>
        <v>311194.77</v>
      </c>
      <c r="F50" s="8">
        <f>SUM(F46:F49)</f>
        <v>947156.96</v>
      </c>
      <c r="G50" s="57">
        <f>SUM(G46:G49)</f>
        <v>358982.54899999994</v>
      </c>
      <c r="H50" s="12"/>
    </row>
    <row r="51" spans="1:13" x14ac:dyDescent="0.25">
      <c r="A51" s="25"/>
      <c r="B51" s="18"/>
      <c r="C51" s="2"/>
      <c r="D51" s="2"/>
      <c r="E51" s="2"/>
      <c r="F51" s="2"/>
      <c r="G51" s="56"/>
      <c r="H51" s="12"/>
    </row>
    <row r="52" spans="1:13" x14ac:dyDescent="0.25">
      <c r="A52" s="25">
        <v>1091</v>
      </c>
      <c r="B52" s="26" t="s">
        <v>19</v>
      </c>
      <c r="C52" s="2"/>
      <c r="D52" s="2"/>
      <c r="E52" s="2"/>
      <c r="F52" s="2"/>
      <c r="G52" s="56"/>
      <c r="H52" s="12"/>
    </row>
    <row r="53" spans="1:13" x14ac:dyDescent="0.25">
      <c r="A53" s="25"/>
      <c r="B53" s="27" t="s">
        <v>11</v>
      </c>
      <c r="C53" s="2">
        <v>1583456.4</v>
      </c>
      <c r="D53" s="2">
        <f>C53/2</f>
        <v>791728.2</v>
      </c>
      <c r="E53" s="11">
        <v>716857.95</v>
      </c>
      <c r="F53" s="2">
        <f>C53-E53</f>
        <v>866598.45</v>
      </c>
      <c r="G53" s="56">
        <f>D53-E53</f>
        <v>74870.25</v>
      </c>
      <c r="H53" s="12"/>
    </row>
    <row r="54" spans="1:13" x14ac:dyDescent="0.25">
      <c r="A54" s="25"/>
      <c r="B54" s="27" t="s">
        <v>12</v>
      </c>
      <c r="C54" s="2">
        <v>321156.95</v>
      </c>
      <c r="D54" s="2">
        <f>C54*0.7</f>
        <v>224809.86499999999</v>
      </c>
      <c r="E54" s="52">
        <v>284022.86</v>
      </c>
      <c r="F54" s="2">
        <f>C54-E54</f>
        <v>37134.090000000026</v>
      </c>
      <c r="G54" s="56">
        <f>D54-E54</f>
        <v>-59212.994999999995</v>
      </c>
      <c r="H54" s="12"/>
    </row>
    <row r="55" spans="1:13" x14ac:dyDescent="0.25">
      <c r="A55" s="25"/>
      <c r="B55" s="27" t="s">
        <v>13</v>
      </c>
      <c r="C55" s="2"/>
      <c r="D55" s="2"/>
      <c r="E55" s="2"/>
      <c r="F55" s="2">
        <f>C55-E55</f>
        <v>0</v>
      </c>
      <c r="G55" s="56">
        <f>D55-E55</f>
        <v>0</v>
      </c>
      <c r="H55" s="12"/>
    </row>
    <row r="56" spans="1:13" x14ac:dyDescent="0.25">
      <c r="A56" s="25"/>
      <c r="B56" s="27" t="s">
        <v>14</v>
      </c>
      <c r="C56" s="2"/>
      <c r="D56" s="2"/>
      <c r="E56" s="2"/>
      <c r="F56" s="2"/>
      <c r="G56" s="56"/>
      <c r="H56" s="12"/>
    </row>
    <row r="57" spans="1:13" x14ac:dyDescent="0.25">
      <c r="A57" s="29"/>
      <c r="B57" s="28" t="s">
        <v>27</v>
      </c>
      <c r="C57" s="8">
        <f>SUM(C53:C56)</f>
        <v>1904613.3499999999</v>
      </c>
      <c r="D57" s="8">
        <f>SUM(D53:D56)</f>
        <v>1016538.0649999999</v>
      </c>
      <c r="E57" s="8">
        <f>SUM(E53:E56)</f>
        <v>1000880.8099999999</v>
      </c>
      <c r="F57" s="8">
        <f>SUM(F53:F56)</f>
        <v>903732.54</v>
      </c>
      <c r="G57" s="57">
        <f>SUM(G53:G56)</f>
        <v>15657.255000000005</v>
      </c>
      <c r="H57" s="12"/>
    </row>
    <row r="58" spans="1:13" ht="15.75" thickBot="1" x14ac:dyDescent="0.3">
      <c r="A58" s="30"/>
      <c r="B58" s="31"/>
      <c r="C58" s="9"/>
      <c r="D58" s="9"/>
      <c r="E58" s="9"/>
      <c r="F58" s="9"/>
      <c r="G58" s="58"/>
      <c r="H58" s="12"/>
    </row>
    <row r="59" spans="1:13" x14ac:dyDescent="0.25">
      <c r="A59" s="33"/>
      <c r="B59" s="34"/>
      <c r="C59" s="10"/>
      <c r="D59" s="10"/>
      <c r="E59" s="10">
        <f>E12+E19+E26+E33+E40+E40+E54</f>
        <v>2055384.5899999999</v>
      </c>
      <c r="F59" s="10"/>
      <c r="G59" s="10"/>
      <c r="H59" s="12"/>
    </row>
    <row r="60" spans="1:13" x14ac:dyDescent="0.25">
      <c r="A60" s="13" t="s">
        <v>0</v>
      </c>
      <c r="B60" s="34"/>
      <c r="C60" s="10"/>
      <c r="D60" s="10"/>
      <c r="E60" s="10"/>
      <c r="F60" s="10"/>
      <c r="G60" s="10"/>
      <c r="H60" s="12"/>
    </row>
    <row r="61" spans="1:13" x14ac:dyDescent="0.25">
      <c r="A61" s="13" t="s">
        <v>1</v>
      </c>
      <c r="B61" s="34"/>
      <c r="C61" s="10"/>
      <c r="D61" s="10"/>
      <c r="E61" s="10"/>
      <c r="F61" s="10"/>
      <c r="G61" s="10"/>
      <c r="H61" s="12"/>
    </row>
    <row r="62" spans="1:13" x14ac:dyDescent="0.25">
      <c r="A62" s="13" t="s">
        <v>2</v>
      </c>
      <c r="B62" s="34"/>
      <c r="C62" s="10"/>
      <c r="D62" s="10"/>
      <c r="E62" s="10"/>
      <c r="F62" s="10"/>
      <c r="G62" s="10"/>
      <c r="H62" s="12"/>
      <c r="M62" s="13">
        <v>45000</v>
      </c>
    </row>
    <row r="63" spans="1:13" x14ac:dyDescent="0.25">
      <c r="A63" s="22" t="s">
        <v>169</v>
      </c>
      <c r="B63" s="34"/>
      <c r="C63" s="10"/>
      <c r="D63" s="10"/>
      <c r="E63" s="10"/>
      <c r="F63" s="10"/>
      <c r="G63" s="10"/>
      <c r="H63" s="12"/>
      <c r="M63" s="13">
        <v>15000</v>
      </c>
    </row>
    <row r="64" spans="1:13" x14ac:dyDescent="0.25">
      <c r="A64" s="33"/>
      <c r="B64" s="34"/>
      <c r="C64" s="10"/>
      <c r="D64" s="10"/>
      <c r="E64" s="10"/>
      <c r="F64" s="10"/>
      <c r="G64" s="10"/>
      <c r="H64" s="12"/>
      <c r="M64" s="13">
        <v>40000</v>
      </c>
    </row>
    <row r="65" spans="1:13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5" t="s">
        <v>7</v>
      </c>
      <c r="F65" s="15" t="s">
        <v>8</v>
      </c>
      <c r="G65" s="15" t="s">
        <v>8</v>
      </c>
      <c r="H65" s="12"/>
      <c r="M65" s="13">
        <v>25000</v>
      </c>
    </row>
    <row r="66" spans="1:13" x14ac:dyDescent="0.25">
      <c r="A66" s="116"/>
      <c r="B66" s="116"/>
      <c r="C66" s="116"/>
      <c r="D66" s="116"/>
      <c r="E66" s="116"/>
      <c r="F66" s="16" t="s">
        <v>5</v>
      </c>
      <c r="G66" s="16" t="s">
        <v>6</v>
      </c>
      <c r="H66" s="12"/>
      <c r="M66" s="13">
        <v>45000</v>
      </c>
    </row>
    <row r="67" spans="1:13" x14ac:dyDescent="0.25">
      <c r="A67" s="24"/>
      <c r="B67" s="17"/>
      <c r="C67" s="19"/>
      <c r="D67" s="19"/>
      <c r="E67" s="19"/>
      <c r="F67" s="19"/>
      <c r="G67" s="19"/>
      <c r="H67" s="12"/>
      <c r="M67" s="13">
        <v>40000</v>
      </c>
    </row>
    <row r="68" spans="1:13" x14ac:dyDescent="0.25">
      <c r="A68" s="25">
        <v>1101</v>
      </c>
      <c r="B68" s="26" t="s">
        <v>20</v>
      </c>
      <c r="C68" s="2"/>
      <c r="D68" s="2"/>
      <c r="E68" s="2"/>
      <c r="F68" s="2"/>
      <c r="G68" s="2"/>
      <c r="H68" s="12"/>
      <c r="M68" s="13">
        <v>14000</v>
      </c>
    </row>
    <row r="69" spans="1:13" x14ac:dyDescent="0.25">
      <c r="A69" s="25"/>
      <c r="B69" s="27" t="s">
        <v>11</v>
      </c>
      <c r="C69" s="2">
        <v>757496.84</v>
      </c>
      <c r="D69" s="2">
        <f>C69/2</f>
        <v>378748.42</v>
      </c>
      <c r="E69" s="11">
        <v>318112.53000000003</v>
      </c>
      <c r="F69" s="2">
        <f>C69-E69</f>
        <v>439384.30999999994</v>
      </c>
      <c r="G69" s="56">
        <f>D69-E69</f>
        <v>60635.889999999956</v>
      </c>
      <c r="H69" s="12"/>
      <c r="M69" s="13">
        <f>SUM(M62:M68)</f>
        <v>224000</v>
      </c>
    </row>
    <row r="70" spans="1:13" x14ac:dyDescent="0.25">
      <c r="A70" s="25"/>
      <c r="B70" s="27" t="s">
        <v>12</v>
      </c>
      <c r="C70" s="2">
        <v>112211.77</v>
      </c>
      <c r="D70" s="2">
        <f>C70*0.7</f>
        <v>78548.239000000001</v>
      </c>
      <c r="E70" s="52">
        <v>51284.7</v>
      </c>
      <c r="F70" s="2">
        <f>C70-E70</f>
        <v>60927.070000000007</v>
      </c>
      <c r="G70" s="56">
        <f>D70-E70</f>
        <v>27263.539000000004</v>
      </c>
      <c r="H70" s="12"/>
    </row>
    <row r="71" spans="1:13" x14ac:dyDescent="0.25">
      <c r="A71" s="25"/>
      <c r="B71" s="27" t="s">
        <v>13</v>
      </c>
      <c r="C71" s="2">
        <v>10000</v>
      </c>
      <c r="D71" s="2">
        <f>C71*0.7</f>
        <v>7000</v>
      </c>
      <c r="E71" s="2">
        <v>5800</v>
      </c>
      <c r="F71" s="2">
        <f>C71-E71</f>
        <v>4200</v>
      </c>
      <c r="G71" s="56">
        <f>D71-E71</f>
        <v>1200</v>
      </c>
      <c r="H71" s="12"/>
    </row>
    <row r="72" spans="1:13" x14ac:dyDescent="0.25">
      <c r="A72" s="25"/>
      <c r="B72" s="27" t="s">
        <v>14</v>
      </c>
      <c r="C72" s="2"/>
      <c r="D72" s="2"/>
      <c r="E72" s="2"/>
      <c r="F72" s="2"/>
      <c r="G72" s="56"/>
      <c r="H72" s="12"/>
    </row>
    <row r="73" spans="1:13" x14ac:dyDescent="0.25">
      <c r="A73" s="18"/>
      <c r="B73" s="28" t="s">
        <v>27</v>
      </c>
      <c r="C73" s="8">
        <f>SUM(C69:C72)</f>
        <v>879708.61</v>
      </c>
      <c r="D73" s="8">
        <f>SUM(D69:D72)</f>
        <v>464296.65899999999</v>
      </c>
      <c r="E73" s="8">
        <f>SUM(E69:E72)</f>
        <v>375197.23000000004</v>
      </c>
      <c r="F73" s="8">
        <f>SUM(F69:F72)</f>
        <v>504511.37999999995</v>
      </c>
      <c r="G73" s="57">
        <f>SUM(G69:G72)</f>
        <v>89099.42899999996</v>
      </c>
      <c r="H73" s="12"/>
    </row>
    <row r="74" spans="1:13" x14ac:dyDescent="0.25">
      <c r="A74" s="25"/>
      <c r="B74" s="18"/>
      <c r="C74" s="2"/>
      <c r="D74" s="2"/>
      <c r="E74" s="2"/>
      <c r="F74" s="2"/>
      <c r="G74" s="56"/>
      <c r="H74" s="12"/>
    </row>
    <row r="75" spans="1:13" x14ac:dyDescent="0.25">
      <c r="A75" s="25">
        <v>6544</v>
      </c>
      <c r="B75" s="26" t="s">
        <v>21</v>
      </c>
      <c r="C75" s="18"/>
      <c r="D75" s="2"/>
      <c r="E75" s="2"/>
      <c r="F75" s="2"/>
      <c r="G75" s="56"/>
      <c r="H75" s="12"/>
    </row>
    <row r="76" spans="1:13" x14ac:dyDescent="0.25">
      <c r="A76" s="25"/>
      <c r="B76" s="27" t="s">
        <v>11</v>
      </c>
      <c r="C76" s="2">
        <v>1136593.6000000001</v>
      </c>
      <c r="D76" s="2">
        <f>C76/2</f>
        <v>568296.80000000005</v>
      </c>
      <c r="E76" s="11">
        <v>429271.78</v>
      </c>
      <c r="F76" s="2">
        <f>C76-E76</f>
        <v>707321.82000000007</v>
      </c>
      <c r="G76" s="56">
        <f>D76-E76</f>
        <v>139025.02000000002</v>
      </c>
      <c r="H76" s="12"/>
    </row>
    <row r="77" spans="1:13" x14ac:dyDescent="0.25">
      <c r="A77" s="25"/>
      <c r="B77" s="27" t="s">
        <v>12</v>
      </c>
      <c r="C77" s="2">
        <v>749098.9</v>
      </c>
      <c r="D77" s="2">
        <f>C77*0.7</f>
        <v>524369.23</v>
      </c>
      <c r="E77" s="52">
        <v>539670.48</v>
      </c>
      <c r="F77" s="2">
        <f>C77-E77</f>
        <v>209428.42000000004</v>
      </c>
      <c r="G77" s="56">
        <f>D77-E77</f>
        <v>-15301.25</v>
      </c>
      <c r="H77" s="12"/>
    </row>
    <row r="78" spans="1:13" x14ac:dyDescent="0.25">
      <c r="A78" s="25"/>
      <c r="B78" s="27" t="s">
        <v>13</v>
      </c>
      <c r="C78" s="2"/>
      <c r="D78" s="2"/>
      <c r="E78" s="2"/>
      <c r="F78" s="2"/>
      <c r="G78" s="56"/>
      <c r="H78" s="12"/>
    </row>
    <row r="79" spans="1:13" x14ac:dyDescent="0.25">
      <c r="A79" s="25"/>
      <c r="B79" s="27" t="s">
        <v>14</v>
      </c>
      <c r="C79" s="2"/>
      <c r="D79" s="2"/>
      <c r="E79" s="2"/>
      <c r="F79" s="2"/>
      <c r="G79" s="56"/>
      <c r="H79" s="12"/>
    </row>
    <row r="80" spans="1:13" x14ac:dyDescent="0.25">
      <c r="A80" s="25"/>
      <c r="B80" s="28" t="s">
        <v>27</v>
      </c>
      <c r="C80" s="8">
        <f>SUM(C76:C79)</f>
        <v>1885692.5</v>
      </c>
      <c r="D80" s="8">
        <f>SUM(D76:D79)</f>
        <v>1092666.03</v>
      </c>
      <c r="E80" s="8">
        <f>SUM(E76:E79)</f>
        <v>968942.26</v>
      </c>
      <c r="F80" s="8">
        <f>SUM(F76:F79)</f>
        <v>916750.24000000011</v>
      </c>
      <c r="G80" s="57">
        <f>SUM(G76:G79)</f>
        <v>123723.77000000002</v>
      </c>
      <c r="H80" s="12"/>
    </row>
    <row r="81" spans="1:8" x14ac:dyDescent="0.25">
      <c r="A81" s="25"/>
      <c r="B81" s="18"/>
      <c r="C81" s="2"/>
      <c r="D81" s="2"/>
      <c r="E81" s="2"/>
      <c r="F81" s="2"/>
      <c r="G81" s="56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2"/>
      <c r="F82" s="2"/>
      <c r="G82" s="56"/>
      <c r="H82" s="12"/>
    </row>
    <row r="83" spans="1:8" x14ac:dyDescent="0.25">
      <c r="A83" s="25"/>
      <c r="B83" s="27" t="s">
        <v>11</v>
      </c>
      <c r="C83" s="2">
        <v>2920190.6</v>
      </c>
      <c r="D83" s="2">
        <f>C83/2</f>
        <v>1460095.3</v>
      </c>
      <c r="E83" s="11">
        <v>1340328.3799999999</v>
      </c>
      <c r="F83" s="2">
        <f>C83-E83</f>
        <v>1579862.2200000002</v>
      </c>
      <c r="G83" s="56">
        <f>D83-E83</f>
        <v>119766.92000000016</v>
      </c>
      <c r="H83" s="12"/>
    </row>
    <row r="84" spans="1:8" x14ac:dyDescent="0.25">
      <c r="A84" s="25"/>
      <c r="B84" s="27" t="s">
        <v>12</v>
      </c>
      <c r="C84" s="2">
        <v>174898.85</v>
      </c>
      <c r="D84" s="2">
        <f>C84*0.7</f>
        <v>122429.19499999999</v>
      </c>
      <c r="E84" s="52">
        <v>77325.98</v>
      </c>
      <c r="F84" s="2">
        <f>C84-E84</f>
        <v>97572.87000000001</v>
      </c>
      <c r="G84" s="56">
        <f>D84-E84</f>
        <v>45103.214999999997</v>
      </c>
      <c r="H84" s="12"/>
    </row>
    <row r="85" spans="1:8" x14ac:dyDescent="0.25">
      <c r="A85" s="25"/>
      <c r="B85" s="27" t="s">
        <v>13</v>
      </c>
      <c r="C85" s="2"/>
      <c r="D85" s="2"/>
      <c r="E85" s="2"/>
      <c r="F85" s="2"/>
      <c r="G85" s="56"/>
      <c r="H85" s="12"/>
    </row>
    <row r="86" spans="1:8" x14ac:dyDescent="0.25">
      <c r="A86" s="25"/>
      <c r="B86" s="27" t="s">
        <v>14</v>
      </c>
      <c r="C86" s="2"/>
      <c r="D86" s="2"/>
      <c r="E86" s="2"/>
      <c r="F86" s="2"/>
      <c r="G86" s="56"/>
      <c r="H86" s="12"/>
    </row>
    <row r="87" spans="1:8" x14ac:dyDescent="0.25">
      <c r="A87" s="25"/>
      <c r="B87" s="28" t="s">
        <v>27</v>
      </c>
      <c r="C87" s="8">
        <f>SUM(C83:C86)</f>
        <v>3095089.45</v>
      </c>
      <c r="D87" s="8">
        <f>SUM(D83:D86)</f>
        <v>1582524.4950000001</v>
      </c>
      <c r="E87" s="8">
        <f>SUM(E83:E86)</f>
        <v>1417654.3599999999</v>
      </c>
      <c r="F87" s="8">
        <f>SUM(F83:F86)</f>
        <v>1677435.0900000003</v>
      </c>
      <c r="G87" s="57">
        <f>SUM(G83:G86)</f>
        <v>164870.13500000015</v>
      </c>
      <c r="H87" s="12"/>
    </row>
    <row r="88" spans="1:8" x14ac:dyDescent="0.25">
      <c r="A88" s="25"/>
      <c r="B88" s="18"/>
      <c r="C88" s="2"/>
      <c r="D88" s="2"/>
      <c r="E88" s="2"/>
      <c r="F88" s="2"/>
      <c r="G88" s="56"/>
      <c r="H88" s="12"/>
    </row>
    <row r="89" spans="1:8" x14ac:dyDescent="0.25">
      <c r="A89" s="25">
        <v>7611</v>
      </c>
      <c r="B89" s="26" t="s">
        <v>23</v>
      </c>
      <c r="C89" s="2"/>
      <c r="D89" s="2"/>
      <c r="E89" s="2"/>
      <c r="F89" s="2"/>
      <c r="G89" s="56"/>
      <c r="H89" s="12"/>
    </row>
    <row r="90" spans="1:8" x14ac:dyDescent="0.25">
      <c r="A90" s="25"/>
      <c r="B90" s="27" t="s">
        <v>11</v>
      </c>
      <c r="C90" s="2">
        <v>1120789.58</v>
      </c>
      <c r="D90" s="2">
        <f>C90/2</f>
        <v>560394.79</v>
      </c>
      <c r="E90" s="11">
        <v>480377.69</v>
      </c>
      <c r="F90" s="2">
        <f>C90-E90</f>
        <v>640411.89000000013</v>
      </c>
      <c r="G90" s="56">
        <f>D90-E90</f>
        <v>80017.100000000035</v>
      </c>
      <c r="H90" s="12"/>
    </row>
    <row r="91" spans="1:8" x14ac:dyDescent="0.25">
      <c r="A91" s="25"/>
      <c r="B91" s="27" t="s">
        <v>12</v>
      </c>
      <c r="C91" s="2">
        <v>189971.15</v>
      </c>
      <c r="D91" s="2">
        <f>C91*0.7</f>
        <v>132979.80499999999</v>
      </c>
      <c r="E91" s="52">
        <v>99835.5</v>
      </c>
      <c r="F91" s="2">
        <f>C91-E91</f>
        <v>90135.65</v>
      </c>
      <c r="G91" s="56">
        <f>D91-E91</f>
        <v>33144.304999999993</v>
      </c>
      <c r="H91" s="12"/>
    </row>
    <row r="92" spans="1:8" x14ac:dyDescent="0.25">
      <c r="A92" s="25"/>
      <c r="B92" s="27" t="s">
        <v>13</v>
      </c>
      <c r="C92" s="2">
        <v>25000</v>
      </c>
      <c r="D92" s="2"/>
      <c r="E92" s="2"/>
      <c r="F92" s="2"/>
      <c r="G92" s="56"/>
      <c r="H92" s="12"/>
    </row>
    <row r="93" spans="1:8" x14ac:dyDescent="0.25">
      <c r="A93" s="25"/>
      <c r="B93" s="27" t="s">
        <v>14</v>
      </c>
      <c r="C93" s="2"/>
      <c r="D93" s="2"/>
      <c r="E93" s="2"/>
      <c r="F93" s="2"/>
      <c r="G93" s="56"/>
      <c r="H93" s="12"/>
    </row>
    <row r="94" spans="1:8" x14ac:dyDescent="0.25">
      <c r="A94" s="25"/>
      <c r="B94" s="28" t="s">
        <v>27</v>
      </c>
      <c r="C94" s="8">
        <f>SUM(C90:C93)</f>
        <v>1335760.73</v>
      </c>
      <c r="D94" s="8">
        <f>SUM(D90:D93)</f>
        <v>693374.59499999997</v>
      </c>
      <c r="E94" s="8">
        <f>SUM(E90:E93)</f>
        <v>580213.18999999994</v>
      </c>
      <c r="F94" s="8">
        <f>SUM(F90:F93)</f>
        <v>730547.54000000015</v>
      </c>
      <c r="G94" s="57">
        <f>SUM(G90:G93)</f>
        <v>113161.40500000003</v>
      </c>
      <c r="H94" s="12"/>
    </row>
    <row r="95" spans="1:8" x14ac:dyDescent="0.25">
      <c r="A95" s="25"/>
      <c r="B95" s="18"/>
      <c r="C95" s="2"/>
      <c r="D95" s="2"/>
      <c r="E95" s="2"/>
      <c r="F95" s="2"/>
      <c r="G95" s="56"/>
      <c r="H95" s="12"/>
    </row>
    <row r="96" spans="1:8" x14ac:dyDescent="0.25">
      <c r="A96" s="25">
        <v>8711</v>
      </c>
      <c r="B96" s="26" t="s">
        <v>24</v>
      </c>
      <c r="C96" s="2"/>
      <c r="D96" s="2"/>
      <c r="E96" s="2"/>
      <c r="F96" s="2"/>
      <c r="G96" s="56"/>
      <c r="H96" s="12"/>
    </row>
    <row r="97" spans="1:9" x14ac:dyDescent="0.25">
      <c r="A97" s="25"/>
      <c r="B97" s="27" t="s">
        <v>11</v>
      </c>
      <c r="C97" s="2">
        <v>860982.08</v>
      </c>
      <c r="D97" s="2">
        <f>C97/2</f>
        <v>430491.04</v>
      </c>
      <c r="E97" s="2">
        <v>388920</v>
      </c>
      <c r="F97" s="2">
        <f>C97-E97</f>
        <v>472062.07999999996</v>
      </c>
      <c r="G97" s="56">
        <f>D97-E97</f>
        <v>41571.039999999979</v>
      </c>
      <c r="H97" s="12"/>
    </row>
    <row r="98" spans="1:9" x14ac:dyDescent="0.25">
      <c r="A98" s="25"/>
      <c r="B98" s="27" t="s">
        <v>12</v>
      </c>
      <c r="C98" s="2">
        <v>87772.800000000003</v>
      </c>
      <c r="D98" s="2">
        <f>C98*0.7</f>
        <v>61440.959999999999</v>
      </c>
      <c r="E98" s="52">
        <v>35988.29</v>
      </c>
      <c r="F98" s="2">
        <f>C98-E98</f>
        <v>51784.51</v>
      </c>
      <c r="G98" s="56">
        <f>D98-E98</f>
        <v>25452.67</v>
      </c>
      <c r="H98" s="12"/>
    </row>
    <row r="99" spans="1:9" x14ac:dyDescent="0.25">
      <c r="A99" s="25"/>
      <c r="B99" s="27" t="s">
        <v>13</v>
      </c>
      <c r="C99" s="2"/>
      <c r="D99" s="2"/>
      <c r="E99" s="2"/>
      <c r="F99" s="2"/>
      <c r="G99" s="56"/>
      <c r="H99" s="12"/>
    </row>
    <row r="100" spans="1:9" x14ac:dyDescent="0.25">
      <c r="A100" s="25"/>
      <c r="B100" s="27" t="s">
        <v>14</v>
      </c>
      <c r="C100" s="2"/>
      <c r="D100" s="2"/>
      <c r="E100" s="2"/>
      <c r="F100" s="2"/>
      <c r="G100" s="56"/>
      <c r="H100" s="12"/>
    </row>
    <row r="101" spans="1:9" x14ac:dyDescent="0.25">
      <c r="A101" s="25"/>
      <c r="B101" s="28" t="s">
        <v>27</v>
      </c>
      <c r="C101" s="8">
        <f>SUM(C97:C100)</f>
        <v>948754.88</v>
      </c>
      <c r="D101" s="8">
        <f>SUM(D97:D100)</f>
        <v>491932</v>
      </c>
      <c r="E101" s="8">
        <f>SUM(E97:E100)</f>
        <v>424908.29</v>
      </c>
      <c r="F101" s="8">
        <f>SUM(F97:F100)</f>
        <v>523846.58999999997</v>
      </c>
      <c r="G101" s="57">
        <f>SUM(G97:G100)</f>
        <v>67023.709999999977</v>
      </c>
      <c r="H101" s="12"/>
    </row>
    <row r="102" spans="1:9" x14ac:dyDescent="0.25">
      <c r="A102" s="25"/>
      <c r="B102" s="18"/>
      <c r="C102" s="2"/>
      <c r="D102" s="2"/>
      <c r="E102" s="2"/>
      <c r="F102" s="2"/>
      <c r="G102" s="56"/>
      <c r="H102" s="12"/>
    </row>
    <row r="103" spans="1:9" x14ac:dyDescent="0.25">
      <c r="A103" s="25">
        <v>8751</v>
      </c>
      <c r="B103" s="26" t="s">
        <v>25</v>
      </c>
      <c r="C103" s="2"/>
      <c r="D103" s="2"/>
      <c r="E103" s="2"/>
      <c r="F103" s="2"/>
      <c r="G103" s="56"/>
      <c r="H103" s="12"/>
    </row>
    <row r="104" spans="1:9" x14ac:dyDescent="0.25">
      <c r="A104" s="25"/>
      <c r="B104" s="27" t="s">
        <v>11</v>
      </c>
      <c r="C104" s="2">
        <v>1008030.66</v>
      </c>
      <c r="D104" s="2">
        <f>C104/2</f>
        <v>504015.33</v>
      </c>
      <c r="E104" s="11">
        <v>455417.55</v>
      </c>
      <c r="F104" s="2">
        <f>C104-E104</f>
        <v>552613.1100000001</v>
      </c>
      <c r="G104" s="56">
        <f>D104-E104</f>
        <v>48597.780000000028</v>
      </c>
      <c r="H104" s="12"/>
    </row>
    <row r="105" spans="1:9" x14ac:dyDescent="0.25">
      <c r="A105" s="25"/>
      <c r="B105" s="27" t="s">
        <v>12</v>
      </c>
      <c r="C105" s="2">
        <v>61275.5</v>
      </c>
      <c r="D105" s="2">
        <f>C105*0.7</f>
        <v>42892.85</v>
      </c>
      <c r="E105" s="52">
        <v>31281</v>
      </c>
      <c r="F105" s="2">
        <f>C105-E105</f>
        <v>29994.5</v>
      </c>
      <c r="G105" s="56">
        <f>D105-E105</f>
        <v>11611.849999999999</v>
      </c>
      <c r="H105" s="12"/>
      <c r="I105" s="14">
        <f>C105*0.7</f>
        <v>42892.85</v>
      </c>
    </row>
    <row r="106" spans="1:9" x14ac:dyDescent="0.25">
      <c r="A106" s="25"/>
      <c r="B106" s="27" t="s">
        <v>13</v>
      </c>
      <c r="C106" s="2"/>
      <c r="D106" s="2"/>
      <c r="E106" s="2"/>
      <c r="F106" s="2"/>
      <c r="G106" s="56"/>
      <c r="H106" s="12"/>
    </row>
    <row r="107" spans="1:9" x14ac:dyDescent="0.25">
      <c r="A107" s="25"/>
      <c r="B107" s="27" t="s">
        <v>14</v>
      </c>
      <c r="C107" s="2"/>
      <c r="D107" s="2"/>
      <c r="E107" s="2"/>
      <c r="F107" s="2"/>
      <c r="G107" s="56"/>
      <c r="H107" s="12"/>
    </row>
    <row r="108" spans="1:9" x14ac:dyDescent="0.25">
      <c r="A108" s="25"/>
      <c r="B108" s="28" t="s">
        <v>27</v>
      </c>
      <c r="C108" s="8">
        <f>SUM(C104:C107)</f>
        <v>1069306.1600000001</v>
      </c>
      <c r="D108" s="8">
        <f>SUM(D104:D107)</f>
        <v>546908.18000000005</v>
      </c>
      <c r="E108" s="8">
        <f>SUM(E104:E107)</f>
        <v>486698.55</v>
      </c>
      <c r="F108" s="8">
        <f>SUM(F104:F107)</f>
        <v>582607.6100000001</v>
      </c>
      <c r="G108" s="57">
        <f>SUM(G104:G107)</f>
        <v>60209.630000000026</v>
      </c>
      <c r="H108" s="12"/>
    </row>
    <row r="109" spans="1:9" x14ac:dyDescent="0.25">
      <c r="A109" s="25"/>
      <c r="B109" s="18"/>
      <c r="C109" s="2"/>
      <c r="D109" s="2"/>
      <c r="E109" s="2"/>
      <c r="F109" s="2"/>
      <c r="G109" s="56"/>
      <c r="H109" s="12"/>
    </row>
    <row r="110" spans="1:9" x14ac:dyDescent="0.25">
      <c r="A110" s="25">
        <v>8811</v>
      </c>
      <c r="B110" s="26" t="s">
        <v>26</v>
      </c>
      <c r="C110" s="2"/>
      <c r="D110" s="2"/>
      <c r="E110" s="2"/>
      <c r="F110" s="2"/>
      <c r="G110" s="56"/>
      <c r="H110" s="12"/>
    </row>
    <row r="111" spans="1:9" x14ac:dyDescent="0.25">
      <c r="A111" s="25"/>
      <c r="B111" s="27" t="s">
        <v>11</v>
      </c>
      <c r="C111" s="2"/>
      <c r="D111" s="2"/>
      <c r="E111" s="2"/>
      <c r="F111" s="2">
        <f>C111-E111</f>
        <v>0</v>
      </c>
      <c r="G111" s="56">
        <f>D111-E111</f>
        <v>0</v>
      </c>
      <c r="H111" s="12"/>
    </row>
    <row r="112" spans="1:9" x14ac:dyDescent="0.25">
      <c r="A112" s="25"/>
      <c r="B112" s="27" t="s">
        <v>12</v>
      </c>
      <c r="C112" s="2">
        <v>66400</v>
      </c>
      <c r="D112" s="2">
        <f>C112*0.7</f>
        <v>46480</v>
      </c>
      <c r="E112" s="11">
        <v>8535</v>
      </c>
      <c r="F112" s="2">
        <f>C112-E112</f>
        <v>57865</v>
      </c>
      <c r="G112" s="56">
        <f>D112-E112</f>
        <v>37945</v>
      </c>
      <c r="H112" s="12"/>
    </row>
    <row r="113" spans="1:10" x14ac:dyDescent="0.25">
      <c r="A113" s="25"/>
      <c r="B113" s="27" t="s">
        <v>13</v>
      </c>
      <c r="C113" s="2"/>
      <c r="D113" s="2"/>
      <c r="E113" s="2"/>
      <c r="F113" s="2"/>
      <c r="G113" s="56"/>
      <c r="H113" s="12"/>
    </row>
    <row r="114" spans="1:10" x14ac:dyDescent="0.25">
      <c r="A114" s="25"/>
      <c r="B114" s="27" t="s">
        <v>14</v>
      </c>
      <c r="C114" s="2"/>
      <c r="D114" s="2"/>
      <c r="E114" s="2"/>
      <c r="F114" s="2"/>
      <c r="G114" s="56"/>
      <c r="H114" s="12"/>
    </row>
    <row r="115" spans="1:10" x14ac:dyDescent="0.25">
      <c r="A115" s="29"/>
      <c r="B115" s="28" t="s">
        <v>27</v>
      </c>
      <c r="C115" s="8">
        <f>SUM(C111:C114)</f>
        <v>66400</v>
      </c>
      <c r="D115" s="8">
        <f>SUM(D111:D114)</f>
        <v>46480</v>
      </c>
      <c r="E115" s="8">
        <f>SUM(E111:E114)</f>
        <v>8535</v>
      </c>
      <c r="F115" s="8">
        <f>SUM(F111:F114)</f>
        <v>57865</v>
      </c>
      <c r="G115" s="57">
        <f>SUM(G111:G114)</f>
        <v>37945</v>
      </c>
      <c r="H115" s="12"/>
    </row>
    <row r="116" spans="1:10" ht="15.75" thickBot="1" x14ac:dyDescent="0.3">
      <c r="A116" s="35"/>
      <c r="B116" s="36"/>
      <c r="C116" s="9"/>
      <c r="D116" s="9"/>
      <c r="E116" s="9"/>
      <c r="F116" s="9"/>
      <c r="G116" s="58"/>
      <c r="H116" s="12"/>
    </row>
    <row r="117" spans="1:10" x14ac:dyDescent="0.25">
      <c r="C117" s="12"/>
      <c r="D117" s="12"/>
      <c r="E117" s="12"/>
      <c r="F117" s="12"/>
      <c r="G117" s="12"/>
      <c r="H117" s="12"/>
    </row>
    <row r="118" spans="1:10" x14ac:dyDescent="0.25">
      <c r="C118" s="12"/>
      <c r="D118" s="12"/>
      <c r="E118" s="12">
        <f>E70+E71+E77+E84+E91+E98+E105</f>
        <v>841185.95</v>
      </c>
      <c r="F118" s="12"/>
      <c r="G118" s="12"/>
      <c r="H118" s="12"/>
    </row>
    <row r="119" spans="1:10" x14ac:dyDescent="0.25">
      <c r="C119" s="12"/>
      <c r="D119" s="12"/>
      <c r="E119" s="12"/>
      <c r="F119" s="12"/>
      <c r="G119" s="12"/>
      <c r="H119" s="12"/>
    </row>
    <row r="120" spans="1:10" x14ac:dyDescent="0.25">
      <c r="A120" s="13" t="s">
        <v>0</v>
      </c>
      <c r="B120" s="34"/>
      <c r="C120" s="10"/>
      <c r="D120" s="10"/>
      <c r="F120" s="10"/>
      <c r="G120" s="10"/>
      <c r="H120" s="12"/>
    </row>
    <row r="121" spans="1:10" x14ac:dyDescent="0.25">
      <c r="A121" s="13" t="s">
        <v>1</v>
      </c>
      <c r="B121" s="34"/>
      <c r="C121" s="10"/>
      <c r="D121" s="10"/>
      <c r="E121" s="10"/>
      <c r="F121" s="10"/>
      <c r="G121" s="10"/>
      <c r="H121" s="12"/>
      <c r="I121" s="12">
        <v>37836.519999999997</v>
      </c>
    </row>
    <row r="122" spans="1:10" x14ac:dyDescent="0.25">
      <c r="A122" s="13" t="s">
        <v>2</v>
      </c>
      <c r="B122" s="34"/>
      <c r="C122" s="10"/>
      <c r="D122" s="10"/>
      <c r="E122" s="10"/>
      <c r="F122" s="10"/>
      <c r="G122" s="10"/>
      <c r="H122" s="12"/>
      <c r="I122" s="12">
        <f>I121*5%</f>
        <v>1891.826</v>
      </c>
      <c r="J122" s="13" t="s">
        <v>170</v>
      </c>
    </row>
    <row r="123" spans="1:10" x14ac:dyDescent="0.25">
      <c r="A123" s="22" t="s">
        <v>169</v>
      </c>
      <c r="B123" s="34"/>
      <c r="C123" s="10"/>
      <c r="D123" s="10"/>
      <c r="E123" s="10"/>
      <c r="F123" s="10"/>
      <c r="G123" s="10"/>
      <c r="H123" s="12"/>
      <c r="I123" s="12">
        <f>I122</f>
        <v>1891.826</v>
      </c>
      <c r="J123" s="13" t="s">
        <v>57</v>
      </c>
    </row>
    <row r="124" spans="1:10" x14ac:dyDescent="0.25">
      <c r="A124" s="33"/>
      <c r="B124" s="34"/>
      <c r="C124" s="10"/>
      <c r="D124" s="10"/>
      <c r="E124" s="10"/>
      <c r="F124" s="10"/>
      <c r="G124" s="10"/>
      <c r="H124" s="12"/>
      <c r="I124" s="12">
        <f>I121*1%</f>
        <v>378.36519999999996</v>
      </c>
      <c r="J124" s="13" t="s">
        <v>171</v>
      </c>
    </row>
    <row r="125" spans="1:10" x14ac:dyDescent="0.25">
      <c r="A125" s="119" t="s">
        <v>3</v>
      </c>
      <c r="B125" s="119" t="s">
        <v>4</v>
      </c>
      <c r="C125" s="119" t="s">
        <v>5</v>
      </c>
      <c r="D125" s="115" t="s">
        <v>6</v>
      </c>
      <c r="E125" s="115" t="s">
        <v>7</v>
      </c>
      <c r="F125" s="15" t="s">
        <v>8</v>
      </c>
      <c r="G125" s="15" t="s">
        <v>8</v>
      </c>
      <c r="H125" s="12"/>
      <c r="I125" s="12">
        <f>SUM(I122:I124)</f>
        <v>4162.0172000000002</v>
      </c>
    </row>
    <row r="126" spans="1:10" x14ac:dyDescent="0.25">
      <c r="A126" s="120"/>
      <c r="B126" s="120"/>
      <c r="C126" s="120"/>
      <c r="D126" s="116"/>
      <c r="E126" s="116"/>
      <c r="F126" s="16" t="s">
        <v>5</v>
      </c>
      <c r="G126" s="16" t="s">
        <v>6</v>
      </c>
      <c r="H126" s="12"/>
      <c r="I126" s="12">
        <f>I121-I125</f>
        <v>33674.502799999995</v>
      </c>
    </row>
    <row r="127" spans="1:10" ht="18.75" x14ac:dyDescent="0.3">
      <c r="A127" s="61"/>
      <c r="B127" s="61"/>
      <c r="C127" s="62"/>
      <c r="D127" s="19"/>
      <c r="E127" s="19"/>
      <c r="F127" s="19"/>
      <c r="G127" s="19"/>
      <c r="H127" s="12"/>
    </row>
    <row r="128" spans="1:10" ht="18.75" x14ac:dyDescent="0.3">
      <c r="A128" s="63" t="s">
        <v>29</v>
      </c>
      <c r="B128" s="63" t="s">
        <v>38</v>
      </c>
      <c r="C128" s="64">
        <v>35000</v>
      </c>
      <c r="D128" s="2">
        <f>C128/2</f>
        <v>17500</v>
      </c>
      <c r="E128" s="2"/>
      <c r="F128" s="2">
        <f t="shared" ref="F128:F156" si="2">C128-E128</f>
        <v>35000</v>
      </c>
      <c r="G128" s="56">
        <f t="shared" ref="G128:G157" si="3">D128-E128</f>
        <v>17500</v>
      </c>
      <c r="H128" s="12"/>
    </row>
    <row r="129" spans="1:10" ht="18.75" x14ac:dyDescent="0.3">
      <c r="A129" s="63"/>
      <c r="B129" s="63" t="s">
        <v>32</v>
      </c>
      <c r="C129" s="64">
        <v>250000</v>
      </c>
      <c r="D129" s="2">
        <f t="shared" ref="D129:D131" si="4">C129/2</f>
        <v>125000</v>
      </c>
      <c r="E129" s="52">
        <v>36854.17</v>
      </c>
      <c r="F129" s="2">
        <f>C129-E129</f>
        <v>213145.83000000002</v>
      </c>
      <c r="G129" s="56"/>
      <c r="H129" s="12"/>
    </row>
    <row r="130" spans="1:10" ht="18.75" x14ac:dyDescent="0.3">
      <c r="A130" s="63"/>
      <c r="B130" s="63" t="s">
        <v>35</v>
      </c>
      <c r="C130" s="64">
        <v>430000</v>
      </c>
      <c r="D130" s="2">
        <f t="shared" si="4"/>
        <v>215000</v>
      </c>
      <c r="E130" s="52">
        <v>389371</v>
      </c>
      <c r="F130" s="2">
        <f t="shared" ref="F130:F133" si="5">C130-E130</f>
        <v>40629</v>
      </c>
      <c r="G130" s="56"/>
      <c r="H130" s="12"/>
    </row>
    <row r="131" spans="1:10" ht="18.75" x14ac:dyDescent="0.3">
      <c r="A131" s="63"/>
      <c r="B131" s="63" t="s">
        <v>88</v>
      </c>
      <c r="C131" s="64">
        <v>200000</v>
      </c>
      <c r="D131" s="2">
        <f t="shared" si="4"/>
        <v>100000</v>
      </c>
      <c r="E131" s="52">
        <v>13304.93</v>
      </c>
      <c r="F131" s="2">
        <f t="shared" si="5"/>
        <v>186695.07</v>
      </c>
      <c r="G131" s="56"/>
      <c r="H131" s="12"/>
    </row>
    <row r="132" spans="1:10" ht="18.75" x14ac:dyDescent="0.3">
      <c r="A132" s="63"/>
      <c r="B132" s="63" t="s">
        <v>92</v>
      </c>
      <c r="C132" s="64">
        <v>300000</v>
      </c>
      <c r="D132" s="2"/>
      <c r="E132" s="2"/>
      <c r="F132" s="2">
        <f t="shared" si="5"/>
        <v>300000</v>
      </c>
      <c r="G132" s="56"/>
      <c r="H132" s="12"/>
    </row>
    <row r="133" spans="1:10" ht="18.75" x14ac:dyDescent="0.3">
      <c r="A133" s="63"/>
      <c r="B133" s="63" t="s">
        <v>166</v>
      </c>
      <c r="C133" s="64">
        <v>180000</v>
      </c>
      <c r="D133" s="2"/>
      <c r="E133" s="2"/>
      <c r="F133" s="2">
        <f t="shared" si="5"/>
        <v>180000</v>
      </c>
      <c r="G133" s="56"/>
      <c r="H133" s="12"/>
    </row>
    <row r="134" spans="1:10" ht="18.75" x14ac:dyDescent="0.3">
      <c r="A134" s="63"/>
      <c r="B134" s="63" t="s">
        <v>31</v>
      </c>
      <c r="C134" s="64"/>
      <c r="D134" s="2"/>
      <c r="E134" s="2"/>
      <c r="F134" s="2"/>
      <c r="G134" s="56"/>
      <c r="H134" s="12"/>
      <c r="I134" s="13">
        <f>230*22</f>
        <v>5060</v>
      </c>
    </row>
    <row r="135" spans="1:10" ht="18.75" x14ac:dyDescent="0.3">
      <c r="A135" s="63"/>
      <c r="B135" s="65" t="s">
        <v>138</v>
      </c>
      <c r="C135" s="64">
        <v>300000</v>
      </c>
      <c r="D135" s="2">
        <v>300000</v>
      </c>
      <c r="E135" s="52">
        <f>251287.5+72900</f>
        <v>324187.5</v>
      </c>
      <c r="F135" s="2">
        <f t="shared" ref="F135:F137" si="6">C135-E135</f>
        <v>-24187.5</v>
      </c>
      <c r="G135" s="56"/>
      <c r="H135" s="12"/>
      <c r="I135" s="13">
        <f>I134*12</f>
        <v>60720</v>
      </c>
    </row>
    <row r="136" spans="1:10" ht="18.75" x14ac:dyDescent="0.3">
      <c r="A136" s="63"/>
      <c r="B136" s="65" t="s">
        <v>139</v>
      </c>
      <c r="C136" s="64">
        <v>400000</v>
      </c>
      <c r="D136" s="2">
        <v>400000</v>
      </c>
      <c r="E136" s="52">
        <v>400000</v>
      </c>
      <c r="F136" s="2">
        <f t="shared" si="6"/>
        <v>0</v>
      </c>
      <c r="G136" s="56"/>
      <c r="H136" s="12"/>
    </row>
    <row r="137" spans="1:10" ht="18.75" x14ac:dyDescent="0.3">
      <c r="A137" s="63"/>
      <c r="B137" s="65" t="s">
        <v>140</v>
      </c>
      <c r="C137" s="64">
        <v>200000</v>
      </c>
      <c r="D137" s="2"/>
      <c r="E137" s="2"/>
      <c r="F137" s="2">
        <f t="shared" si="6"/>
        <v>200000</v>
      </c>
      <c r="G137" s="56"/>
      <c r="H137" s="12"/>
      <c r="I137" s="12">
        <v>32882308.219999999</v>
      </c>
    </row>
    <row r="138" spans="1:10" ht="18.75" x14ac:dyDescent="0.3">
      <c r="A138" s="63"/>
      <c r="B138" s="65" t="s">
        <v>141</v>
      </c>
      <c r="C138" s="64">
        <v>100000</v>
      </c>
      <c r="D138" s="2"/>
      <c r="E138" s="2"/>
      <c r="F138" s="2">
        <f t="shared" si="2"/>
        <v>100000</v>
      </c>
      <c r="G138" s="56">
        <f t="shared" si="3"/>
        <v>0</v>
      </c>
      <c r="H138" s="12"/>
      <c r="I138" s="12">
        <v>17921</v>
      </c>
    </row>
    <row r="139" spans="1:10" ht="18.75" x14ac:dyDescent="0.3">
      <c r="A139" s="63"/>
      <c r="B139" s="63" t="s">
        <v>143</v>
      </c>
      <c r="C139" s="64">
        <v>125000</v>
      </c>
      <c r="D139" s="2"/>
      <c r="E139" s="52">
        <v>8000</v>
      </c>
      <c r="F139" s="2">
        <f t="shared" si="2"/>
        <v>117000</v>
      </c>
      <c r="G139" s="56">
        <f t="shared" si="3"/>
        <v>-8000</v>
      </c>
      <c r="H139" s="12"/>
      <c r="I139" s="13">
        <f>I137/I138</f>
        <v>1834.8478444283242</v>
      </c>
      <c r="J139" s="12"/>
    </row>
    <row r="140" spans="1:10" ht="18.75" x14ac:dyDescent="0.3">
      <c r="A140" s="63"/>
      <c r="B140" s="66" t="s">
        <v>142</v>
      </c>
      <c r="C140" s="64">
        <v>20000</v>
      </c>
      <c r="D140" s="2">
        <v>10000</v>
      </c>
      <c r="E140" s="2"/>
      <c r="F140" s="2">
        <f>C129-E140</f>
        <v>250000</v>
      </c>
      <c r="G140" s="56">
        <f t="shared" si="3"/>
        <v>10000</v>
      </c>
      <c r="H140" s="12"/>
      <c r="I140" s="12">
        <v>22067089.800000001</v>
      </c>
      <c r="J140" s="12">
        <v>857870</v>
      </c>
    </row>
    <row r="141" spans="1:10" ht="18.75" x14ac:dyDescent="0.3">
      <c r="A141" s="63"/>
      <c r="B141" s="63" t="s">
        <v>90</v>
      </c>
      <c r="C141" s="64">
        <v>80000</v>
      </c>
      <c r="D141" s="2">
        <v>40000</v>
      </c>
      <c r="E141" s="52">
        <v>8719</v>
      </c>
      <c r="F141" s="2">
        <f>C141-E141</f>
        <v>71281</v>
      </c>
      <c r="G141" s="56"/>
      <c r="H141" s="12"/>
      <c r="I141" s="13">
        <f>I140/I137</f>
        <v>0.67109308909701604</v>
      </c>
      <c r="J141" s="12"/>
    </row>
    <row r="142" spans="1:10" ht="18.75" x14ac:dyDescent="0.3">
      <c r="A142" s="63"/>
      <c r="B142" s="63" t="s">
        <v>86</v>
      </c>
      <c r="C142" s="64">
        <v>75000</v>
      </c>
      <c r="D142" s="2">
        <f>C142/2</f>
        <v>37500</v>
      </c>
      <c r="E142" s="52">
        <v>2000</v>
      </c>
      <c r="F142" s="2">
        <f t="shared" si="2"/>
        <v>73000</v>
      </c>
      <c r="G142" s="56">
        <f t="shared" si="3"/>
        <v>35500</v>
      </c>
      <c r="H142" s="12"/>
      <c r="J142" s="12"/>
    </row>
    <row r="143" spans="1:10" ht="18.75" x14ac:dyDescent="0.3">
      <c r="A143" s="63"/>
      <c r="B143" s="63" t="s">
        <v>164</v>
      </c>
      <c r="C143" s="64">
        <v>75000</v>
      </c>
      <c r="D143" s="2">
        <f>C143/2</f>
        <v>37500</v>
      </c>
      <c r="E143" s="2"/>
      <c r="F143" s="2">
        <f>C143-E143</f>
        <v>75000</v>
      </c>
      <c r="G143" s="56"/>
      <c r="H143" s="12"/>
      <c r="J143" s="12"/>
    </row>
    <row r="144" spans="1:10" ht="18.75" x14ac:dyDescent="0.3">
      <c r="A144" s="63"/>
      <c r="B144" s="63" t="s">
        <v>102</v>
      </c>
      <c r="C144" s="64">
        <v>1200000</v>
      </c>
      <c r="D144" s="2">
        <f>C144/2</f>
        <v>600000</v>
      </c>
      <c r="E144" s="52">
        <v>1412767.5</v>
      </c>
      <c r="F144" s="2">
        <f t="shared" si="2"/>
        <v>-212767.5</v>
      </c>
      <c r="G144" s="56">
        <f t="shared" si="3"/>
        <v>-812767.5</v>
      </c>
      <c r="H144" s="12"/>
      <c r="J144" s="12"/>
    </row>
    <row r="145" spans="1:10" ht="18.75" x14ac:dyDescent="0.3">
      <c r="A145" s="63"/>
      <c r="B145" s="63" t="s">
        <v>49</v>
      </c>
      <c r="C145" s="64">
        <v>100000</v>
      </c>
      <c r="D145" s="2">
        <v>100000</v>
      </c>
      <c r="E145" s="52">
        <v>100000</v>
      </c>
      <c r="F145" s="2">
        <f t="shared" si="2"/>
        <v>0</v>
      </c>
      <c r="G145" s="56">
        <f t="shared" si="3"/>
        <v>0</v>
      </c>
      <c r="H145" s="12"/>
      <c r="J145" s="12">
        <f>J140*55%</f>
        <v>471828.50000000006</v>
      </c>
    </row>
    <row r="146" spans="1:10" ht="18.75" x14ac:dyDescent="0.3">
      <c r="A146" s="63"/>
      <c r="B146" s="63" t="s">
        <v>33</v>
      </c>
      <c r="C146" s="64">
        <v>150000</v>
      </c>
      <c r="D146" s="2">
        <f t="shared" ref="D146:D153" si="7">C146/2</f>
        <v>75000</v>
      </c>
      <c r="E146" s="52">
        <v>157300</v>
      </c>
      <c r="F146" s="2">
        <f>C146-E146</f>
        <v>-7300</v>
      </c>
      <c r="G146" s="56"/>
      <c r="H146" s="12"/>
      <c r="J146" s="12"/>
    </row>
    <row r="147" spans="1:10" ht="18.75" x14ac:dyDescent="0.3">
      <c r="A147" s="63"/>
      <c r="B147" s="63" t="s">
        <v>144</v>
      </c>
      <c r="C147" s="64">
        <v>70000</v>
      </c>
      <c r="D147" s="2">
        <f t="shared" si="7"/>
        <v>35000</v>
      </c>
      <c r="E147" s="2"/>
      <c r="F147" s="2">
        <f>C147-D147</f>
        <v>35000</v>
      </c>
      <c r="G147" s="56"/>
      <c r="H147" s="12"/>
      <c r="J147" s="12"/>
    </row>
    <row r="148" spans="1:10" ht="18.75" x14ac:dyDescent="0.3">
      <c r="A148" s="63"/>
      <c r="B148" s="63" t="s">
        <v>145</v>
      </c>
      <c r="C148" s="64">
        <v>800000</v>
      </c>
      <c r="D148" s="2">
        <v>300000</v>
      </c>
      <c r="E148" s="52">
        <v>287781.34999999998</v>
      </c>
      <c r="F148" s="2">
        <f t="shared" si="2"/>
        <v>512218.65</v>
      </c>
      <c r="G148" s="56">
        <f t="shared" si="3"/>
        <v>12218.650000000023</v>
      </c>
      <c r="J148" s="12"/>
    </row>
    <row r="149" spans="1:10" ht="18.75" x14ac:dyDescent="0.3">
      <c r="A149" s="63"/>
      <c r="B149" s="63" t="s">
        <v>146</v>
      </c>
      <c r="C149" s="64">
        <v>20000</v>
      </c>
      <c r="D149" s="2">
        <v>5000</v>
      </c>
      <c r="E149" s="2"/>
      <c r="F149" s="2">
        <f t="shared" si="2"/>
        <v>20000</v>
      </c>
      <c r="G149" s="56"/>
      <c r="J149" s="12"/>
    </row>
    <row r="150" spans="1:10" ht="18.75" x14ac:dyDescent="0.3">
      <c r="A150" s="63"/>
      <c r="B150" s="63" t="s">
        <v>94</v>
      </c>
      <c r="C150" s="64">
        <v>15000</v>
      </c>
      <c r="D150" s="2">
        <f t="shared" si="7"/>
        <v>7500</v>
      </c>
      <c r="E150" s="52">
        <v>9233.5</v>
      </c>
      <c r="F150" s="2">
        <f t="shared" si="2"/>
        <v>5766.5</v>
      </c>
      <c r="G150" s="56">
        <f t="shared" si="3"/>
        <v>-1733.5</v>
      </c>
      <c r="J150" s="12"/>
    </row>
    <row r="151" spans="1:10" ht="18.75" x14ac:dyDescent="0.3">
      <c r="A151" s="63"/>
      <c r="B151" s="63" t="s">
        <v>51</v>
      </c>
      <c r="C151" s="64">
        <v>750000</v>
      </c>
      <c r="D151" s="2">
        <v>150000</v>
      </c>
      <c r="E151" s="52">
        <v>79965</v>
      </c>
      <c r="F151" s="2">
        <f t="shared" si="2"/>
        <v>670035</v>
      </c>
      <c r="G151" s="56">
        <f t="shared" si="3"/>
        <v>70035</v>
      </c>
      <c r="J151" s="12"/>
    </row>
    <row r="152" spans="1:10" ht="18.75" x14ac:dyDescent="0.3">
      <c r="A152" s="63"/>
      <c r="B152" s="63" t="s">
        <v>52</v>
      </c>
      <c r="C152" s="64">
        <v>50000</v>
      </c>
      <c r="D152" s="2">
        <f t="shared" si="7"/>
        <v>25000</v>
      </c>
      <c r="E152" s="2"/>
      <c r="F152" s="2">
        <f t="shared" si="2"/>
        <v>50000</v>
      </c>
      <c r="G152" s="56">
        <f t="shared" si="3"/>
        <v>25000</v>
      </c>
    </row>
    <row r="153" spans="1:10" ht="18.75" x14ac:dyDescent="0.3">
      <c r="A153" s="63"/>
      <c r="B153" s="63" t="s">
        <v>167</v>
      </c>
      <c r="C153" s="64">
        <v>200000</v>
      </c>
      <c r="D153" s="2">
        <f t="shared" si="7"/>
        <v>100000</v>
      </c>
      <c r="E153" s="2"/>
      <c r="F153" s="2">
        <f t="shared" si="2"/>
        <v>200000</v>
      </c>
      <c r="G153" s="56">
        <f t="shared" si="3"/>
        <v>100000</v>
      </c>
    </row>
    <row r="154" spans="1:10" ht="18.75" x14ac:dyDescent="0.3">
      <c r="A154" s="63"/>
      <c r="B154" s="63" t="s">
        <v>147</v>
      </c>
      <c r="C154" s="64">
        <v>40247.599999999999</v>
      </c>
      <c r="D154" s="2">
        <v>10000</v>
      </c>
      <c r="E154" s="2"/>
      <c r="F154" s="2">
        <f t="shared" si="2"/>
        <v>40247.599999999999</v>
      </c>
      <c r="G154" s="56">
        <f t="shared" si="3"/>
        <v>10000</v>
      </c>
    </row>
    <row r="155" spans="1:10" ht="18.75" x14ac:dyDescent="0.3">
      <c r="A155" s="63"/>
      <c r="B155" s="63" t="s">
        <v>165</v>
      </c>
      <c r="C155" s="64">
        <v>400000</v>
      </c>
      <c r="D155" s="2"/>
      <c r="E155" s="2"/>
      <c r="F155" s="2">
        <f t="shared" si="2"/>
        <v>400000</v>
      </c>
      <c r="G155" s="56"/>
    </row>
    <row r="156" spans="1:10" ht="18.75" x14ac:dyDescent="0.3">
      <c r="A156" s="63"/>
      <c r="B156" s="63" t="s">
        <v>96</v>
      </c>
      <c r="C156" s="64">
        <v>700000</v>
      </c>
      <c r="D156" s="2">
        <f>C156/2</f>
        <v>350000</v>
      </c>
      <c r="E156" s="52">
        <v>388202</v>
      </c>
      <c r="F156" s="2">
        <f t="shared" si="2"/>
        <v>311798</v>
      </c>
      <c r="G156" s="56">
        <f t="shared" si="3"/>
        <v>-38202</v>
      </c>
    </row>
    <row r="157" spans="1:10" ht="18.75" x14ac:dyDescent="0.3">
      <c r="A157" s="67"/>
      <c r="B157" s="67"/>
      <c r="C157" s="68"/>
      <c r="D157" s="6"/>
      <c r="E157" s="6"/>
      <c r="F157" s="2"/>
      <c r="G157" s="56">
        <f t="shared" si="3"/>
        <v>0</v>
      </c>
    </row>
    <row r="158" spans="1:10" ht="18.75" x14ac:dyDescent="0.3">
      <c r="A158" s="69"/>
      <c r="B158" s="70" t="s">
        <v>27</v>
      </c>
      <c r="C158" s="71">
        <f>SUM(C128:C157)</f>
        <v>7265247.5999999996</v>
      </c>
      <c r="D158" s="8">
        <f>SUM(D128:D157)</f>
        <v>3040000</v>
      </c>
      <c r="E158" s="8">
        <f>SUM(E128:E157)</f>
        <v>3617685.95</v>
      </c>
      <c r="F158" s="8">
        <f>SUM(F128:F157)</f>
        <v>3842561.65</v>
      </c>
      <c r="G158" s="57">
        <f>SUM(G128:G157)</f>
        <v>-580449.35</v>
      </c>
    </row>
    <row r="159" spans="1:10" x14ac:dyDescent="0.25">
      <c r="C159" s="7"/>
    </row>
    <row r="160" spans="1:10" x14ac:dyDescent="0.25">
      <c r="C160" s="14"/>
    </row>
    <row r="161" spans="1:9" x14ac:dyDescent="0.25">
      <c r="C161" s="14"/>
    </row>
    <row r="163" spans="1:9" x14ac:dyDescent="0.25">
      <c r="A163" s="13" t="s">
        <v>0</v>
      </c>
      <c r="B163" s="34"/>
      <c r="C163" s="10"/>
      <c r="D163" s="10"/>
      <c r="E163" s="10"/>
      <c r="F163" s="10"/>
      <c r="G163" s="10"/>
    </row>
    <row r="164" spans="1:9" x14ac:dyDescent="0.25">
      <c r="A164" s="13" t="s">
        <v>1</v>
      </c>
      <c r="B164" s="34"/>
      <c r="C164" s="10"/>
      <c r="D164" s="10"/>
      <c r="E164" s="10"/>
      <c r="F164" s="10"/>
      <c r="G164" s="10"/>
    </row>
    <row r="165" spans="1:9" x14ac:dyDescent="0.25">
      <c r="A165" s="13" t="s">
        <v>2</v>
      </c>
      <c r="B165" s="34"/>
      <c r="C165" s="10"/>
      <c r="D165" s="10"/>
      <c r="E165" s="10"/>
      <c r="F165" s="10"/>
      <c r="G165" s="10"/>
    </row>
    <row r="166" spans="1:9" x14ac:dyDescent="0.25">
      <c r="A166" s="22" t="s">
        <v>169</v>
      </c>
      <c r="B166" s="34"/>
      <c r="C166" s="10"/>
      <c r="D166" s="10"/>
      <c r="E166" s="10"/>
      <c r="F166" s="10"/>
      <c r="G166" s="10"/>
    </row>
    <row r="167" spans="1:9" x14ac:dyDescent="0.25">
      <c r="A167" s="33"/>
      <c r="B167" s="34"/>
      <c r="C167" s="10"/>
      <c r="D167" s="10"/>
      <c r="E167" s="10"/>
      <c r="F167" s="10"/>
      <c r="G167" s="10"/>
    </row>
    <row r="168" spans="1:9" x14ac:dyDescent="0.25">
      <c r="A168" s="115" t="s">
        <v>3</v>
      </c>
      <c r="B168" s="115" t="s">
        <v>4</v>
      </c>
      <c r="C168" s="115" t="s">
        <v>5</v>
      </c>
      <c r="D168" s="115" t="s">
        <v>6</v>
      </c>
      <c r="E168" s="115" t="s">
        <v>7</v>
      </c>
      <c r="F168" s="15" t="s">
        <v>8</v>
      </c>
      <c r="G168" s="15" t="s">
        <v>8</v>
      </c>
    </row>
    <row r="169" spans="1:9" x14ac:dyDescent="0.25">
      <c r="A169" s="116"/>
      <c r="B169" s="116"/>
      <c r="C169" s="116"/>
      <c r="D169" s="116"/>
      <c r="E169" s="116"/>
      <c r="F169" s="16" t="s">
        <v>5</v>
      </c>
      <c r="G169" s="16" t="s">
        <v>6</v>
      </c>
    </row>
    <row r="170" spans="1:9" x14ac:dyDescent="0.25">
      <c r="A170" s="17"/>
      <c r="B170" s="17"/>
      <c r="C170" s="17"/>
      <c r="D170" s="17"/>
      <c r="E170" s="17"/>
      <c r="F170" s="17"/>
      <c r="G170" s="17"/>
    </row>
    <row r="171" spans="1:9" x14ac:dyDescent="0.25">
      <c r="A171" s="18"/>
      <c r="B171" s="26" t="s">
        <v>53</v>
      </c>
      <c r="C171" s="18"/>
      <c r="D171" s="18"/>
      <c r="E171" s="18"/>
      <c r="F171" s="18"/>
      <c r="G171" s="59"/>
    </row>
    <row r="172" spans="1:9" x14ac:dyDescent="0.25">
      <c r="A172" s="18"/>
      <c r="B172" s="27" t="s">
        <v>11</v>
      </c>
      <c r="C172" s="2"/>
      <c r="D172" s="2"/>
      <c r="E172" s="2"/>
      <c r="F172" s="2"/>
      <c r="G172" s="60"/>
    </row>
    <row r="173" spans="1:9" x14ac:dyDescent="0.25">
      <c r="A173" s="18"/>
      <c r="B173" s="4" t="s">
        <v>58</v>
      </c>
      <c r="C173" s="2">
        <v>320000</v>
      </c>
      <c r="D173" s="2">
        <v>320000</v>
      </c>
      <c r="E173" s="52">
        <v>291229.73</v>
      </c>
      <c r="F173" s="2">
        <f t="shared" ref="F173:F187" si="8">C173-E173</f>
        <v>28770.270000000019</v>
      </c>
      <c r="G173" s="2">
        <f t="shared" ref="G173:G187" si="9">D173-E173</f>
        <v>28770.270000000019</v>
      </c>
    </row>
    <row r="174" spans="1:9" x14ac:dyDescent="0.25">
      <c r="A174" s="18"/>
      <c r="B174" s="4" t="s">
        <v>59</v>
      </c>
      <c r="C174" s="2">
        <v>1060000</v>
      </c>
      <c r="D174" s="2">
        <f>C174/2</f>
        <v>530000</v>
      </c>
      <c r="E174" s="52">
        <v>886000</v>
      </c>
      <c r="F174" s="2">
        <f t="shared" si="8"/>
        <v>174000</v>
      </c>
      <c r="G174" s="2">
        <f t="shared" si="9"/>
        <v>-356000</v>
      </c>
      <c r="I174" s="14">
        <f>E174*12</f>
        <v>10632000</v>
      </c>
    </row>
    <row r="175" spans="1:9" x14ac:dyDescent="0.25">
      <c r="A175" s="18"/>
      <c r="B175" s="27" t="s">
        <v>12</v>
      </c>
      <c r="C175" s="2"/>
      <c r="D175" s="2"/>
      <c r="E175" s="2"/>
      <c r="F175" s="2">
        <f t="shared" si="8"/>
        <v>0</v>
      </c>
      <c r="G175" s="2">
        <f t="shared" si="9"/>
        <v>0</v>
      </c>
    </row>
    <row r="176" spans="1:9" x14ac:dyDescent="0.25">
      <c r="A176" s="18"/>
      <c r="B176" s="4" t="s">
        <v>54</v>
      </c>
      <c r="C176" s="2">
        <v>2176195.09</v>
      </c>
      <c r="D176" s="2">
        <v>761294</v>
      </c>
      <c r="E176" s="52">
        <v>661917.99</v>
      </c>
      <c r="F176" s="2">
        <f t="shared" si="8"/>
        <v>1514277.0999999999</v>
      </c>
      <c r="G176" s="2">
        <f t="shared" si="9"/>
        <v>99376.010000000009</v>
      </c>
      <c r="I176" s="14">
        <f>C176/4</f>
        <v>544048.77249999996</v>
      </c>
    </row>
    <row r="177" spans="1:7" x14ac:dyDescent="0.25">
      <c r="A177" s="18"/>
      <c r="B177" s="4" t="s">
        <v>55</v>
      </c>
      <c r="C177" s="2">
        <v>15000</v>
      </c>
      <c r="D177" s="2"/>
      <c r="E177" s="2"/>
      <c r="F177" s="2">
        <f t="shared" si="8"/>
        <v>15000</v>
      </c>
      <c r="G177" s="2">
        <f t="shared" si="9"/>
        <v>0</v>
      </c>
    </row>
    <row r="178" spans="1:7" x14ac:dyDescent="0.25">
      <c r="A178" s="18"/>
      <c r="B178" s="4" t="s">
        <v>56</v>
      </c>
      <c r="C178" s="2">
        <v>20000</v>
      </c>
      <c r="D178" s="2">
        <f t="shared" ref="D178:D183" si="10">C178*0.7</f>
        <v>14000</v>
      </c>
      <c r="E178" s="52">
        <v>5000</v>
      </c>
      <c r="F178" s="2">
        <f t="shared" si="8"/>
        <v>15000</v>
      </c>
      <c r="G178" s="2">
        <f t="shared" si="9"/>
        <v>9000</v>
      </c>
    </row>
    <row r="179" spans="1:7" x14ac:dyDescent="0.25">
      <c r="A179" s="18"/>
      <c r="B179" s="4" t="s">
        <v>160</v>
      </c>
      <c r="C179" s="2">
        <v>2176195.09</v>
      </c>
      <c r="D179" s="2">
        <f t="shared" si="10"/>
        <v>1523336.5629999998</v>
      </c>
      <c r="E179" s="52">
        <v>1010216.38</v>
      </c>
      <c r="F179" s="2">
        <f t="shared" si="8"/>
        <v>1165978.71</v>
      </c>
      <c r="G179" s="2">
        <f t="shared" si="9"/>
        <v>513120.18299999984</v>
      </c>
    </row>
    <row r="180" spans="1:7" x14ac:dyDescent="0.25">
      <c r="A180" s="18"/>
      <c r="B180" s="4" t="s">
        <v>161</v>
      </c>
      <c r="C180" s="2">
        <v>435239.01</v>
      </c>
      <c r="D180" s="2">
        <f t="shared" si="10"/>
        <v>304667.30699999997</v>
      </c>
      <c r="E180" s="52">
        <v>48500</v>
      </c>
      <c r="F180" s="2">
        <f t="shared" si="8"/>
        <v>386739.01</v>
      </c>
      <c r="G180" s="2"/>
    </row>
    <row r="181" spans="1:7" x14ac:dyDescent="0.25">
      <c r="A181" s="18"/>
      <c r="B181" s="55" t="s">
        <v>162</v>
      </c>
      <c r="C181" s="2">
        <v>363262.38</v>
      </c>
      <c r="D181" s="2">
        <f t="shared" si="10"/>
        <v>254283.666</v>
      </c>
      <c r="E181" s="52">
        <v>125634</v>
      </c>
      <c r="F181" s="2">
        <f t="shared" si="8"/>
        <v>237628.38</v>
      </c>
      <c r="G181" s="2">
        <f t="shared" si="9"/>
        <v>128649.666</v>
      </c>
    </row>
    <row r="182" spans="1:7" x14ac:dyDescent="0.25">
      <c r="A182" s="18"/>
      <c r="B182" s="4" t="s">
        <v>163</v>
      </c>
      <c r="C182" s="2">
        <v>100172.48</v>
      </c>
      <c r="D182" s="2">
        <f t="shared" si="10"/>
        <v>70120.73599999999</v>
      </c>
      <c r="E182" s="52">
        <v>67160</v>
      </c>
      <c r="F182" s="2">
        <f t="shared" si="8"/>
        <v>33012.479999999996</v>
      </c>
      <c r="G182" s="2">
        <f t="shared" si="9"/>
        <v>2960.7359999999899</v>
      </c>
    </row>
    <row r="183" spans="1:7" x14ac:dyDescent="0.25">
      <c r="A183" s="18"/>
      <c r="B183" s="4" t="s">
        <v>105</v>
      </c>
      <c r="C183" s="2">
        <v>150000</v>
      </c>
      <c r="D183" s="2">
        <f t="shared" si="10"/>
        <v>105000</v>
      </c>
      <c r="E183" s="52">
        <v>209265</v>
      </c>
      <c r="F183" s="2">
        <f t="shared" si="8"/>
        <v>-59265</v>
      </c>
      <c r="G183" s="2"/>
    </row>
    <row r="184" spans="1:7" x14ac:dyDescent="0.25">
      <c r="A184" s="18"/>
      <c r="B184" s="27" t="s">
        <v>13</v>
      </c>
      <c r="C184" s="2"/>
      <c r="D184" s="2"/>
      <c r="E184" s="2"/>
      <c r="F184" s="2">
        <f t="shared" si="8"/>
        <v>0</v>
      </c>
      <c r="G184" s="2">
        <f t="shared" si="9"/>
        <v>0</v>
      </c>
    </row>
    <row r="185" spans="1:7" x14ac:dyDescent="0.25">
      <c r="A185" s="18"/>
      <c r="B185" s="4" t="s">
        <v>149</v>
      </c>
      <c r="C185" s="2">
        <v>500000</v>
      </c>
      <c r="D185" s="2">
        <f>C185*0.7</f>
        <v>350000</v>
      </c>
      <c r="E185" s="52">
        <v>379714.22</v>
      </c>
      <c r="F185" s="2">
        <f t="shared" si="8"/>
        <v>120285.78000000003</v>
      </c>
      <c r="G185" s="2">
        <f t="shared" si="9"/>
        <v>-29714.219999999972</v>
      </c>
    </row>
    <row r="186" spans="1:7" x14ac:dyDescent="0.25">
      <c r="A186" s="18"/>
      <c r="B186" s="4" t="s">
        <v>62</v>
      </c>
      <c r="C186" s="2"/>
      <c r="D186" s="2"/>
      <c r="E186" s="2"/>
      <c r="F186" s="2">
        <f t="shared" si="8"/>
        <v>0</v>
      </c>
      <c r="G186" s="2">
        <f t="shared" si="9"/>
        <v>0</v>
      </c>
    </row>
    <row r="187" spans="1:7" x14ac:dyDescent="0.25">
      <c r="A187" s="18"/>
      <c r="B187" s="5" t="s">
        <v>63</v>
      </c>
      <c r="C187" s="2">
        <v>1600000</v>
      </c>
      <c r="D187" s="2">
        <f>C187*0.7</f>
        <v>1120000</v>
      </c>
      <c r="E187" s="52">
        <v>1564814.07</v>
      </c>
      <c r="F187" s="2">
        <f t="shared" si="8"/>
        <v>35185.929999999935</v>
      </c>
      <c r="G187" s="2">
        <f t="shared" si="9"/>
        <v>-444814.07000000007</v>
      </c>
    </row>
    <row r="188" spans="1:7" x14ac:dyDescent="0.25">
      <c r="A188" s="18"/>
      <c r="B188" s="4"/>
      <c r="C188" s="2"/>
      <c r="D188" s="2">
        <f>C188</f>
        <v>0</v>
      </c>
      <c r="E188" s="2"/>
      <c r="F188" s="2"/>
      <c r="G188" s="2"/>
    </row>
    <row r="189" spans="1:7" x14ac:dyDescent="0.25">
      <c r="A189" s="18"/>
      <c r="B189" s="39" t="s">
        <v>27</v>
      </c>
      <c r="C189" s="8">
        <f>SUM(C173:C188)</f>
        <v>8916064.0500000007</v>
      </c>
      <c r="D189" s="8">
        <f>SUM(D173:D188)</f>
        <v>5352702.2719999999</v>
      </c>
      <c r="E189" s="8">
        <f>SUM(E173:E188)</f>
        <v>5249451.3900000006</v>
      </c>
      <c r="F189" s="8">
        <f>SUM(F173:F188)</f>
        <v>3666612.6599999992</v>
      </c>
      <c r="G189" s="8">
        <f>SUM(G173:G188)</f>
        <v>-48651.425000000221</v>
      </c>
    </row>
    <row r="190" spans="1:7" ht="15.75" thickBot="1" x14ac:dyDescent="0.3">
      <c r="A190" s="40"/>
      <c r="B190" s="41" t="s">
        <v>64</v>
      </c>
      <c r="C190" s="20">
        <f>C189+C158+C115+C108+C101+C94+C87+C80+C73+C57+C50+C43+C36+C29+C22+C15</f>
        <v>43523901.710000001</v>
      </c>
      <c r="D190" s="20">
        <f>D189+D158+D115+D108+D101+D94+D87+D80+D73+D57+D50+D43+D36+D29+D22+D15</f>
        <v>22941402.153999995</v>
      </c>
      <c r="E190" s="20">
        <f>E189+E158+E115+E108+E101+E94+E87+E80+E73+E57+E50+E43+E36+E29+E22+E15</f>
        <v>20648182.169999998</v>
      </c>
      <c r="F190" s="20">
        <f>F189+F158+F115+F108+F101+F94+F87+F80+F73+F57+F50+F43+F36+F29+F22+F15</f>
        <v>23045719.539999999</v>
      </c>
      <c r="G190" s="20">
        <f>G189+G158+G115+G108+G101+G94+G87+G80+G73+G57+G50+G43+G36+G29+G22+G15</f>
        <v>2138554.2770000007</v>
      </c>
    </row>
    <row r="191" spans="1:7" ht="15.75" thickTop="1" x14ac:dyDescent="0.25">
      <c r="C191" s="12"/>
      <c r="D191" s="12"/>
      <c r="E191" s="12"/>
      <c r="F191" s="12"/>
      <c r="G191" s="12"/>
    </row>
    <row r="192" spans="1:7" x14ac:dyDescent="0.25">
      <c r="B192" s="13" t="s">
        <v>65</v>
      </c>
      <c r="C192" s="12"/>
      <c r="D192" s="12"/>
      <c r="E192" s="12"/>
      <c r="F192" s="12"/>
      <c r="G192" s="12"/>
    </row>
    <row r="193" spans="2:12" x14ac:dyDescent="0.25">
      <c r="C193" s="12"/>
      <c r="D193" s="12">
        <f>D173+D174+D178+D182+D183+D185+D187</f>
        <v>2509120.736</v>
      </c>
      <c r="E193" s="12">
        <f>E173+E174+E178+E182+E183+E185+E187</f>
        <v>3403183.02</v>
      </c>
      <c r="F193" s="12" t="s">
        <v>168</v>
      </c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B195" s="42" t="s">
        <v>66</v>
      </c>
      <c r="C195" s="12"/>
      <c r="D195" s="12"/>
      <c r="F195" s="12"/>
      <c r="G195" s="12"/>
    </row>
    <row r="196" spans="2:12" x14ac:dyDescent="0.25">
      <c r="B196" s="13" t="s">
        <v>67</v>
      </c>
    </row>
    <row r="200" spans="2:12" x14ac:dyDescent="0.25">
      <c r="C200" s="12"/>
      <c r="D200" s="114" t="s">
        <v>154</v>
      </c>
      <c r="E200" s="114"/>
      <c r="F200" s="12"/>
      <c r="G200" s="12"/>
    </row>
    <row r="201" spans="2:12" x14ac:dyDescent="0.25">
      <c r="C201" s="12"/>
      <c r="D201" s="12" t="s">
        <v>152</v>
      </c>
      <c r="E201" s="12" t="s">
        <v>153</v>
      </c>
      <c r="F201" s="12"/>
      <c r="G201" s="12"/>
      <c r="H201" s="54">
        <v>0.8</v>
      </c>
      <c r="I201" s="12">
        <v>2159415</v>
      </c>
      <c r="L201" s="13">
        <f>20*20</f>
        <v>400</v>
      </c>
    </row>
    <row r="202" spans="2:12" x14ac:dyDescent="0.25">
      <c r="C202" s="12" t="s">
        <v>150</v>
      </c>
      <c r="D202" s="12">
        <f>5518028.2+D46</f>
        <v>6044700.4299999997</v>
      </c>
      <c r="E202" s="12">
        <v>1646631.99</v>
      </c>
      <c r="F202" s="12"/>
      <c r="G202" s="12"/>
      <c r="H202" s="54">
        <v>0.2</v>
      </c>
      <c r="I202" s="12">
        <v>539854</v>
      </c>
      <c r="L202" s="13">
        <f>15*20</f>
        <v>300</v>
      </c>
    </row>
    <row r="203" spans="2:12" x14ac:dyDescent="0.25">
      <c r="C203" s="12" t="s">
        <v>151</v>
      </c>
      <c r="D203" s="12">
        <f>D190-D202</f>
        <v>16896701.723999996</v>
      </c>
      <c r="E203" s="12">
        <v>130701.19</v>
      </c>
      <c r="F203" s="12"/>
      <c r="G203" s="12"/>
      <c r="I203" s="12"/>
    </row>
    <row r="204" spans="2:12" x14ac:dyDescent="0.25">
      <c r="C204" s="53">
        <v>0.2</v>
      </c>
      <c r="D204" s="12"/>
      <c r="E204" s="12">
        <v>133869.85</v>
      </c>
      <c r="F204" s="12"/>
      <c r="G204" s="12"/>
      <c r="I204" s="12"/>
      <c r="L204" s="13">
        <f>SUM(L201:L203)</f>
        <v>700</v>
      </c>
    </row>
    <row r="205" spans="2:12" x14ac:dyDescent="0.25">
      <c r="C205" s="53">
        <v>0.05</v>
      </c>
      <c r="D205" s="12">
        <v>404890.34</v>
      </c>
      <c r="E205" s="12">
        <v>14850</v>
      </c>
      <c r="F205" s="12"/>
      <c r="G205" s="12"/>
      <c r="I205" s="12">
        <f>SUM(I201:I204)</f>
        <v>2699269</v>
      </c>
    </row>
    <row r="206" spans="2:12" x14ac:dyDescent="0.25">
      <c r="C206" s="12" t="s">
        <v>112</v>
      </c>
      <c r="D206" s="12"/>
      <c r="E206" s="12">
        <v>7200</v>
      </c>
      <c r="F206" s="12"/>
      <c r="G206" s="12">
        <f>I205-E190</f>
        <v>-17948913.169999998</v>
      </c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F208" s="12"/>
      <c r="G208" s="12"/>
      <c r="I208" s="12"/>
    </row>
    <row r="209" spans="3:9" x14ac:dyDescent="0.25">
      <c r="C209" s="12" t="s">
        <v>135</v>
      </c>
      <c r="D209" s="12">
        <f>SUM(D202:D208)</f>
        <v>23346292.493999995</v>
      </c>
      <c r="E209" s="12">
        <f>SUM(E202:E207)</f>
        <v>1933253.03</v>
      </c>
      <c r="F209" s="12"/>
      <c r="G209" s="12"/>
      <c r="I209" s="12"/>
    </row>
    <row r="210" spans="3:9" x14ac:dyDescent="0.25">
      <c r="C210" s="12"/>
      <c r="D210" s="12"/>
      <c r="E210" s="12">
        <f>E190-E209</f>
        <v>18714929.139999997</v>
      </c>
      <c r="F210" s="12"/>
      <c r="G210" s="12"/>
      <c r="I210" s="12"/>
    </row>
    <row r="211" spans="3:9" x14ac:dyDescent="0.25">
      <c r="C211" s="12"/>
      <c r="D211" s="12">
        <f>32391227</f>
        <v>32391227</v>
      </c>
      <c r="E211" s="12">
        <f>E209-E190</f>
        <v>-18714929.139999997</v>
      </c>
      <c r="F211" s="12"/>
      <c r="G211" s="12"/>
      <c r="I211" s="12"/>
    </row>
    <row r="212" spans="3:9" x14ac:dyDescent="0.25">
      <c r="C212" s="12"/>
      <c r="D212" s="12">
        <f>D211*5%</f>
        <v>1619561.35</v>
      </c>
      <c r="E212" s="12"/>
      <c r="F212" s="12"/>
      <c r="G212" s="12"/>
    </row>
    <row r="213" spans="3:9" x14ac:dyDescent="0.25">
      <c r="C213" s="12"/>
      <c r="D213" s="12">
        <f>D212/4</f>
        <v>404890.33750000002</v>
      </c>
      <c r="E213" s="12">
        <f>E173+E174</f>
        <v>1177229.73</v>
      </c>
      <c r="F213" s="12"/>
      <c r="G213" s="12"/>
    </row>
    <row r="214" spans="3:9" x14ac:dyDescent="0.25">
      <c r="C214" s="12"/>
      <c r="D214" s="12"/>
      <c r="E214" s="12"/>
      <c r="F214" s="12"/>
      <c r="G214" s="12"/>
    </row>
    <row r="215" spans="3:9" x14ac:dyDescent="0.25">
      <c r="C215" s="12"/>
      <c r="D215" s="12"/>
      <c r="E215" s="12">
        <f>E202+E203</f>
        <v>1777333.18</v>
      </c>
      <c r="F215" s="12"/>
      <c r="G215" s="12"/>
    </row>
    <row r="216" spans="3:9" x14ac:dyDescent="0.25">
      <c r="C216" s="12"/>
      <c r="D216" s="12"/>
      <c r="E216" s="12"/>
      <c r="F216" s="12"/>
      <c r="G216" s="12"/>
    </row>
    <row r="217" spans="3:9" x14ac:dyDescent="0.25">
      <c r="C217" s="12"/>
      <c r="D217" s="12"/>
      <c r="E217" s="12"/>
      <c r="F217" s="12"/>
      <c r="G217" s="12"/>
    </row>
    <row r="218" spans="3:9" x14ac:dyDescent="0.25">
      <c r="C218" s="12"/>
      <c r="D218" s="12"/>
      <c r="E218" s="12"/>
      <c r="F218" s="12"/>
      <c r="G218" s="12"/>
    </row>
    <row r="219" spans="3:9" x14ac:dyDescent="0.25">
      <c r="C219" s="12"/>
      <c r="D219" s="12"/>
      <c r="E219" s="12"/>
      <c r="F219" s="12"/>
      <c r="G219" s="12"/>
    </row>
    <row r="220" spans="3:9" x14ac:dyDescent="0.25">
      <c r="C220" s="12"/>
      <c r="D220" s="12"/>
      <c r="E220" s="12"/>
      <c r="F220" s="12"/>
      <c r="G220" s="12"/>
    </row>
    <row r="221" spans="3:9" x14ac:dyDescent="0.25">
      <c r="C221" s="12"/>
      <c r="D221" s="12"/>
      <c r="E221" s="12"/>
      <c r="F221" s="12"/>
      <c r="G221" s="12"/>
    </row>
    <row r="222" spans="3:9" x14ac:dyDescent="0.25">
      <c r="C222" s="12"/>
      <c r="D222" s="12"/>
      <c r="E222" s="12"/>
      <c r="F222" s="12"/>
      <c r="G222" s="12"/>
    </row>
    <row r="223" spans="3:9" x14ac:dyDescent="0.25">
      <c r="C223" s="12"/>
      <c r="D223" s="12"/>
      <c r="E223" s="12"/>
      <c r="F223" s="12"/>
      <c r="G223" s="12"/>
    </row>
    <row r="224" spans="3:9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>
        <f>20*25</f>
        <v>500</v>
      </c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</sheetData>
  <mergeCells count="21"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  <mergeCell ref="D200:E200"/>
    <mergeCell ref="A125:A126"/>
    <mergeCell ref="B125:B126"/>
    <mergeCell ref="C125:C126"/>
    <mergeCell ref="D125:D126"/>
    <mergeCell ref="E125:E126"/>
    <mergeCell ref="A168:A169"/>
    <mergeCell ref="B168:B169"/>
    <mergeCell ref="C168:C169"/>
    <mergeCell ref="D168:D169"/>
    <mergeCell ref="E168:E169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4" sqref="F14"/>
    </sheetView>
  </sheetViews>
  <sheetFormatPr defaultRowHeight="15" x14ac:dyDescent="0.25"/>
  <cols>
    <col min="1" max="1" width="12.7109375" customWidth="1"/>
    <col min="2" max="2" width="20.140625" customWidth="1"/>
    <col min="3" max="3" width="15.28515625" customWidth="1"/>
    <col min="8" max="8" width="13.140625" customWidth="1"/>
  </cols>
  <sheetData>
    <row r="1" spans="1:8" ht="18.75" x14ac:dyDescent="0.3">
      <c r="A1" s="72"/>
      <c r="B1" s="72" t="s">
        <v>172</v>
      </c>
      <c r="C1" s="72" t="s">
        <v>173</v>
      </c>
      <c r="H1" s="1">
        <v>151003.57999999999</v>
      </c>
    </row>
    <row r="2" spans="1:8" ht="18.75" x14ac:dyDescent="0.3">
      <c r="A2" s="72" t="s">
        <v>118</v>
      </c>
      <c r="B2" s="73">
        <f>200000-35000</f>
        <v>165000</v>
      </c>
      <c r="C2" s="73"/>
      <c r="H2" s="1">
        <v>271467.74</v>
      </c>
    </row>
    <row r="3" spans="1:8" ht="18.75" x14ac:dyDescent="0.3">
      <c r="A3" s="72" t="s">
        <v>174</v>
      </c>
      <c r="B3" s="74">
        <f>575119/2</f>
        <v>287559.5</v>
      </c>
      <c r="C3" s="73"/>
      <c r="H3" s="1">
        <v>287522.28000000003</v>
      </c>
    </row>
    <row r="4" spans="1:8" ht="18.75" x14ac:dyDescent="0.3">
      <c r="A4" s="72" t="s">
        <v>175</v>
      </c>
      <c r="B4" s="73">
        <f>575119-46200-46200</f>
        <v>482719</v>
      </c>
      <c r="C4" s="73"/>
      <c r="H4" s="1">
        <v>78391.92</v>
      </c>
    </row>
    <row r="5" spans="1:8" ht="18.75" x14ac:dyDescent="0.3">
      <c r="A5" s="72" t="s">
        <v>176</v>
      </c>
      <c r="B5" s="73">
        <v>125922</v>
      </c>
      <c r="C5" s="73"/>
      <c r="H5" s="1">
        <v>110192.55</v>
      </c>
    </row>
    <row r="6" spans="1:8" ht="18.75" x14ac:dyDescent="0.3">
      <c r="A6" s="72" t="s">
        <v>132</v>
      </c>
      <c r="B6" s="73">
        <f>46200*2</f>
        <v>92400</v>
      </c>
      <c r="C6" s="73"/>
      <c r="H6" s="1">
        <v>115907.96</v>
      </c>
    </row>
    <row r="7" spans="1:8" ht="18.75" x14ac:dyDescent="0.3">
      <c r="A7" s="72"/>
      <c r="B7" s="73"/>
      <c r="C7" s="73"/>
    </row>
    <row r="8" spans="1:8" ht="18.75" x14ac:dyDescent="0.3">
      <c r="A8" s="72"/>
      <c r="B8" s="73"/>
      <c r="C8" s="73"/>
    </row>
    <row r="9" spans="1:8" ht="18.75" x14ac:dyDescent="0.3">
      <c r="A9" s="72"/>
      <c r="B9" s="73"/>
      <c r="C9" s="73"/>
      <c r="H9" s="3">
        <f>SUM(H1:H8)</f>
        <v>1014486.03</v>
      </c>
    </row>
    <row r="10" spans="1:8" ht="18.75" x14ac:dyDescent="0.3">
      <c r="A10" s="72"/>
      <c r="B10" s="73"/>
      <c r="C10" s="73"/>
    </row>
    <row r="11" spans="1:8" ht="19.5" thickBot="1" x14ac:dyDescent="0.35">
      <c r="A11" s="72" t="s">
        <v>27</v>
      </c>
      <c r="B11" s="75">
        <f>SUM(B2:B10)</f>
        <v>1153600.5</v>
      </c>
      <c r="C11" s="73"/>
    </row>
    <row r="12" spans="1:8" x14ac:dyDescent="0.25">
      <c r="B12" s="1"/>
      <c r="C12" s="1"/>
    </row>
    <row r="13" spans="1:8" x14ac:dyDescent="0.25">
      <c r="B13" s="1"/>
      <c r="C13" s="1"/>
    </row>
    <row r="14" spans="1:8" x14ac:dyDescent="0.25">
      <c r="B14" s="1"/>
      <c r="C14" s="1"/>
    </row>
    <row r="15" spans="1:8" x14ac:dyDescent="0.25">
      <c r="B15" s="1"/>
      <c r="C15" s="1"/>
    </row>
    <row r="16" spans="1:8" x14ac:dyDescent="0.25">
      <c r="B16" s="1"/>
      <c r="C16" s="1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topLeftCell="A115" workbookViewId="0">
      <selection activeCell="A139" sqref="A139"/>
    </sheetView>
  </sheetViews>
  <sheetFormatPr defaultRowHeight="15" x14ac:dyDescent="0.25"/>
  <cols>
    <col min="1" max="1" width="6.28515625" style="13" customWidth="1"/>
    <col min="2" max="2" width="37.85546875" style="13" customWidth="1"/>
    <col min="3" max="3" width="15" style="13" customWidth="1"/>
    <col min="4" max="4" width="13.85546875" style="13" customWidth="1"/>
    <col min="5" max="5" width="15" style="13" customWidth="1"/>
    <col min="6" max="6" width="15.85546875" style="13" customWidth="1"/>
    <col min="7" max="7" width="14.42578125" style="13" customWidth="1"/>
    <col min="8" max="8" width="13.85546875" style="13" bestFit="1" customWidth="1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G1" s="13" t="s">
        <v>268</v>
      </c>
    </row>
    <row r="4" spans="1:19" x14ac:dyDescent="0.25">
      <c r="A4" s="126" t="s">
        <v>263</v>
      </c>
      <c r="B4" s="126"/>
      <c r="C4" s="126"/>
      <c r="D4" s="126"/>
      <c r="E4" s="126"/>
      <c r="F4" s="126"/>
      <c r="G4" s="126"/>
    </row>
    <row r="5" spans="1:19" x14ac:dyDescent="0.25">
      <c r="A5" s="128" t="s">
        <v>264</v>
      </c>
      <c r="B5" s="128"/>
      <c r="C5" s="128"/>
      <c r="D5" s="128"/>
      <c r="E5" s="128"/>
      <c r="F5" s="128"/>
      <c r="G5" s="128"/>
    </row>
    <row r="6" spans="1:19" x14ac:dyDescent="0.25">
      <c r="A6" s="126" t="s">
        <v>0</v>
      </c>
      <c r="B6" s="126"/>
      <c r="C6" s="126"/>
      <c r="D6" s="126"/>
      <c r="E6" s="126"/>
      <c r="F6" s="126"/>
      <c r="G6" s="126"/>
    </row>
    <row r="7" spans="1:19" x14ac:dyDescent="0.25">
      <c r="A7" s="109"/>
      <c r="B7" s="109"/>
      <c r="C7" s="109"/>
      <c r="D7" s="109"/>
      <c r="E7" s="109"/>
      <c r="F7" s="109"/>
      <c r="G7" s="109"/>
    </row>
    <row r="8" spans="1:19" ht="15.75" x14ac:dyDescent="0.25">
      <c r="A8" s="125" t="s">
        <v>274</v>
      </c>
      <c r="B8" s="125"/>
      <c r="C8" s="125"/>
      <c r="D8" s="125"/>
      <c r="E8" s="125"/>
      <c r="F8" s="125"/>
      <c r="G8" s="125"/>
      <c r="J8" s="12">
        <v>50000</v>
      </c>
      <c r="K8" s="13" t="s">
        <v>68</v>
      </c>
      <c r="M8" s="12">
        <v>33000</v>
      </c>
      <c r="N8" s="13" t="s">
        <v>73</v>
      </c>
    </row>
    <row r="9" spans="1:19" ht="15.75" x14ac:dyDescent="0.25">
      <c r="A9" s="125" t="s">
        <v>2</v>
      </c>
      <c r="B9" s="125"/>
      <c r="C9" s="125"/>
      <c r="D9" s="125"/>
      <c r="E9" s="125"/>
      <c r="F9" s="125"/>
      <c r="G9" s="125"/>
      <c r="J9" s="12">
        <v>24000</v>
      </c>
      <c r="K9" s="13" t="s">
        <v>70</v>
      </c>
      <c r="M9" s="12">
        <v>46000</v>
      </c>
      <c r="N9" s="13" t="s">
        <v>74</v>
      </c>
    </row>
    <row r="10" spans="1:19" x14ac:dyDescent="0.25">
      <c r="A10" s="127" t="s">
        <v>256</v>
      </c>
      <c r="B10" s="127"/>
      <c r="C10" s="127"/>
      <c r="D10" s="127"/>
      <c r="E10" s="127"/>
      <c r="F10" s="127"/>
      <c r="G10" s="127"/>
      <c r="J10" s="12">
        <v>70000</v>
      </c>
      <c r="M10" s="12">
        <v>52000</v>
      </c>
      <c r="N10" s="13" t="s">
        <v>75</v>
      </c>
      <c r="R10" s="12">
        <v>52000</v>
      </c>
      <c r="S10" s="12">
        <v>45000</v>
      </c>
    </row>
    <row r="11" spans="1:19" x14ac:dyDescent="0.25">
      <c r="A11" s="13" t="s">
        <v>148</v>
      </c>
      <c r="J11" s="12"/>
      <c r="M11" s="12">
        <v>28000</v>
      </c>
      <c r="N11" s="13" t="s">
        <v>76</v>
      </c>
      <c r="S11" s="12">
        <v>15000</v>
      </c>
    </row>
    <row r="12" spans="1:19" x14ac:dyDescent="0.25">
      <c r="A12" s="115" t="s">
        <v>3</v>
      </c>
      <c r="B12" s="115" t="s">
        <v>4</v>
      </c>
      <c r="C12" s="115" t="s">
        <v>5</v>
      </c>
      <c r="D12" s="115" t="s">
        <v>6</v>
      </c>
      <c r="E12" s="115" t="s">
        <v>7</v>
      </c>
      <c r="F12" s="15" t="s">
        <v>8</v>
      </c>
      <c r="G12" s="15" t="s">
        <v>8</v>
      </c>
      <c r="I12" s="12"/>
      <c r="J12" s="12"/>
      <c r="M12" s="12"/>
      <c r="R12" s="12">
        <v>10000</v>
      </c>
      <c r="S12" s="12">
        <v>40000</v>
      </c>
    </row>
    <row r="13" spans="1:19" ht="15.75" thickBot="1" x14ac:dyDescent="0.3">
      <c r="A13" s="116"/>
      <c r="B13" s="116"/>
      <c r="C13" s="116"/>
      <c r="D13" s="116"/>
      <c r="E13" s="116"/>
      <c r="F13" s="16" t="s">
        <v>5</v>
      </c>
      <c r="G13" s="16" t="s">
        <v>6</v>
      </c>
      <c r="I13" s="12"/>
      <c r="J13" s="12">
        <v>130000</v>
      </c>
      <c r="K13" s="13" t="s">
        <v>69</v>
      </c>
      <c r="M13" s="23">
        <f>SUM(M8:M12)</f>
        <v>159000</v>
      </c>
      <c r="R13" s="12">
        <v>2000</v>
      </c>
      <c r="S13" s="12">
        <v>45000</v>
      </c>
    </row>
    <row r="14" spans="1:19" ht="15.75" thickTop="1" x14ac:dyDescent="0.25">
      <c r="A14" s="24" t="s">
        <v>257</v>
      </c>
      <c r="B14" s="17" t="s">
        <v>258</v>
      </c>
      <c r="C14" s="17"/>
      <c r="D14" s="17"/>
      <c r="E14" s="17"/>
      <c r="F14" s="17"/>
      <c r="G14" s="17"/>
      <c r="I14" s="12"/>
      <c r="J14" s="12">
        <v>54000</v>
      </c>
      <c r="K14" s="13" t="s">
        <v>71</v>
      </c>
      <c r="M14" s="12"/>
      <c r="R14" s="12">
        <v>45000</v>
      </c>
      <c r="S14" s="12">
        <v>40000</v>
      </c>
    </row>
    <row r="15" spans="1:19" x14ac:dyDescent="0.25">
      <c r="A15" s="25"/>
      <c r="B15" s="18"/>
      <c r="C15" s="18"/>
      <c r="D15" s="18"/>
      <c r="E15" s="18"/>
      <c r="F15" s="18"/>
      <c r="G15" s="18"/>
      <c r="I15" s="12">
        <f>8428.54/6</f>
        <v>1404.7566666666669</v>
      </c>
      <c r="J15" s="12"/>
      <c r="K15" s="13" t="s">
        <v>72</v>
      </c>
      <c r="M15" s="12"/>
      <c r="R15" s="12">
        <v>10000</v>
      </c>
      <c r="S15" s="12">
        <v>25000</v>
      </c>
    </row>
    <row r="16" spans="1:19" x14ac:dyDescent="0.25">
      <c r="A16" s="25">
        <v>1000</v>
      </c>
      <c r="B16" s="26" t="s">
        <v>9</v>
      </c>
      <c r="C16" s="18"/>
      <c r="D16" s="2"/>
      <c r="E16" s="2"/>
      <c r="F16" s="2"/>
      <c r="G16" s="2"/>
      <c r="I16" s="12">
        <f>14568.64/9</f>
        <v>1618.7377777777776</v>
      </c>
      <c r="J16" s="12"/>
      <c r="M16" s="12">
        <v>16000</v>
      </c>
      <c r="N16" s="13" t="s">
        <v>77</v>
      </c>
      <c r="S16" s="12">
        <v>14000</v>
      </c>
    </row>
    <row r="17" spans="1:19" x14ac:dyDescent="0.25">
      <c r="A17" s="25"/>
      <c r="B17" s="27" t="s">
        <v>11</v>
      </c>
      <c r="C17" s="2">
        <f>1738387.04+8585093.16+1080068.32+833611.96+686641.8+1170532.04+1726562.96+858385.92+1199582.96</f>
        <v>17878866.16</v>
      </c>
      <c r="D17" s="2">
        <f>1738387.04+8585093.16+1080068.32+833611.96+686641.8+1170532.04+1726562.96+858385.92+1199582.96</f>
        <v>17878866.16</v>
      </c>
      <c r="E17" s="2">
        <f>1781522.44+8073236.21+1079771.44+833074.64+686641.8+625959.04+1726202+843307.22+616112.98</f>
        <v>16265827.770000001</v>
      </c>
      <c r="F17" s="2">
        <f>C17-E17</f>
        <v>1613038.3899999987</v>
      </c>
      <c r="G17" s="2">
        <f>D17-E17</f>
        <v>1613038.3899999987</v>
      </c>
      <c r="H17" s="2">
        <f>1738387.04+8585093.16+1080068.32+833611.96+686641.8+1170532.04+1726562.96+858385.92+1199582.96</f>
        <v>17878866.16</v>
      </c>
      <c r="J17" s="12">
        <v>2000</v>
      </c>
      <c r="M17" s="12">
        <v>9000</v>
      </c>
      <c r="R17" s="12"/>
      <c r="S17" s="12"/>
    </row>
    <row r="18" spans="1:19" x14ac:dyDescent="0.25">
      <c r="A18" s="25"/>
      <c r="B18" s="27" t="s">
        <v>12</v>
      </c>
      <c r="C18" s="2">
        <f>1215123.27+1180936.36+151285.45+118966.2+824008.79+114943.85+225508+380872.05+123432.95+38596+430000+120000+300000+200000+145000+40000+150000+75000+1500000+100000</f>
        <v>7433672.9200000009</v>
      </c>
      <c r="D18" s="2">
        <f>1215123.27+1180936.36+151285.45+118966.2+824008.79+114943.85+225508+380872.05+123432.95+38596+430000+120000+300000+200000+145000+40000+150000+75000+1500000+100000</f>
        <v>7433672.9200000009</v>
      </c>
      <c r="E18" s="2">
        <f>1233607.32+778701+50285+69309+66294.25+129313.79+287427.84+108070+771558.22+113267.59+74991.05+124663+14965+1775+1922255+51845</f>
        <v>5798328.0599999996</v>
      </c>
      <c r="F18" s="2">
        <f t="shared" ref="F18:F19" si="0">C18-E18</f>
        <v>1635344.8600000013</v>
      </c>
      <c r="G18" s="2">
        <f t="shared" ref="G18:G19" si="1">D18-E18</f>
        <v>1635344.8600000013</v>
      </c>
      <c r="H18" s="2">
        <f>1215123.27+1180936.36+151285.45+118966.2+824008.79+114943.85+225508+380872.05+123432.95+38596+430000+120000+300000+200000+145000+40000+150000+75000+1500000+100000</f>
        <v>7433672.9200000009</v>
      </c>
      <c r="J18" s="12">
        <v>2000</v>
      </c>
      <c r="L18" s="12"/>
      <c r="M18" s="12">
        <v>10000</v>
      </c>
      <c r="R18" s="12"/>
      <c r="S18" s="12"/>
    </row>
    <row r="19" spans="1:19" x14ac:dyDescent="0.25">
      <c r="A19" s="25"/>
      <c r="B19" s="27" t="s">
        <v>13</v>
      </c>
      <c r="C19" s="2">
        <f>150000+500000+120000+30000+80000+25000+35000+25000+60000+30000</f>
        <v>1055000</v>
      </c>
      <c r="D19" s="2">
        <f>150000+500000+120000+30000+80000+25000+35000+25000+60000+30000</f>
        <v>1055000</v>
      </c>
      <c r="E19" s="2">
        <f>220000+124695+4950+8995+25000+55740+30000+500000+300000</f>
        <v>1269380</v>
      </c>
      <c r="F19" s="2">
        <f t="shared" si="0"/>
        <v>-214380</v>
      </c>
      <c r="G19" s="2">
        <f t="shared" si="1"/>
        <v>-214380</v>
      </c>
      <c r="H19" s="12">
        <v>9055000</v>
      </c>
      <c r="I19" s="12"/>
      <c r="J19" s="12">
        <v>500</v>
      </c>
      <c r="L19" s="12"/>
      <c r="M19" s="12"/>
      <c r="R19" s="12"/>
      <c r="S19" s="12"/>
    </row>
    <row r="20" spans="1:19" x14ac:dyDescent="0.25">
      <c r="A20" s="25"/>
      <c r="B20" s="27" t="s">
        <v>14</v>
      </c>
      <c r="C20" s="2"/>
      <c r="D20" s="2"/>
      <c r="E20" s="2"/>
      <c r="F20" s="2"/>
      <c r="G20" s="2"/>
      <c r="I20" s="12">
        <f>17.88*44</f>
        <v>786.71999999999991</v>
      </c>
      <c r="J20" s="12">
        <v>25000</v>
      </c>
      <c r="L20" s="12">
        <v>15</v>
      </c>
      <c r="R20" s="12"/>
      <c r="S20" s="12"/>
    </row>
    <row r="21" spans="1:19" x14ac:dyDescent="0.25">
      <c r="A21" s="25"/>
      <c r="B21" s="28" t="s">
        <v>27</v>
      </c>
      <c r="C21" s="8">
        <f t="shared" ref="C21:H21" si="2">SUM(C17:C20)</f>
        <v>26367539.080000002</v>
      </c>
      <c r="D21" s="8">
        <f t="shared" si="2"/>
        <v>26367539.080000002</v>
      </c>
      <c r="E21" s="8">
        <f t="shared" si="2"/>
        <v>23333535.830000002</v>
      </c>
      <c r="F21" s="8">
        <f t="shared" si="2"/>
        <v>3034003.25</v>
      </c>
      <c r="G21" s="8">
        <f t="shared" si="2"/>
        <v>3034003.25</v>
      </c>
      <c r="H21" s="14">
        <f t="shared" si="2"/>
        <v>34367539.079999998</v>
      </c>
      <c r="I21" s="12"/>
      <c r="J21" s="12">
        <v>1500</v>
      </c>
      <c r="L21" s="12">
        <v>49</v>
      </c>
      <c r="M21" s="14">
        <f>SUM(M16:M20)</f>
        <v>35000</v>
      </c>
      <c r="R21" s="12">
        <f>SUM(R10:R20)</f>
        <v>119000</v>
      </c>
      <c r="S21" s="12">
        <f>SUM(S10:S20)</f>
        <v>224000</v>
      </c>
    </row>
    <row r="22" spans="1:19" x14ac:dyDescent="0.25">
      <c r="A22" s="25"/>
      <c r="B22" s="18"/>
      <c r="C22" s="2"/>
      <c r="D22" s="2"/>
      <c r="E22" s="2"/>
      <c r="F22" s="2"/>
      <c r="G22" s="2"/>
      <c r="I22" s="12"/>
      <c r="J22" s="12">
        <v>500</v>
      </c>
      <c r="L22" s="12">
        <v>27</v>
      </c>
      <c r="R22" s="12">
        <f>R21-54000</f>
        <v>65000</v>
      </c>
      <c r="S22" s="14">
        <f>S21-130000</f>
        <v>94000</v>
      </c>
    </row>
    <row r="23" spans="1:19" x14ac:dyDescent="0.25">
      <c r="A23" s="25">
        <v>4000</v>
      </c>
      <c r="B23" s="26" t="s">
        <v>259</v>
      </c>
      <c r="C23" s="2"/>
      <c r="D23" s="2"/>
      <c r="E23" s="2"/>
      <c r="F23" s="2"/>
      <c r="G23" s="2"/>
      <c r="I23" s="12"/>
      <c r="J23" s="12">
        <v>10000</v>
      </c>
      <c r="L23" s="12"/>
      <c r="M23" s="14">
        <v>2000</v>
      </c>
      <c r="N23" s="13" t="s">
        <v>84</v>
      </c>
      <c r="R23" s="12"/>
      <c r="S23" s="14">
        <f>R22+S22</f>
        <v>159000</v>
      </c>
    </row>
    <row r="24" spans="1:19" x14ac:dyDescent="0.25">
      <c r="A24" s="25"/>
      <c r="B24" s="27" t="s">
        <v>11</v>
      </c>
      <c r="C24" s="2">
        <f>1224893.68+3169869.2</f>
        <v>4394762.88</v>
      </c>
      <c r="D24" s="2">
        <f>1224893.68+3169869.2</f>
        <v>4394762.88</v>
      </c>
      <c r="E24" s="2">
        <f>3150692.84+1115406.84</f>
        <v>4266099.68</v>
      </c>
      <c r="F24" s="2">
        <f>C24-E24</f>
        <v>128663.20000000019</v>
      </c>
      <c r="G24" s="2">
        <f>D24-E24</f>
        <v>128663.20000000019</v>
      </c>
      <c r="I24" s="12"/>
      <c r="J24" s="12">
        <v>5000</v>
      </c>
      <c r="L24" s="12">
        <f>SUM(L20:L23)</f>
        <v>91</v>
      </c>
      <c r="M24" s="12">
        <v>8000</v>
      </c>
      <c r="R24" s="12"/>
    </row>
    <row r="25" spans="1:19" x14ac:dyDescent="0.25">
      <c r="A25" s="25"/>
      <c r="B25" s="27" t="s">
        <v>12</v>
      </c>
      <c r="C25" s="2">
        <f>192388+208968+150000+70000</f>
        <v>621356</v>
      </c>
      <c r="D25" s="2">
        <f>192388+208968+150000+70000</f>
        <v>621356</v>
      </c>
      <c r="E25" s="2">
        <f>120975+197865.02+1021</f>
        <v>319861.02</v>
      </c>
      <c r="F25" s="2">
        <f>C25-E25</f>
        <v>301494.98</v>
      </c>
      <c r="G25" s="2">
        <f>D25-E25</f>
        <v>301494.98</v>
      </c>
      <c r="I25" s="12"/>
      <c r="J25" s="12">
        <v>3000</v>
      </c>
      <c r="L25" s="14">
        <f>L24-58</f>
        <v>33</v>
      </c>
      <c r="M25" s="12">
        <v>40000</v>
      </c>
      <c r="N25" s="13" t="s">
        <v>82</v>
      </c>
      <c r="R25" s="12"/>
    </row>
    <row r="26" spans="1:19" x14ac:dyDescent="0.25">
      <c r="A26" s="25"/>
      <c r="B26" s="27" t="s">
        <v>13</v>
      </c>
      <c r="C26" s="2">
        <v>30000</v>
      </c>
      <c r="D26" s="2">
        <v>30000</v>
      </c>
      <c r="E26" s="2">
        <v>7797</v>
      </c>
      <c r="F26" s="2">
        <f>C26-E26</f>
        <v>22203</v>
      </c>
      <c r="G26" s="2">
        <f>D26-E26</f>
        <v>22203</v>
      </c>
      <c r="I26" s="12"/>
      <c r="J26" s="12">
        <v>3000</v>
      </c>
      <c r="M26" s="12">
        <v>45000</v>
      </c>
      <c r="N26" s="13" t="s">
        <v>79</v>
      </c>
      <c r="R26" s="12"/>
    </row>
    <row r="27" spans="1:19" x14ac:dyDescent="0.25">
      <c r="A27" s="25"/>
      <c r="B27" s="27" t="s">
        <v>14</v>
      </c>
      <c r="C27" s="2"/>
      <c r="D27" s="2"/>
      <c r="E27" s="2"/>
      <c r="F27" s="2"/>
      <c r="G27" s="2"/>
      <c r="J27" s="12">
        <f>7*1500</f>
        <v>10500</v>
      </c>
      <c r="M27" s="12">
        <v>14000</v>
      </c>
      <c r="N27" s="13" t="s">
        <v>78</v>
      </c>
      <c r="R27" s="12"/>
    </row>
    <row r="28" spans="1:19" x14ac:dyDescent="0.25">
      <c r="A28" s="25"/>
      <c r="B28" s="28" t="s">
        <v>27</v>
      </c>
      <c r="C28" s="8">
        <f>SUM(C24:C27)</f>
        <v>5046118.88</v>
      </c>
      <c r="D28" s="8">
        <f>SUM(D24:D27)</f>
        <v>5046118.88</v>
      </c>
      <c r="E28" s="8">
        <f>SUM(E24:E27)</f>
        <v>4593757.6999999993</v>
      </c>
      <c r="F28" s="8">
        <f>SUM(F24:F27)</f>
        <v>452361.18000000017</v>
      </c>
      <c r="G28" s="8">
        <f>SUM(G24:G27)</f>
        <v>452361.18000000017</v>
      </c>
      <c r="J28" s="12">
        <f>SUM(J17:J27)</f>
        <v>63000</v>
      </c>
      <c r="M28" s="14">
        <v>15000</v>
      </c>
      <c r="N28" s="13" t="s">
        <v>83</v>
      </c>
      <c r="R28" s="12"/>
    </row>
    <row r="29" spans="1:19" x14ac:dyDescent="0.25">
      <c r="A29" s="25"/>
      <c r="B29" s="18"/>
      <c r="C29" s="2"/>
      <c r="D29" s="2"/>
      <c r="E29" s="2"/>
      <c r="F29" s="2"/>
      <c r="G29" s="2"/>
      <c r="J29" s="12">
        <f>J28-12500</f>
        <v>50500</v>
      </c>
      <c r="M29" s="14">
        <v>25000</v>
      </c>
      <c r="N29" s="13" t="s">
        <v>80</v>
      </c>
      <c r="R29" s="12"/>
    </row>
    <row r="30" spans="1:19" x14ac:dyDescent="0.25">
      <c r="A30" s="25">
        <v>8000</v>
      </c>
      <c r="B30" s="26" t="s">
        <v>260</v>
      </c>
      <c r="C30" s="2"/>
      <c r="D30" s="2"/>
      <c r="E30" s="2"/>
      <c r="F30" s="2"/>
      <c r="G30" s="2"/>
      <c r="J30" s="12">
        <v>34000</v>
      </c>
      <c r="M30" s="14">
        <v>10000</v>
      </c>
      <c r="N30" s="13" t="s">
        <v>81</v>
      </c>
      <c r="R30" s="12"/>
    </row>
    <row r="31" spans="1:19" ht="15.75" thickBot="1" x14ac:dyDescent="0.3">
      <c r="A31" s="25"/>
      <c r="B31" s="27" t="s">
        <v>11</v>
      </c>
      <c r="C31" s="2">
        <f>927669.04+1134720.48</f>
        <v>2062389.52</v>
      </c>
      <c r="D31" s="2">
        <f>927669.04+1134720.48</f>
        <v>2062389.52</v>
      </c>
      <c r="E31" s="2">
        <f>852991.75+1131539.23</f>
        <v>1984530.98</v>
      </c>
      <c r="F31" s="2">
        <f>C31-E31</f>
        <v>77858.540000000037</v>
      </c>
      <c r="G31" s="2">
        <f>D31-E31</f>
        <v>77858.540000000037</v>
      </c>
      <c r="J31" s="23">
        <f>J29-J30</f>
        <v>16500</v>
      </c>
      <c r="M31" s="14">
        <f>SUM(M23:M30)</f>
        <v>159000</v>
      </c>
      <c r="R31" s="12"/>
    </row>
    <row r="32" spans="1:19" ht="15.75" thickTop="1" x14ac:dyDescent="0.25">
      <c r="A32" s="25"/>
      <c r="B32" s="27" t="s">
        <v>12</v>
      </c>
      <c r="C32" s="2">
        <f>103520+67403.05+130000+300000+20000+15000+600000+50000+455427.6+1200000+100000</f>
        <v>3041350.65</v>
      </c>
      <c r="D32" s="2">
        <f>103520+67403.05+130000+300000+20000+15000+600000+50000+455427.6+1200000+100000</f>
        <v>3041350.65</v>
      </c>
      <c r="E32" s="2">
        <f>59241+59514+96861+4450+14993+119539.43+8500+705263</f>
        <v>1068361.43</v>
      </c>
      <c r="F32" s="2">
        <f>C32-E32</f>
        <v>1972989.22</v>
      </c>
      <c r="G32" s="2">
        <f>D32-E32</f>
        <v>1972989.22</v>
      </c>
      <c r="J32" s="12"/>
      <c r="L32" s="12">
        <v>300</v>
      </c>
      <c r="M32" s="12">
        <v>5000</v>
      </c>
      <c r="R32" s="12"/>
    </row>
    <row r="33" spans="1:18" x14ac:dyDescent="0.25">
      <c r="A33" s="18"/>
      <c r="B33" s="27" t="s">
        <v>13</v>
      </c>
      <c r="C33" s="2">
        <f>150000+500000+200000</f>
        <v>850000</v>
      </c>
      <c r="D33" s="2">
        <f>150000+500000+200000</f>
        <v>850000</v>
      </c>
      <c r="E33" s="2">
        <f>102131.9+700000</f>
        <v>802131.9</v>
      </c>
      <c r="F33" s="2">
        <f>C33-E33</f>
        <v>47868.099999999977</v>
      </c>
      <c r="G33" s="2">
        <f>D33-E33</f>
        <v>47868.099999999977</v>
      </c>
      <c r="J33" s="12"/>
      <c r="L33" s="12">
        <v>1000</v>
      </c>
      <c r="M33" s="12">
        <v>2958</v>
      </c>
      <c r="R33" s="12"/>
    </row>
    <row r="34" spans="1:18" x14ac:dyDescent="0.25">
      <c r="A34" s="18"/>
      <c r="B34" s="27" t="s">
        <v>14</v>
      </c>
      <c r="C34" s="2"/>
      <c r="D34" s="2"/>
      <c r="E34" s="2"/>
      <c r="F34" s="2"/>
      <c r="G34" s="2"/>
      <c r="J34" s="12"/>
      <c r="L34" s="12">
        <v>500</v>
      </c>
      <c r="M34" s="12">
        <v>3650.5</v>
      </c>
      <c r="R34" s="12"/>
    </row>
    <row r="35" spans="1:18" x14ac:dyDescent="0.25">
      <c r="A35" s="18"/>
      <c r="B35" s="28" t="s">
        <v>27</v>
      </c>
      <c r="C35" s="8">
        <f>SUM(C31:C34)</f>
        <v>5953740.1699999999</v>
      </c>
      <c r="D35" s="8">
        <f>SUM(D31:D34)</f>
        <v>5953740.1699999999</v>
      </c>
      <c r="E35" s="8">
        <f>SUM(E31:E34)</f>
        <v>3855024.31</v>
      </c>
      <c r="F35" s="8">
        <f>SUM(F31:F34)</f>
        <v>2098715.86</v>
      </c>
      <c r="G35" s="8">
        <f>SUM(G31:G34)</f>
        <v>2098715.86</v>
      </c>
      <c r="L35" s="12">
        <v>100</v>
      </c>
      <c r="M35" s="12">
        <v>5302.5</v>
      </c>
    </row>
    <row r="36" spans="1:18" x14ac:dyDescent="0.25">
      <c r="A36" s="18"/>
      <c r="B36" s="18"/>
      <c r="C36" s="2"/>
      <c r="D36" s="2"/>
      <c r="E36" s="2"/>
      <c r="F36" s="2"/>
      <c r="G36" s="2"/>
      <c r="L36" s="12"/>
      <c r="M36" s="12">
        <v>3350</v>
      </c>
    </row>
    <row r="37" spans="1:18" x14ac:dyDescent="0.25">
      <c r="A37" s="25"/>
      <c r="B37" s="26" t="s">
        <v>262</v>
      </c>
      <c r="C37" s="2"/>
      <c r="D37" s="2"/>
      <c r="E37" s="2"/>
      <c r="F37" s="2"/>
      <c r="G37" s="2"/>
      <c r="L37" s="12"/>
      <c r="M37" s="12">
        <v>2000</v>
      </c>
    </row>
    <row r="38" spans="1:18" x14ac:dyDescent="0.25">
      <c r="A38" s="25"/>
      <c r="B38" s="27" t="s">
        <v>11</v>
      </c>
      <c r="C38" s="2"/>
      <c r="D38" s="2"/>
      <c r="E38" s="2"/>
      <c r="F38" s="2"/>
      <c r="G38" s="2"/>
      <c r="L38" s="12"/>
      <c r="M38" s="12">
        <v>1248.75</v>
      </c>
    </row>
    <row r="39" spans="1:18" x14ac:dyDescent="0.25">
      <c r="A39" s="25"/>
      <c r="B39" s="27" t="s">
        <v>12</v>
      </c>
      <c r="C39" s="2">
        <f>375000+250000</f>
        <v>625000</v>
      </c>
      <c r="D39" s="2">
        <f>375000+250000</f>
        <v>625000</v>
      </c>
      <c r="E39" s="2">
        <f>25323.19+9000</f>
        <v>34323.19</v>
      </c>
      <c r="F39" s="2">
        <f>C39-E39</f>
        <v>590676.81000000006</v>
      </c>
      <c r="G39" s="2">
        <f>D39-E39</f>
        <v>590676.81000000006</v>
      </c>
      <c r="L39" s="12"/>
      <c r="M39" s="12">
        <v>15000</v>
      </c>
    </row>
    <row r="40" spans="1:18" x14ac:dyDescent="0.25">
      <c r="A40" s="25"/>
      <c r="B40" s="27" t="s">
        <v>13</v>
      </c>
      <c r="C40" s="2"/>
      <c r="D40" s="2"/>
      <c r="E40" s="2"/>
      <c r="F40" s="2">
        <f>C40-E40</f>
        <v>0</v>
      </c>
      <c r="G40" s="2">
        <f>D40-E40</f>
        <v>0</v>
      </c>
      <c r="L40" s="12"/>
      <c r="M40" s="12">
        <v>14000</v>
      </c>
    </row>
    <row r="41" spans="1:18" x14ac:dyDescent="0.25">
      <c r="A41" s="25"/>
      <c r="B41" s="27" t="s">
        <v>14</v>
      </c>
      <c r="C41" s="2"/>
      <c r="D41" s="2"/>
      <c r="E41" s="2"/>
      <c r="F41" s="2"/>
      <c r="G41" s="2"/>
      <c r="L41" s="12"/>
    </row>
    <row r="42" spans="1:18" x14ac:dyDescent="0.25">
      <c r="A42" s="25"/>
      <c r="B42" s="28" t="s">
        <v>27</v>
      </c>
      <c r="C42" s="8">
        <f>SUM(C38:C41)</f>
        <v>625000</v>
      </c>
      <c r="D42" s="8">
        <f>SUM(D38:D41)</f>
        <v>625000</v>
      </c>
      <c r="E42" s="8">
        <f>SUM(E38:E41)</f>
        <v>34323.19</v>
      </c>
      <c r="F42" s="8">
        <f>SUM(F38:F41)</f>
        <v>590676.81000000006</v>
      </c>
      <c r="G42" s="8">
        <f>SUM(G38:G41)</f>
        <v>590676.81000000006</v>
      </c>
      <c r="L42" s="12"/>
    </row>
    <row r="43" spans="1:18" x14ac:dyDescent="0.25">
      <c r="A43" s="25"/>
      <c r="B43" s="18"/>
      <c r="C43" s="2"/>
      <c r="D43" s="2"/>
      <c r="E43" s="2"/>
      <c r="F43" s="2"/>
      <c r="G43" s="2"/>
      <c r="L43" s="12"/>
    </row>
    <row r="44" spans="1:18" x14ac:dyDescent="0.25">
      <c r="A44" s="25">
        <v>9000</v>
      </c>
      <c r="B44" s="26" t="s">
        <v>261</v>
      </c>
      <c r="C44" s="2"/>
      <c r="D44" s="2"/>
      <c r="E44" s="2"/>
      <c r="F44" s="2"/>
      <c r="G44" s="2"/>
      <c r="L44" s="12"/>
    </row>
    <row r="45" spans="1:18" x14ac:dyDescent="0.25">
      <c r="A45" s="25"/>
      <c r="B45" s="27" t="s">
        <v>11</v>
      </c>
      <c r="C45" s="2">
        <f>320000+1000000</f>
        <v>1320000</v>
      </c>
      <c r="D45" s="2">
        <f>320000+1000000</f>
        <v>1320000</v>
      </c>
      <c r="E45" s="2">
        <f>339803.26+1206588</f>
        <v>1546391.26</v>
      </c>
      <c r="F45" s="2">
        <f>C45-E45</f>
        <v>-226391.26</v>
      </c>
      <c r="G45" s="2">
        <f>D45-E45</f>
        <v>-226391.26</v>
      </c>
      <c r="L45" s="12">
        <f>SUM(L32:L44)</f>
        <v>1900</v>
      </c>
    </row>
    <row r="46" spans="1:18" x14ac:dyDescent="0.25">
      <c r="A46" s="25"/>
      <c r="B46" s="27" t="s">
        <v>12</v>
      </c>
      <c r="C46" s="2">
        <f>2419990.09+2419990.09+338759+383998.02+15000+20000+10000+10000+100000+300000</f>
        <v>6017737.1999999993</v>
      </c>
      <c r="D46" s="2">
        <f>2419990.09+2419990.09+338759+383998.02+15000+20000+10000+10000+100000+300000</f>
        <v>6017737.1999999993</v>
      </c>
      <c r="E46" s="2">
        <f>1081160.63+819302+148627.5+240808.75</f>
        <v>2289898.88</v>
      </c>
      <c r="F46" s="2">
        <f>C46-E46</f>
        <v>3727838.3199999994</v>
      </c>
      <c r="G46" s="2">
        <f>D46-E46</f>
        <v>3727838.3199999994</v>
      </c>
    </row>
    <row r="47" spans="1:18" x14ac:dyDescent="0.25">
      <c r="A47" s="25"/>
      <c r="B47" s="27" t="s">
        <v>13</v>
      </c>
      <c r="C47" s="2">
        <f>776404+100000+73262.38+120000+2000000</f>
        <v>3069666.38</v>
      </c>
      <c r="D47" s="2">
        <f>776404+100000+73262.38+120000+2000000</f>
        <v>3069666.38</v>
      </c>
      <c r="E47" s="2">
        <f>776404+100000+100000+100000+1057061+171367.11</f>
        <v>2304832.11</v>
      </c>
      <c r="F47" s="2">
        <f>C47-E47</f>
        <v>764834.27</v>
      </c>
      <c r="G47" s="2">
        <f>D47-E47</f>
        <v>764834.27</v>
      </c>
      <c r="M47" s="14">
        <f>SUM(M32:M46)</f>
        <v>52509.75</v>
      </c>
    </row>
    <row r="48" spans="1:18" x14ac:dyDescent="0.25">
      <c r="A48" s="25"/>
      <c r="B48" s="27" t="s">
        <v>14</v>
      </c>
      <c r="C48" s="2"/>
      <c r="D48" s="2"/>
      <c r="E48" s="2"/>
      <c r="F48" s="2"/>
      <c r="G48" s="2"/>
    </row>
    <row r="49" spans="1:8" x14ac:dyDescent="0.25">
      <c r="A49" s="25"/>
      <c r="B49" s="28" t="s">
        <v>27</v>
      </c>
      <c r="C49" s="8">
        <f>SUM(C45:C48)</f>
        <v>10407403.579999998</v>
      </c>
      <c r="D49" s="8">
        <f>SUM(D45:D48)</f>
        <v>10407403.579999998</v>
      </c>
      <c r="E49" s="8">
        <f>SUM(E45:E48)</f>
        <v>6141122.25</v>
      </c>
      <c r="F49" s="8">
        <f>SUM(F45:F48)</f>
        <v>4266281.33</v>
      </c>
      <c r="G49" s="8">
        <f>SUM(G45:G48)</f>
        <v>4266281.33</v>
      </c>
    </row>
    <row r="50" spans="1:8" x14ac:dyDescent="0.25">
      <c r="A50" s="25"/>
      <c r="B50" s="105"/>
      <c r="C50" s="2"/>
      <c r="D50" s="2"/>
      <c r="E50" s="2"/>
      <c r="F50" s="2"/>
      <c r="G50" s="2"/>
    </row>
    <row r="51" spans="1:8" x14ac:dyDescent="0.25">
      <c r="A51" s="25"/>
      <c r="B51" s="26" t="s">
        <v>266</v>
      </c>
      <c r="C51" s="2"/>
      <c r="D51" s="2"/>
      <c r="E51" s="2"/>
      <c r="F51" s="2"/>
      <c r="G51" s="2"/>
    </row>
    <row r="52" spans="1:8" x14ac:dyDescent="0.25">
      <c r="A52" s="25"/>
      <c r="B52" s="27" t="s">
        <v>11</v>
      </c>
      <c r="C52" s="2">
        <f>C17+C24+C31+C45</f>
        <v>25656018.559999999</v>
      </c>
      <c r="D52" s="2">
        <f>D17+D24+D31+D45</f>
        <v>25656018.559999999</v>
      </c>
      <c r="E52" s="2">
        <f>E17+E24+E31+E45</f>
        <v>24062849.690000005</v>
      </c>
      <c r="F52" s="2">
        <f>F17+F24+F31+F45</f>
        <v>1593168.8699999989</v>
      </c>
      <c r="G52" s="2">
        <f>G17+G24+G31+G45</f>
        <v>1593168.8699999989</v>
      </c>
    </row>
    <row r="53" spans="1:8" x14ac:dyDescent="0.25">
      <c r="A53" s="25"/>
      <c r="B53" s="27" t="s">
        <v>12</v>
      </c>
      <c r="C53" s="2">
        <f>C18+C25+C32+C39+C46</f>
        <v>17739116.77</v>
      </c>
      <c r="D53" s="2">
        <f>D18+D25+D32+D39+D46</f>
        <v>17739116.77</v>
      </c>
      <c r="E53" s="2">
        <f>E18+E25+E32+E39+E46</f>
        <v>9510772.5800000001</v>
      </c>
      <c r="F53" s="2">
        <f>F18+F25+F32+F39+F46</f>
        <v>8228344.1900000004</v>
      </c>
      <c r="G53" s="2">
        <f>G18+G25+G32+G39+G46</f>
        <v>8228344.1900000004</v>
      </c>
    </row>
    <row r="54" spans="1:8" x14ac:dyDescent="0.25">
      <c r="A54" s="25"/>
      <c r="B54" s="27" t="s">
        <v>13</v>
      </c>
      <c r="C54" s="2">
        <f>C19+C26+C33+C47</f>
        <v>5004666.38</v>
      </c>
      <c r="D54" s="2">
        <f>D19+D26+D33+D47</f>
        <v>5004666.38</v>
      </c>
      <c r="E54" s="2">
        <f>E19+E26+E33+E47</f>
        <v>4384141.01</v>
      </c>
      <c r="F54" s="2">
        <f>F19+F26+F33+F47</f>
        <v>620525.37</v>
      </c>
      <c r="G54" s="2">
        <f>G19+G26+G33+G47</f>
        <v>620525.37</v>
      </c>
    </row>
    <row r="55" spans="1:8" x14ac:dyDescent="0.25">
      <c r="A55" s="25"/>
      <c r="B55" s="27" t="s">
        <v>14</v>
      </c>
      <c r="C55" s="2"/>
      <c r="D55" s="2"/>
      <c r="E55" s="2"/>
      <c r="F55" s="2"/>
      <c r="G55" s="2"/>
    </row>
    <row r="56" spans="1:8" ht="15.75" thickBot="1" x14ac:dyDescent="0.3">
      <c r="A56" s="106"/>
      <c r="B56" s="107" t="s">
        <v>265</v>
      </c>
      <c r="C56" s="108">
        <f>SUM(C52:C55)</f>
        <v>48399801.710000001</v>
      </c>
      <c r="D56" s="108">
        <f>SUM(D52:D55)</f>
        <v>48399801.710000001</v>
      </c>
      <c r="E56" s="108">
        <f>SUM(E52:E55)</f>
        <v>37957763.280000001</v>
      </c>
      <c r="F56" s="108">
        <f>SUM(F52:F55)</f>
        <v>10442038.429999998</v>
      </c>
      <c r="G56" s="108">
        <f>SUM(G52:G55)</f>
        <v>10442038.429999998</v>
      </c>
    </row>
    <row r="57" spans="1:8" x14ac:dyDescent="0.25">
      <c r="A57" s="33"/>
      <c r="B57" s="34"/>
      <c r="C57" s="10"/>
      <c r="D57" s="10"/>
      <c r="E57" s="10"/>
      <c r="F57" s="10"/>
      <c r="G57" s="10"/>
      <c r="H57" s="12"/>
    </row>
    <row r="59" spans="1:8" x14ac:dyDescent="0.25">
      <c r="A59" s="115" t="s">
        <v>3</v>
      </c>
      <c r="B59" s="115" t="s">
        <v>4</v>
      </c>
      <c r="C59" s="115" t="s">
        <v>5</v>
      </c>
      <c r="D59" s="115" t="s">
        <v>6</v>
      </c>
      <c r="E59" s="115" t="s">
        <v>7</v>
      </c>
      <c r="F59" s="15" t="s">
        <v>8</v>
      </c>
      <c r="G59" s="15" t="s">
        <v>8</v>
      </c>
    </row>
    <row r="60" spans="1:8" x14ac:dyDescent="0.25">
      <c r="A60" s="116"/>
      <c r="B60" s="116"/>
      <c r="C60" s="116"/>
      <c r="D60" s="116"/>
      <c r="E60" s="116"/>
      <c r="F60" s="16" t="s">
        <v>5</v>
      </c>
      <c r="G60" s="16" t="s">
        <v>6</v>
      </c>
    </row>
    <row r="61" spans="1:8" x14ac:dyDescent="0.25">
      <c r="A61" s="24" t="s">
        <v>272</v>
      </c>
      <c r="B61" s="17" t="s">
        <v>271</v>
      </c>
      <c r="C61" s="17"/>
      <c r="D61" s="17"/>
      <c r="E61" s="17"/>
      <c r="F61" s="17"/>
      <c r="G61" s="17"/>
    </row>
    <row r="62" spans="1:8" x14ac:dyDescent="0.25">
      <c r="A62" s="25"/>
      <c r="B62" s="18"/>
      <c r="C62" s="18"/>
      <c r="D62" s="18"/>
      <c r="E62" s="18"/>
      <c r="F62" s="18"/>
      <c r="G62" s="18"/>
    </row>
    <row r="63" spans="1:8" x14ac:dyDescent="0.25">
      <c r="A63" s="25">
        <v>1000</v>
      </c>
      <c r="B63" s="26" t="s">
        <v>9</v>
      </c>
      <c r="C63" s="18"/>
      <c r="D63" s="2"/>
      <c r="E63" s="2"/>
      <c r="F63" s="2"/>
      <c r="G63" s="2"/>
    </row>
    <row r="64" spans="1:8" x14ac:dyDescent="0.25">
      <c r="A64" s="25"/>
      <c r="B64" s="27" t="s">
        <v>11</v>
      </c>
      <c r="C64" s="2"/>
      <c r="D64" s="2"/>
      <c r="E64" s="2"/>
      <c r="F64" s="2"/>
      <c r="G64" s="2"/>
    </row>
    <row r="65" spans="1:7" x14ac:dyDescent="0.25">
      <c r="A65" s="25"/>
      <c r="B65" s="27" t="s">
        <v>12</v>
      </c>
      <c r="C65" s="2">
        <f>35000+211749.83+(88571)+170927.92+300000+(69187.5)+(100000)+200000+100000+75275+20000+31281+43000+75000+(648327.5)</f>
        <v>2168319.75</v>
      </c>
      <c r="D65" s="2">
        <f>35000+211749.83+(88571)+170927.92+300000+(69187.5)+(100000)+200000+100000+75275+20000+31281+43000+75000+(648327.5)</f>
        <v>2168319.75</v>
      </c>
      <c r="E65" s="2"/>
      <c r="F65" s="2">
        <f t="shared" ref="F65" si="3">C65-E65</f>
        <v>2168319.75</v>
      </c>
      <c r="G65" s="2">
        <f t="shared" ref="G65" si="4">D65-E65</f>
        <v>2168319.75</v>
      </c>
    </row>
    <row r="66" spans="1:7" x14ac:dyDescent="0.25">
      <c r="A66" s="25"/>
      <c r="B66" s="27" t="s">
        <v>13</v>
      </c>
      <c r="C66" s="2">
        <f>4200+40000+178788+111160.78</f>
        <v>334148.78000000003</v>
      </c>
      <c r="D66" s="2">
        <f>4200+40000+178788+111160.78</f>
        <v>334148.78000000003</v>
      </c>
      <c r="E66" s="2">
        <v>0</v>
      </c>
      <c r="F66" s="2">
        <f t="shared" ref="F66" si="5">C66-E66</f>
        <v>334148.78000000003</v>
      </c>
      <c r="G66" s="2">
        <f t="shared" ref="G66" si="6">D66-E66</f>
        <v>334148.78000000003</v>
      </c>
    </row>
    <row r="67" spans="1:7" x14ac:dyDescent="0.25">
      <c r="A67" s="25"/>
      <c r="B67" s="27" t="s">
        <v>14</v>
      </c>
      <c r="C67" s="2"/>
      <c r="D67" s="2"/>
      <c r="E67" s="2"/>
      <c r="F67" s="2"/>
      <c r="G67" s="2"/>
    </row>
    <row r="68" spans="1:7" x14ac:dyDescent="0.25">
      <c r="A68" s="25"/>
      <c r="B68" s="28" t="s">
        <v>27</v>
      </c>
      <c r="C68" s="8">
        <f t="shared" ref="C68" si="7">SUM(C64:C67)</f>
        <v>2502468.5300000003</v>
      </c>
      <c r="D68" s="8">
        <f t="shared" ref="D68" si="8">SUM(D64:D67)</f>
        <v>2502468.5300000003</v>
      </c>
      <c r="E68" s="8">
        <f t="shared" ref="E68" si="9">SUM(E64:E67)</f>
        <v>0</v>
      </c>
      <c r="F68" s="8">
        <f t="shared" ref="F68" si="10">SUM(F64:F67)</f>
        <v>2502468.5300000003</v>
      </c>
      <c r="G68" s="8">
        <f t="shared" ref="G68" si="11">SUM(G64:G67)</f>
        <v>2502468.5300000003</v>
      </c>
    </row>
    <row r="69" spans="1:7" x14ac:dyDescent="0.25">
      <c r="A69" s="25"/>
      <c r="B69" s="18"/>
      <c r="C69" s="2"/>
      <c r="D69" s="2"/>
      <c r="E69" s="2"/>
      <c r="F69" s="2"/>
      <c r="G69" s="2"/>
    </row>
    <row r="70" spans="1:7" x14ac:dyDescent="0.25">
      <c r="A70" s="25">
        <v>4000</v>
      </c>
      <c r="B70" s="26" t="s">
        <v>259</v>
      </c>
      <c r="C70" s="2"/>
      <c r="D70" s="2"/>
      <c r="E70" s="2"/>
      <c r="F70" s="2"/>
      <c r="G70" s="2"/>
    </row>
    <row r="71" spans="1:7" x14ac:dyDescent="0.25">
      <c r="A71" s="25"/>
      <c r="B71" s="27" t="s">
        <v>11</v>
      </c>
      <c r="C71" s="2"/>
      <c r="D71" s="2"/>
      <c r="E71" s="2"/>
      <c r="F71" s="2"/>
      <c r="G71" s="2"/>
    </row>
    <row r="72" spans="1:7" x14ac:dyDescent="0.25">
      <c r="A72" s="25"/>
      <c r="B72" s="27" t="s">
        <v>12</v>
      </c>
      <c r="C72" s="2">
        <f>(7300)+70000</f>
        <v>77300</v>
      </c>
      <c r="D72" s="2">
        <f>(7300)+70000</f>
        <v>77300</v>
      </c>
      <c r="E72" s="2"/>
      <c r="F72" s="2">
        <f t="shared" ref="F72" si="12">C72-E72</f>
        <v>77300</v>
      </c>
      <c r="G72" s="2">
        <f t="shared" ref="G72" si="13">D72-E72</f>
        <v>77300</v>
      </c>
    </row>
    <row r="73" spans="1:7" x14ac:dyDescent="0.25">
      <c r="A73" s="25"/>
      <c r="B73" s="27" t="s">
        <v>13</v>
      </c>
      <c r="C73" s="2">
        <v>16068</v>
      </c>
      <c r="D73" s="2">
        <v>16068</v>
      </c>
      <c r="E73" s="2"/>
      <c r="F73" s="2">
        <f>C73-E73</f>
        <v>16068</v>
      </c>
      <c r="G73" s="2">
        <f>D73-E73</f>
        <v>16068</v>
      </c>
    </row>
    <row r="74" spans="1:7" x14ac:dyDescent="0.25">
      <c r="A74" s="25"/>
      <c r="B74" s="27" t="s">
        <v>14</v>
      </c>
      <c r="C74" s="2"/>
      <c r="D74" s="2"/>
      <c r="E74" s="2"/>
      <c r="F74" s="2"/>
      <c r="G74" s="2"/>
    </row>
    <row r="75" spans="1:7" x14ac:dyDescent="0.25">
      <c r="A75" s="25"/>
      <c r="B75" s="28" t="s">
        <v>27</v>
      </c>
      <c r="C75" s="8">
        <f>SUM(C71:C74)</f>
        <v>93368</v>
      </c>
      <c r="D75" s="8">
        <f>SUM(D71:D74)</f>
        <v>93368</v>
      </c>
      <c r="E75" s="8">
        <f>SUM(E71:E74)</f>
        <v>0</v>
      </c>
      <c r="F75" s="8">
        <f>SUM(F71:F74)</f>
        <v>93368</v>
      </c>
      <c r="G75" s="8">
        <f>SUM(G71:G74)</f>
        <v>93368</v>
      </c>
    </row>
    <row r="76" spans="1:7" x14ac:dyDescent="0.25">
      <c r="A76" s="25"/>
      <c r="B76" s="18"/>
      <c r="C76" s="2"/>
      <c r="D76" s="2"/>
      <c r="E76" s="2"/>
      <c r="F76" s="2"/>
      <c r="G76" s="2"/>
    </row>
    <row r="77" spans="1:7" x14ac:dyDescent="0.25">
      <c r="A77" s="25">
        <v>8000</v>
      </c>
      <c r="B77" s="26" t="s">
        <v>260</v>
      </c>
      <c r="C77" s="2"/>
      <c r="D77" s="2"/>
      <c r="E77" s="2"/>
      <c r="F77" s="2"/>
      <c r="G77" s="2"/>
    </row>
    <row r="78" spans="1:7" x14ac:dyDescent="0.25">
      <c r="A78" s="25"/>
      <c r="B78" s="27" t="s">
        <v>11</v>
      </c>
      <c r="C78" s="2"/>
      <c r="D78" s="2"/>
      <c r="E78" s="2"/>
      <c r="F78" s="2"/>
      <c r="G78" s="2"/>
    </row>
    <row r="79" spans="1:7" x14ac:dyDescent="0.25">
      <c r="A79" s="25"/>
      <c r="B79" s="27" t="s">
        <v>12</v>
      </c>
      <c r="C79" s="2">
        <f>511018.65+20000+5766.5+588081+49589+200000+40247.6</f>
        <v>1414702.75</v>
      </c>
      <c r="D79" s="2">
        <f>511018.65+20000+5766.5+588081+49589+200000+40247.6</f>
        <v>1414702.75</v>
      </c>
      <c r="E79" s="2"/>
      <c r="F79" s="2">
        <f t="shared" ref="F79:F80" si="14">C79-E79</f>
        <v>1414702.75</v>
      </c>
      <c r="G79" s="2">
        <f t="shared" ref="G79:G80" si="15">D79-E79</f>
        <v>1414702.75</v>
      </c>
    </row>
    <row r="80" spans="1:7" x14ac:dyDescent="0.25">
      <c r="A80" s="18"/>
      <c r="B80" s="27" t="s">
        <v>13</v>
      </c>
      <c r="C80" s="2">
        <v>400000</v>
      </c>
      <c r="D80" s="2">
        <v>400000</v>
      </c>
      <c r="E80" s="2"/>
      <c r="F80" s="2">
        <f t="shared" si="14"/>
        <v>400000</v>
      </c>
      <c r="G80" s="2">
        <f t="shared" si="15"/>
        <v>400000</v>
      </c>
    </row>
    <row r="81" spans="1:7" x14ac:dyDescent="0.25">
      <c r="A81" s="18"/>
      <c r="B81" s="27" t="s">
        <v>14</v>
      </c>
      <c r="C81" s="2"/>
      <c r="D81" s="2"/>
      <c r="E81" s="2"/>
      <c r="F81" s="2"/>
      <c r="G81" s="2"/>
    </row>
    <row r="82" spans="1:7" x14ac:dyDescent="0.25">
      <c r="A82" s="18"/>
      <c r="B82" s="28" t="s">
        <v>27</v>
      </c>
      <c r="C82" s="8">
        <f>SUM(C78:C81)</f>
        <v>1814702.75</v>
      </c>
      <c r="D82" s="8">
        <f>SUM(D78:D81)</f>
        <v>1814702.75</v>
      </c>
      <c r="E82" s="8">
        <f>SUM(E78:E81)</f>
        <v>0</v>
      </c>
      <c r="F82" s="8">
        <f>SUM(F78:F81)</f>
        <v>1814702.75</v>
      </c>
      <c r="G82" s="8">
        <f>SUM(G78:G81)</f>
        <v>1814702.75</v>
      </c>
    </row>
    <row r="83" spans="1:7" x14ac:dyDescent="0.25">
      <c r="A83" s="18"/>
      <c r="B83" s="18"/>
      <c r="C83" s="2"/>
      <c r="D83" s="2"/>
      <c r="E83" s="2"/>
      <c r="F83" s="2"/>
      <c r="G83" s="2"/>
    </row>
    <row r="84" spans="1:7" x14ac:dyDescent="0.25">
      <c r="A84" s="25">
        <v>9000</v>
      </c>
      <c r="B84" s="26" t="s">
        <v>261</v>
      </c>
      <c r="C84" s="2"/>
      <c r="D84" s="2"/>
      <c r="E84" s="2"/>
      <c r="F84" s="2"/>
      <c r="G84" s="2"/>
    </row>
    <row r="85" spans="1:7" x14ac:dyDescent="0.25">
      <c r="A85" s="25"/>
      <c r="B85" s="27" t="s">
        <v>11</v>
      </c>
      <c r="C85" s="2"/>
      <c r="D85" s="2"/>
      <c r="E85" s="2"/>
      <c r="F85" s="2"/>
      <c r="G85" s="2"/>
    </row>
    <row r="86" spans="1:7" x14ac:dyDescent="0.25">
      <c r="A86" s="25"/>
      <c r="B86" s="27" t="s">
        <v>12</v>
      </c>
      <c r="C86" s="2">
        <f>1480433.83</f>
        <v>1480433.83</v>
      </c>
      <c r="D86" s="2">
        <f>1480433.83</f>
        <v>1480433.83</v>
      </c>
      <c r="E86" s="2"/>
      <c r="F86" s="2">
        <f>C86-E86</f>
        <v>1480433.83</v>
      </c>
      <c r="G86" s="2">
        <f>D86-E86</f>
        <v>1480433.83</v>
      </c>
    </row>
    <row r="87" spans="1:7" x14ac:dyDescent="0.25">
      <c r="A87" s="25"/>
      <c r="B87" s="27" t="s">
        <v>13</v>
      </c>
      <c r="C87" s="2">
        <f>117697+50000+63400+100000+73262.38+35185.93</f>
        <v>439545.31</v>
      </c>
      <c r="D87" s="2">
        <f>117697+50000+63400+100000+73262.38+35185.93</f>
        <v>439545.31</v>
      </c>
      <c r="E87" s="2">
        <v>194101</v>
      </c>
      <c r="F87" s="2">
        <f>C87-E87</f>
        <v>245444.31</v>
      </c>
      <c r="G87" s="2">
        <f>D87-E87</f>
        <v>245444.31</v>
      </c>
    </row>
    <row r="88" spans="1:7" x14ac:dyDescent="0.25">
      <c r="A88" s="25"/>
      <c r="B88" s="27" t="s">
        <v>14</v>
      </c>
      <c r="C88" s="2"/>
      <c r="D88" s="2"/>
      <c r="E88" s="2"/>
      <c r="F88" s="2"/>
      <c r="G88" s="2"/>
    </row>
    <row r="89" spans="1:7" x14ac:dyDescent="0.25">
      <c r="A89" s="25"/>
      <c r="B89" s="28" t="s">
        <v>27</v>
      </c>
      <c r="C89" s="8">
        <f>SUM(C85:C88)</f>
        <v>1919979.1400000001</v>
      </c>
      <c r="D89" s="8">
        <f>SUM(D85:D88)</f>
        <v>1919979.1400000001</v>
      </c>
      <c r="E89" s="8">
        <f>SUM(E85:E88)</f>
        <v>194101</v>
      </c>
      <c r="F89" s="8">
        <f>SUM(F85:F88)</f>
        <v>1725878.1400000001</v>
      </c>
      <c r="G89" s="8">
        <f>SUM(G85:G88)</f>
        <v>1725878.1400000001</v>
      </c>
    </row>
    <row r="90" spans="1:7" x14ac:dyDescent="0.25">
      <c r="A90" s="25"/>
      <c r="B90" s="105"/>
      <c r="C90" s="2"/>
      <c r="D90" s="2"/>
      <c r="E90" s="2"/>
      <c r="F90" s="2"/>
      <c r="G90" s="2"/>
    </row>
    <row r="91" spans="1:7" x14ac:dyDescent="0.25">
      <c r="A91" s="25"/>
      <c r="B91" s="26" t="s">
        <v>267</v>
      </c>
      <c r="C91" s="2"/>
      <c r="D91" s="2"/>
      <c r="E91" s="2"/>
      <c r="F91" s="2"/>
      <c r="G91" s="2"/>
    </row>
    <row r="92" spans="1:7" x14ac:dyDescent="0.25">
      <c r="A92" s="25"/>
      <c r="B92" s="27" t="s">
        <v>11</v>
      </c>
      <c r="C92" s="2">
        <f>C64+C71+C78+C85</f>
        <v>0</v>
      </c>
      <c r="D92" s="2">
        <f>D64+D71+D78+D85</f>
        <v>0</v>
      </c>
      <c r="E92" s="2">
        <f>E64+E71+E78+E85</f>
        <v>0</v>
      </c>
      <c r="F92" s="2">
        <f>F64+F71+F78+F85</f>
        <v>0</v>
      </c>
      <c r="G92" s="2">
        <f>G64+G71+G78+G85</f>
        <v>0</v>
      </c>
    </row>
    <row r="93" spans="1:7" x14ac:dyDescent="0.25">
      <c r="A93" s="25"/>
      <c r="B93" s="27" t="s">
        <v>12</v>
      </c>
      <c r="C93" s="2">
        <f>C65+C72+C79+C86</f>
        <v>5140756.33</v>
      </c>
      <c r="D93" s="2">
        <f>D65+D72+D79+D86</f>
        <v>5140756.33</v>
      </c>
      <c r="E93" s="2"/>
      <c r="F93" s="2">
        <f>F65+F72+F79+F86</f>
        <v>5140756.33</v>
      </c>
      <c r="G93" s="2">
        <f>G65+G72+G79+G86</f>
        <v>5140756.33</v>
      </c>
    </row>
    <row r="94" spans="1:7" x14ac:dyDescent="0.25">
      <c r="A94" s="25"/>
      <c r="B94" s="27" t="s">
        <v>13</v>
      </c>
      <c r="C94" s="2">
        <f>C66+C73+C80+C87</f>
        <v>1189762.0900000001</v>
      </c>
      <c r="D94" s="2">
        <f>D66+D73+D80+D87</f>
        <v>1189762.0900000001</v>
      </c>
      <c r="E94" s="2">
        <f>E66+E73+E80+E87</f>
        <v>194101</v>
      </c>
      <c r="F94" s="2">
        <f>F66+F73+F80+F87</f>
        <v>995661.09000000008</v>
      </c>
      <c r="G94" s="2">
        <f>G66+G73+G80+G87</f>
        <v>995661.09000000008</v>
      </c>
    </row>
    <row r="95" spans="1:7" x14ac:dyDescent="0.25">
      <c r="A95" s="25"/>
      <c r="B95" s="27" t="s">
        <v>14</v>
      </c>
      <c r="C95" s="2"/>
      <c r="D95" s="2"/>
      <c r="E95" s="2"/>
      <c r="F95" s="2"/>
      <c r="G95" s="2"/>
    </row>
    <row r="96" spans="1:7" ht="15.75" thickBot="1" x14ac:dyDescent="0.3">
      <c r="A96" s="106"/>
      <c r="B96" s="107" t="s">
        <v>273</v>
      </c>
      <c r="C96" s="108">
        <f>SUM(C92:C95)</f>
        <v>6330518.4199999999</v>
      </c>
      <c r="D96" s="108">
        <f>SUM(D92:D95)</f>
        <v>6330518.4199999999</v>
      </c>
      <c r="E96" s="108">
        <f>SUM(E92:E95)</f>
        <v>194101</v>
      </c>
      <c r="F96" s="108">
        <f>SUM(F92:F95)</f>
        <v>6136417.4199999999</v>
      </c>
      <c r="G96" s="108">
        <f>SUM(G92:G95)</f>
        <v>6136417.4199999999</v>
      </c>
    </row>
    <row r="97" spans="1:7" ht="21.75" customHeight="1" thickBot="1" x14ac:dyDescent="0.3">
      <c r="A97" s="111"/>
      <c r="B97" s="112" t="s">
        <v>265</v>
      </c>
      <c r="C97" s="113">
        <f>C56+C96</f>
        <v>54730320.130000003</v>
      </c>
      <c r="D97" s="113">
        <f>D56+D96</f>
        <v>54730320.130000003</v>
      </c>
      <c r="E97" s="113">
        <f>E56+E96</f>
        <v>38151864.280000001</v>
      </c>
      <c r="F97" s="113">
        <f>F56+F96</f>
        <v>16578455.849999998</v>
      </c>
      <c r="G97" s="113">
        <f>G56+G96</f>
        <v>16578455.849999998</v>
      </c>
    </row>
    <row r="98" spans="1:7" ht="15.75" thickTop="1" x14ac:dyDescent="0.25"/>
    <row r="99" spans="1:7" x14ac:dyDescent="0.25">
      <c r="B99" s="110" t="s">
        <v>65</v>
      </c>
    </row>
    <row r="102" spans="1:7" x14ac:dyDescent="0.25">
      <c r="B102" s="13" t="s">
        <v>66</v>
      </c>
    </row>
    <row r="103" spans="1:7" x14ac:dyDescent="0.25">
      <c r="B103" s="13" t="s">
        <v>67</v>
      </c>
    </row>
    <row r="111" spans="1:7" x14ac:dyDescent="0.25">
      <c r="G111" s="13" t="s">
        <v>268</v>
      </c>
    </row>
    <row r="114" spans="1:7" x14ac:dyDescent="0.25">
      <c r="A114" s="126" t="s">
        <v>263</v>
      </c>
      <c r="B114" s="126"/>
      <c r="C114" s="126"/>
      <c r="D114" s="126"/>
      <c r="E114" s="126"/>
      <c r="F114" s="126"/>
      <c r="G114" s="126"/>
    </row>
    <row r="115" spans="1:7" x14ac:dyDescent="0.25">
      <c r="A115" s="128" t="s">
        <v>264</v>
      </c>
      <c r="B115" s="128"/>
      <c r="C115" s="128"/>
      <c r="D115" s="128"/>
      <c r="E115" s="128"/>
      <c r="F115" s="128"/>
      <c r="G115" s="128"/>
    </row>
    <row r="116" spans="1:7" x14ac:dyDescent="0.25">
      <c r="A116" s="126" t="s">
        <v>0</v>
      </c>
      <c r="B116" s="126"/>
      <c r="C116" s="126"/>
      <c r="D116" s="126"/>
      <c r="E116" s="126"/>
      <c r="F116" s="126"/>
      <c r="G116" s="126"/>
    </row>
    <row r="117" spans="1:7" x14ac:dyDescent="0.25">
      <c r="A117" s="109"/>
      <c r="B117" s="109"/>
      <c r="C117" s="109"/>
      <c r="D117" s="109"/>
      <c r="E117" s="109"/>
      <c r="F117" s="109"/>
      <c r="G117" s="109"/>
    </row>
    <row r="118" spans="1:7" ht="15.75" x14ac:dyDescent="0.25">
      <c r="A118" s="125" t="s">
        <v>274</v>
      </c>
      <c r="B118" s="125"/>
      <c r="C118" s="125"/>
      <c r="D118" s="125"/>
      <c r="E118" s="125"/>
      <c r="F118" s="125"/>
      <c r="G118" s="125"/>
    </row>
    <row r="119" spans="1:7" ht="15.75" x14ac:dyDescent="0.25">
      <c r="A119" s="125" t="s">
        <v>275</v>
      </c>
      <c r="B119" s="125"/>
      <c r="C119" s="125"/>
      <c r="D119" s="125"/>
      <c r="E119" s="125"/>
      <c r="F119" s="125"/>
      <c r="G119" s="125"/>
    </row>
    <row r="120" spans="1:7" x14ac:dyDescent="0.25">
      <c r="A120" s="127" t="s">
        <v>256</v>
      </c>
      <c r="B120" s="127"/>
      <c r="C120" s="127"/>
      <c r="D120" s="127"/>
      <c r="E120" s="127"/>
      <c r="F120" s="127"/>
      <c r="G120" s="127"/>
    </row>
    <row r="121" spans="1:7" x14ac:dyDescent="0.25">
      <c r="A121" s="13" t="s">
        <v>148</v>
      </c>
    </row>
    <row r="122" spans="1:7" x14ac:dyDescent="0.25">
      <c r="A122" s="115" t="s">
        <v>3</v>
      </c>
      <c r="B122" s="115" t="s">
        <v>4</v>
      </c>
      <c r="C122" s="115" t="s">
        <v>5</v>
      </c>
      <c r="D122" s="115" t="s">
        <v>6</v>
      </c>
      <c r="E122" s="115" t="s">
        <v>7</v>
      </c>
      <c r="F122" s="15" t="s">
        <v>8</v>
      </c>
      <c r="G122" s="15" t="s">
        <v>8</v>
      </c>
    </row>
    <row r="123" spans="1:7" x14ac:dyDescent="0.25">
      <c r="A123" s="116"/>
      <c r="B123" s="116"/>
      <c r="C123" s="116"/>
      <c r="D123" s="116"/>
      <c r="E123" s="116"/>
      <c r="F123" s="16" t="s">
        <v>5</v>
      </c>
      <c r="G123" s="16" t="s">
        <v>6</v>
      </c>
    </row>
    <row r="124" spans="1:7" x14ac:dyDescent="0.25">
      <c r="A124" s="24" t="s">
        <v>257</v>
      </c>
      <c r="B124" s="17" t="s">
        <v>258</v>
      </c>
      <c r="C124" s="17"/>
      <c r="D124" s="17"/>
      <c r="E124" s="17"/>
      <c r="F124" s="17"/>
      <c r="G124" s="17"/>
    </row>
    <row r="125" spans="1:7" x14ac:dyDescent="0.25">
      <c r="A125" s="25"/>
      <c r="B125" s="18"/>
      <c r="C125" s="18"/>
      <c r="D125" s="18"/>
      <c r="E125" s="18"/>
      <c r="F125" s="18"/>
      <c r="G125" s="18"/>
    </row>
    <row r="126" spans="1:7" x14ac:dyDescent="0.25">
      <c r="A126" s="25"/>
      <c r="B126" s="18" t="s">
        <v>269</v>
      </c>
      <c r="C126" s="18"/>
      <c r="D126" s="18"/>
      <c r="E126" s="18"/>
      <c r="F126" s="18"/>
      <c r="G126" s="18"/>
    </row>
    <row r="127" spans="1:7" x14ac:dyDescent="0.25">
      <c r="A127" s="25"/>
      <c r="B127" s="18"/>
      <c r="C127" s="18"/>
      <c r="D127" s="18"/>
      <c r="E127" s="18"/>
      <c r="F127" s="18"/>
      <c r="G127" s="18"/>
    </row>
    <row r="128" spans="1:7" x14ac:dyDescent="0.25">
      <c r="A128" s="25">
        <v>1000</v>
      </c>
      <c r="B128" s="26" t="s">
        <v>9</v>
      </c>
      <c r="C128" s="18"/>
      <c r="D128" s="2"/>
      <c r="E128" s="2"/>
      <c r="F128" s="2"/>
      <c r="G128" s="2"/>
    </row>
    <row r="129" spans="1:10" x14ac:dyDescent="0.25">
      <c r="A129" s="25"/>
      <c r="B129" s="27" t="s">
        <v>11</v>
      </c>
      <c r="C129" s="2"/>
      <c r="D129" s="2"/>
      <c r="E129" s="2"/>
      <c r="F129" s="2"/>
      <c r="G129" s="2"/>
      <c r="J129" s="13">
        <f>75/30</f>
        <v>2.5</v>
      </c>
    </row>
    <row r="130" spans="1:10" x14ac:dyDescent="0.25">
      <c r="A130" s="25"/>
      <c r="B130" s="27" t="s">
        <v>12</v>
      </c>
      <c r="C130" s="2">
        <v>189500</v>
      </c>
      <c r="D130" s="2">
        <v>189500</v>
      </c>
      <c r="E130" s="2"/>
      <c r="F130" s="2">
        <f t="shared" ref="F130:F131" si="16">C130-E130</f>
        <v>189500</v>
      </c>
      <c r="G130" s="2">
        <f t="shared" ref="G130:G131" si="17">D130-E130</f>
        <v>189500</v>
      </c>
    </row>
    <row r="131" spans="1:10" x14ac:dyDescent="0.25">
      <c r="A131" s="25"/>
      <c r="B131" s="27" t="s">
        <v>13</v>
      </c>
      <c r="C131" s="2">
        <v>1510500</v>
      </c>
      <c r="D131" s="2">
        <v>1510500</v>
      </c>
      <c r="E131" s="2">
        <f>1042717.98</f>
        <v>1042717.98</v>
      </c>
      <c r="F131" s="2">
        <f t="shared" si="16"/>
        <v>467782.02</v>
      </c>
      <c r="G131" s="2">
        <f t="shared" si="17"/>
        <v>467782.02</v>
      </c>
    </row>
    <row r="132" spans="1:10" x14ac:dyDescent="0.25">
      <c r="A132" s="25"/>
      <c r="B132" s="27" t="s">
        <v>14</v>
      </c>
      <c r="C132" s="2"/>
      <c r="D132" s="2"/>
      <c r="E132" s="2"/>
      <c r="F132" s="2"/>
      <c r="G132" s="2"/>
    </row>
    <row r="133" spans="1:10" x14ac:dyDescent="0.25">
      <c r="A133" s="25"/>
      <c r="B133" s="28" t="s">
        <v>27</v>
      </c>
      <c r="C133" s="8">
        <f t="shared" ref="C133:G133" si="18">SUM(C129:C132)</f>
        <v>1700000</v>
      </c>
      <c r="D133" s="8">
        <f t="shared" ref="D133" si="19">SUM(D129:D132)</f>
        <v>1700000</v>
      </c>
      <c r="E133" s="8">
        <f t="shared" si="18"/>
        <v>1042717.98</v>
      </c>
      <c r="F133" s="8">
        <f t="shared" si="18"/>
        <v>657282.02</v>
      </c>
      <c r="G133" s="8">
        <f t="shared" si="18"/>
        <v>657282.02</v>
      </c>
    </row>
    <row r="134" spans="1:10" x14ac:dyDescent="0.25">
      <c r="A134" s="25"/>
      <c r="B134" s="105"/>
      <c r="C134" s="2"/>
      <c r="D134" s="2"/>
      <c r="E134" s="2"/>
      <c r="F134" s="2"/>
      <c r="G134" s="2"/>
    </row>
    <row r="135" spans="1:10" x14ac:dyDescent="0.25">
      <c r="A135" s="25"/>
      <c r="B135" s="105"/>
      <c r="C135" s="2"/>
      <c r="D135" s="2"/>
      <c r="E135" s="2"/>
      <c r="F135" s="2"/>
      <c r="G135" s="2"/>
    </row>
    <row r="136" spans="1:10" x14ac:dyDescent="0.25">
      <c r="A136" s="25"/>
      <c r="B136" s="105" t="s">
        <v>270</v>
      </c>
      <c r="C136" s="2"/>
      <c r="D136" s="2"/>
      <c r="E136" s="2"/>
      <c r="F136" s="2"/>
      <c r="G136" s="2"/>
    </row>
    <row r="137" spans="1:10" x14ac:dyDescent="0.25">
      <c r="A137" s="25"/>
      <c r="B137" s="18"/>
      <c r="C137" s="2"/>
      <c r="D137" s="2"/>
      <c r="E137" s="2"/>
      <c r="F137" s="2"/>
      <c r="G137" s="2"/>
    </row>
    <row r="138" spans="1:10" x14ac:dyDescent="0.25">
      <c r="A138" s="25">
        <v>4000</v>
      </c>
      <c r="B138" s="26" t="s">
        <v>9</v>
      </c>
      <c r="C138" s="2"/>
      <c r="D138" s="2"/>
      <c r="E138" s="2"/>
      <c r="F138" s="2"/>
      <c r="G138" s="2"/>
    </row>
    <row r="139" spans="1:10" x14ac:dyDescent="0.25">
      <c r="A139" s="25"/>
      <c r="B139" s="27" t="s">
        <v>11</v>
      </c>
      <c r="C139" s="2"/>
      <c r="D139" s="2"/>
      <c r="E139" s="2"/>
      <c r="F139" s="2"/>
      <c r="G139" s="2"/>
    </row>
    <row r="140" spans="1:10" x14ac:dyDescent="0.25">
      <c r="A140" s="25"/>
      <c r="B140" s="27" t="s">
        <v>12</v>
      </c>
      <c r="C140" s="2">
        <v>100000</v>
      </c>
      <c r="D140" s="2">
        <v>100000</v>
      </c>
      <c r="E140" s="2">
        <f>8834+36135</f>
        <v>44969</v>
      </c>
      <c r="F140" s="2">
        <f>C140-E140</f>
        <v>55031</v>
      </c>
      <c r="G140" s="2">
        <f>D140-E140</f>
        <v>55031</v>
      </c>
    </row>
    <row r="141" spans="1:10" x14ac:dyDescent="0.25">
      <c r="A141" s="25"/>
      <c r="B141" s="27" t="s">
        <v>13</v>
      </c>
      <c r="C141" s="2"/>
      <c r="D141" s="2"/>
      <c r="E141" s="2"/>
      <c r="F141" s="2"/>
      <c r="G141" s="2"/>
    </row>
    <row r="142" spans="1:10" x14ac:dyDescent="0.25">
      <c r="A142" s="25"/>
      <c r="B142" s="27" t="s">
        <v>14</v>
      </c>
      <c r="C142" s="2"/>
      <c r="D142" s="2"/>
      <c r="E142" s="2"/>
      <c r="F142" s="2"/>
      <c r="G142" s="2"/>
    </row>
    <row r="143" spans="1:10" x14ac:dyDescent="0.25">
      <c r="A143" s="25"/>
      <c r="B143" s="28" t="s">
        <v>27</v>
      </c>
      <c r="C143" s="8">
        <f>SUM(C139:C142)</f>
        <v>100000</v>
      </c>
      <c r="D143" s="8">
        <f>SUM(D139:D142)</f>
        <v>100000</v>
      </c>
      <c r="E143" s="8">
        <f>SUM(E139:E142)</f>
        <v>44969</v>
      </c>
      <c r="F143" s="8">
        <f>SUM(F139:F142)</f>
        <v>55031</v>
      </c>
      <c r="G143" s="8">
        <f>SUM(G139:G142)</f>
        <v>55031</v>
      </c>
    </row>
    <row r="144" spans="1:10" x14ac:dyDescent="0.25">
      <c r="A144" s="25"/>
      <c r="B144" s="105"/>
      <c r="C144" s="2"/>
      <c r="D144" s="2"/>
      <c r="E144" s="2"/>
      <c r="F144" s="2"/>
      <c r="G144" s="2"/>
    </row>
    <row r="145" spans="1:7" x14ac:dyDescent="0.25">
      <c r="A145" s="25"/>
      <c r="B145" s="26" t="s">
        <v>266</v>
      </c>
      <c r="C145" s="2"/>
      <c r="D145" s="2"/>
      <c r="E145" s="2"/>
      <c r="F145" s="2"/>
      <c r="G145" s="2"/>
    </row>
    <row r="146" spans="1:7" x14ac:dyDescent="0.25">
      <c r="A146" s="25"/>
      <c r="B146" s="27" t="s">
        <v>11</v>
      </c>
      <c r="C146" s="2"/>
      <c r="D146" s="2"/>
      <c r="E146" s="2"/>
      <c r="F146" s="2"/>
      <c r="G146" s="2"/>
    </row>
    <row r="147" spans="1:7" x14ac:dyDescent="0.25">
      <c r="A147" s="25"/>
      <c r="B147" s="27" t="s">
        <v>12</v>
      </c>
      <c r="C147" s="2">
        <f>C130+C140</f>
        <v>289500</v>
      </c>
      <c r="D147" s="2">
        <f>D130+D140</f>
        <v>289500</v>
      </c>
      <c r="E147" s="2">
        <f>E140</f>
        <v>44969</v>
      </c>
      <c r="F147" s="2">
        <f t="shared" ref="F147:F148" si="20">C147-E147</f>
        <v>244531</v>
      </c>
      <c r="G147" s="2">
        <f t="shared" ref="G147:G148" si="21">D147-E147</f>
        <v>244531</v>
      </c>
    </row>
    <row r="148" spans="1:7" x14ac:dyDescent="0.25">
      <c r="A148" s="25"/>
      <c r="B148" s="27" t="s">
        <v>13</v>
      </c>
      <c r="C148" s="2">
        <f>C131</f>
        <v>1510500</v>
      </c>
      <c r="D148" s="2">
        <f>D131</f>
        <v>1510500</v>
      </c>
      <c r="E148" s="2">
        <f>E131</f>
        <v>1042717.98</v>
      </c>
      <c r="F148" s="2">
        <f t="shared" si="20"/>
        <v>467782.02</v>
      </c>
      <c r="G148" s="2">
        <f t="shared" si="21"/>
        <v>467782.02</v>
      </c>
    </row>
    <row r="149" spans="1:7" x14ac:dyDescent="0.25">
      <c r="A149" s="25"/>
      <c r="B149" s="27" t="s">
        <v>14</v>
      </c>
      <c r="C149" s="2"/>
      <c r="D149" s="2"/>
      <c r="E149" s="2"/>
      <c r="F149" s="2"/>
      <c r="G149" s="2"/>
    </row>
    <row r="150" spans="1:7" ht="15.75" thickBot="1" x14ac:dyDescent="0.3">
      <c r="A150" s="106"/>
      <c r="B150" s="107" t="s">
        <v>265</v>
      </c>
      <c r="C150" s="108">
        <f>SUM(C146:C149)</f>
        <v>1800000</v>
      </c>
      <c r="D150" s="108">
        <f>SUM(D146:D149)</f>
        <v>1800000</v>
      </c>
      <c r="E150" s="108">
        <f>SUM(E146:E149)</f>
        <v>1087686.98</v>
      </c>
      <c r="F150" s="108">
        <f>SUM(F146:F149)</f>
        <v>712313.02</v>
      </c>
      <c r="G150" s="108">
        <f t="shared" ref="G150" si="22">SUM(G146:G149)</f>
        <v>712313.02</v>
      </c>
    </row>
    <row r="153" spans="1:7" x14ac:dyDescent="0.25">
      <c r="B153" s="110" t="s">
        <v>65</v>
      </c>
    </row>
    <row r="156" spans="1:7" x14ac:dyDescent="0.25">
      <c r="B156" s="13" t="s">
        <v>66</v>
      </c>
    </row>
    <row r="157" spans="1:7" x14ac:dyDescent="0.25">
      <c r="B157" s="13" t="s">
        <v>67</v>
      </c>
    </row>
  </sheetData>
  <mergeCells count="27">
    <mergeCell ref="A59:A60"/>
    <mergeCell ref="B59:B60"/>
    <mergeCell ref="C59:C60"/>
    <mergeCell ref="D59:D60"/>
    <mergeCell ref="E59:E60"/>
    <mergeCell ref="A12:A13"/>
    <mergeCell ref="B12:B13"/>
    <mergeCell ref="C12:C13"/>
    <mergeCell ref="D12:D13"/>
    <mergeCell ref="E12:E13"/>
    <mergeCell ref="A5:G5"/>
    <mergeCell ref="A4:G4"/>
    <mergeCell ref="A8:G8"/>
    <mergeCell ref="A9:G9"/>
    <mergeCell ref="A10:G10"/>
    <mergeCell ref="A6:G6"/>
    <mergeCell ref="A114:G114"/>
    <mergeCell ref="A115:G115"/>
    <mergeCell ref="A116:G116"/>
    <mergeCell ref="A118:G118"/>
    <mergeCell ref="A119:G119"/>
    <mergeCell ref="A120:G120"/>
    <mergeCell ref="A122:A123"/>
    <mergeCell ref="B122:B123"/>
    <mergeCell ref="C122:C123"/>
    <mergeCell ref="D122:D123"/>
    <mergeCell ref="E122:E123"/>
  </mergeCells>
  <pageMargins left="0.15" right="0.12" top="0.44" bottom="0.75" header="0.3" footer="0.3"/>
  <pageSetup paperSize="9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A184" zoomScale="140" zoomScaleNormal="140" workbookViewId="0">
      <selection activeCell="E200" sqref="E200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4.5703125" style="13" bestFit="1" customWidth="1"/>
    <col min="6" max="6" width="16.28515625" style="13" customWidth="1"/>
    <col min="7" max="7" width="14.2851562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234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/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f>C11/4</f>
        <v>434596.76</v>
      </c>
      <c r="E11" s="2">
        <f>137223.36+167223.36</f>
        <v>304446.71999999997</v>
      </c>
      <c r="F11" s="2">
        <f>C11-E11</f>
        <v>1433940.32</v>
      </c>
      <c r="G11" s="2">
        <f>D11-E11</f>
        <v>130150.04000000004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f>C12/4</f>
        <v>303780.8175</v>
      </c>
      <c r="E12" s="2">
        <v>68133.899999999994</v>
      </c>
      <c r="F12" s="2">
        <f t="shared" ref="F12:F13" si="0">C12-E12</f>
        <v>1146989.3700000001</v>
      </c>
      <c r="G12" s="2">
        <f t="shared" ref="G12:G13" si="1">D12-E12</f>
        <v>235646.91750000001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f>C13/4</f>
        <v>37500</v>
      </c>
      <c r="E13" s="2"/>
      <c r="F13" s="2">
        <f t="shared" si="0"/>
        <v>150000</v>
      </c>
      <c r="G13" s="2">
        <f t="shared" si="1"/>
        <v>37500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775877.57750000001</v>
      </c>
      <c r="E15" s="8">
        <f>SUM(E11:E14)</f>
        <v>372580.62</v>
      </c>
      <c r="F15" s="8">
        <f>SUM(F11:F14)</f>
        <v>2730929.6900000004</v>
      </c>
      <c r="G15" s="8">
        <f>SUM(G11:G14)</f>
        <v>403296.95750000002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f>C18/4</f>
        <v>2146273.29</v>
      </c>
      <c r="E18" s="2">
        <f>603278.41+936306.35</f>
        <v>1539584.76</v>
      </c>
      <c r="F18" s="2">
        <f>C18-E18</f>
        <v>7045508.4000000004</v>
      </c>
      <c r="G18" s="2">
        <f>D18-E18</f>
        <v>606688.53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f>C19/4</f>
        <v>295234.09000000003</v>
      </c>
      <c r="E19" s="2">
        <v>119020</v>
      </c>
      <c r="F19" s="2">
        <f>C19-E19</f>
        <v>1061916.3600000001</v>
      </c>
      <c r="G19" s="2">
        <f>D19-E19</f>
        <v>176214.09000000003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f>C20/4</f>
        <v>30000</v>
      </c>
      <c r="E20" s="2"/>
      <c r="F20" s="2">
        <f>C20-E20</f>
        <v>120000</v>
      </c>
      <c r="G20" s="2">
        <f>D20-E20</f>
        <v>30000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2471507.38</v>
      </c>
      <c r="E22" s="8">
        <f>SUM(E18:E21)</f>
        <v>1658604.76</v>
      </c>
      <c r="F22" s="8">
        <f>SUM(F18:F21)</f>
        <v>8227424.7600000007</v>
      </c>
      <c r="G22" s="8">
        <f>SUM(G18:G21)</f>
        <v>812902.62000000011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f>C25/4</f>
        <v>270017.08</v>
      </c>
      <c r="E25" s="2">
        <f>81375.15+96375.15</f>
        <v>177750.3</v>
      </c>
      <c r="F25" s="2">
        <f>C25-E25</f>
        <v>902318.02</v>
      </c>
      <c r="G25" s="2">
        <f>D25-E25</f>
        <v>92266.780000000028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f>C26/4</f>
        <v>37821.362500000003</v>
      </c>
      <c r="E26" s="2"/>
      <c r="F26" s="2">
        <f>C26-E26</f>
        <v>151285.45000000001</v>
      </c>
      <c r="G26" s="2">
        <f>D26-E26</f>
        <v>37821.362500000003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f>C27/4</f>
        <v>7500</v>
      </c>
      <c r="E27" s="2"/>
      <c r="F27" s="2">
        <f>C27-E27</f>
        <v>30000</v>
      </c>
      <c r="G27" s="2">
        <f>D27-E27</f>
        <v>7500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315338.4425</v>
      </c>
      <c r="E29" s="8">
        <f>SUM(E25:E28)</f>
        <v>177750.3</v>
      </c>
      <c r="F29" s="8">
        <f>SUM(F25:F28)</f>
        <v>1083603.47</v>
      </c>
      <c r="G29" s="8">
        <f>SUM(G25:G28)</f>
        <v>137588.14250000002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f>C32/4</f>
        <v>208402.99</v>
      </c>
      <c r="E32" s="2">
        <f>63327.47+73327.47</f>
        <v>136654.94</v>
      </c>
      <c r="F32" s="2">
        <f>C32-E32</f>
        <v>696957.02</v>
      </c>
      <c r="G32" s="2">
        <f>D32-E32</f>
        <v>71748.049999999988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f>C33/4</f>
        <v>29741.55</v>
      </c>
      <c r="E33" s="2">
        <v>2000</v>
      </c>
      <c r="F33" s="2">
        <f>C33-E33</f>
        <v>116966.2</v>
      </c>
      <c r="G33" s="2">
        <f>D33-E33</f>
        <v>27741.55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f>C34/4</f>
        <v>6250</v>
      </c>
      <c r="E34" s="2"/>
      <c r="F34" s="2">
        <f>C34-E34</f>
        <v>25000</v>
      </c>
      <c r="G34" s="2">
        <f>D34-E34</f>
        <v>6250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244394.53999999998</v>
      </c>
      <c r="E36" s="8">
        <f>SUM(E32:E35)</f>
        <v>138654.94</v>
      </c>
      <c r="F36" s="8">
        <f>SUM(F32:F35)</f>
        <v>838923.22</v>
      </c>
      <c r="G36" s="8">
        <f>SUM(G32:G35)</f>
        <v>105739.59999999999</v>
      </c>
      <c r="L36" s="12"/>
    </row>
    <row r="37" spans="1:13" x14ac:dyDescent="0.25">
      <c r="A37" s="25"/>
      <c r="B37" s="18"/>
      <c r="C37" s="2"/>
      <c r="D37" s="2"/>
      <c r="E37" s="2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f>C39/4</f>
        <v>171660.45</v>
      </c>
      <c r="E39" s="2">
        <f>53003.9+58003.9</f>
        <v>111007.8</v>
      </c>
      <c r="F39" s="2">
        <f>C39-E39</f>
        <v>575634</v>
      </c>
      <c r="G39" s="2">
        <f>D39-E39</f>
        <v>60652.650000000009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f>C40/4</f>
        <v>28735.962500000001</v>
      </c>
      <c r="E40" s="2">
        <v>2000</v>
      </c>
      <c r="F40" s="2">
        <f>C40-E40</f>
        <v>112943.85</v>
      </c>
      <c r="G40" s="2">
        <f>D40-E40</f>
        <v>26735.962500000001</v>
      </c>
    </row>
    <row r="41" spans="1:13" x14ac:dyDescent="0.25">
      <c r="A41" s="25"/>
      <c r="B41" s="27" t="s">
        <v>13</v>
      </c>
      <c r="C41" s="2">
        <v>35000</v>
      </c>
      <c r="D41" s="2">
        <f>C41/4</f>
        <v>8750</v>
      </c>
      <c r="E41" s="2"/>
      <c r="F41" s="2">
        <f>C41-E41</f>
        <v>35000</v>
      </c>
      <c r="G41" s="2">
        <f>D41-E41</f>
        <v>8750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209146.41250000001</v>
      </c>
      <c r="E43" s="8">
        <f>SUM(E39:E42)</f>
        <v>113007.8</v>
      </c>
      <c r="F43" s="8">
        <f>SUM(F39:F42)</f>
        <v>723577.85</v>
      </c>
      <c r="G43" s="8">
        <f>SUM(G39:G42)</f>
        <v>96138.612500000017</v>
      </c>
    </row>
    <row r="44" spans="1:13" x14ac:dyDescent="0.25">
      <c r="A44" s="25"/>
      <c r="B44" s="18"/>
      <c r="C44" s="2"/>
      <c r="D44" s="2"/>
      <c r="E44" s="2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f>C46/4</f>
        <v>292633.01</v>
      </c>
      <c r="E46" s="2">
        <f>46303.17+61303.17</f>
        <v>107606.34</v>
      </c>
      <c r="F46" s="2">
        <f>C46-E46</f>
        <v>1062925.7</v>
      </c>
      <c r="G46" s="2">
        <f>D46-E46</f>
        <v>185026.67</v>
      </c>
    </row>
    <row r="47" spans="1:13" x14ac:dyDescent="0.25">
      <c r="A47" s="25"/>
      <c r="B47" s="27" t="s">
        <v>12</v>
      </c>
      <c r="C47" s="2">
        <v>225508</v>
      </c>
      <c r="D47" s="2">
        <f>C47/4</f>
        <v>56377</v>
      </c>
      <c r="E47" s="2">
        <v>9700</v>
      </c>
      <c r="F47" s="2">
        <f>C47-E47</f>
        <v>215808</v>
      </c>
      <c r="G47" s="2">
        <f>D47-E47</f>
        <v>46677</v>
      </c>
    </row>
    <row r="48" spans="1:13" x14ac:dyDescent="0.25">
      <c r="A48" s="25"/>
      <c r="B48" s="27" t="s">
        <v>13</v>
      </c>
      <c r="C48" s="2">
        <v>25000</v>
      </c>
      <c r="D48" s="2">
        <f>C48/4</f>
        <v>6250</v>
      </c>
      <c r="E48" s="2"/>
      <c r="F48" s="2">
        <f>C48-E48</f>
        <v>25000</v>
      </c>
      <c r="G48" s="2">
        <f>D48-E48</f>
        <v>6250</v>
      </c>
      <c r="H48" s="12"/>
    </row>
    <row r="49" spans="1:8" x14ac:dyDescent="0.25">
      <c r="A49" s="25"/>
      <c r="B49" s="27" t="s">
        <v>14</v>
      </c>
      <c r="C49" s="2"/>
      <c r="D49" s="2"/>
      <c r="E49" s="2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355260.01</v>
      </c>
      <c r="E50" s="8">
        <f>SUM(E46:E49)</f>
        <v>117306.34</v>
      </c>
      <c r="F50" s="8">
        <f>SUM(F46:F49)</f>
        <v>1303733.7</v>
      </c>
      <c r="G50" s="8">
        <f>SUM(G46:G49)</f>
        <v>237953.67</v>
      </c>
      <c r="H50" s="12"/>
    </row>
    <row r="51" spans="1:8" x14ac:dyDescent="0.25">
      <c r="A51" s="25"/>
      <c r="B51" s="18"/>
      <c r="C51" s="2"/>
      <c r="D51" s="2"/>
      <c r="E51" s="2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2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f>C53/4</f>
        <v>431640.74</v>
      </c>
      <c r="E53" s="2">
        <f>127589.33+162589.33</f>
        <v>290178.65999999997</v>
      </c>
      <c r="F53" s="2">
        <f>C53-E53</f>
        <v>1436384.3</v>
      </c>
      <c r="G53" s="2">
        <f>D53-E53</f>
        <v>141462.08000000002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f>C54/4</f>
        <v>95218.012499999997</v>
      </c>
      <c r="E54" s="2">
        <f>7700+17777</f>
        <v>25477</v>
      </c>
      <c r="F54" s="2">
        <f>C54-E54</f>
        <v>355395.05</v>
      </c>
      <c r="G54" s="2">
        <f>D54-E54</f>
        <v>69741.012499999997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f>C55/4</f>
        <v>15000</v>
      </c>
      <c r="E55" s="2"/>
      <c r="F55" s="2">
        <f>C55-E55</f>
        <v>60000</v>
      </c>
      <c r="G55" s="2">
        <f>D55-E55</f>
        <v>15000</v>
      </c>
      <c r="H55" s="12"/>
    </row>
    <row r="56" spans="1:8" x14ac:dyDescent="0.25">
      <c r="A56" s="25"/>
      <c r="B56" s="27" t="s">
        <v>14</v>
      </c>
      <c r="C56" s="2"/>
      <c r="D56" s="2"/>
      <c r="E56" s="2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541858.75249999994</v>
      </c>
      <c r="E57" s="8">
        <f>SUM(E53:E56)</f>
        <v>315655.65999999997</v>
      </c>
      <c r="F57" s="8">
        <f>SUM(F53:F56)</f>
        <v>1851779.35</v>
      </c>
      <c r="G57" s="8">
        <f>SUM(G53:G56)</f>
        <v>226203.09250000003</v>
      </c>
      <c r="H57" s="12"/>
    </row>
    <row r="58" spans="1:8" ht="15.75" thickBot="1" x14ac:dyDescent="0.3">
      <c r="A58" s="30"/>
      <c r="B58" s="31"/>
      <c r="C58" s="9"/>
      <c r="D58" s="9"/>
      <c r="E58" s="9"/>
      <c r="F58" s="9"/>
      <c r="G58" s="32"/>
      <c r="H58" s="12"/>
    </row>
    <row r="59" spans="1:8" x14ac:dyDescent="0.25">
      <c r="A59" s="33"/>
      <c r="B59" s="34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10"/>
      <c r="F62" s="10"/>
      <c r="G62" s="10"/>
      <c r="H62" s="12"/>
    </row>
    <row r="63" spans="1:8" x14ac:dyDescent="0.25">
      <c r="A63" s="22" t="s">
        <v>234</v>
      </c>
      <c r="B63" s="34"/>
      <c r="C63" s="10"/>
      <c r="D63" s="10"/>
      <c r="E63" s="10"/>
      <c r="F63" s="10"/>
      <c r="G63" s="10"/>
      <c r="H63" s="12"/>
    </row>
    <row r="64" spans="1:8" x14ac:dyDescent="0.25">
      <c r="A64" s="33"/>
      <c r="B64" s="34"/>
      <c r="C64" s="10"/>
      <c r="D64" s="10"/>
      <c r="E64" s="10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5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6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9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2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f>C69/4</f>
        <v>214596.48000000001</v>
      </c>
      <c r="E69" s="2">
        <f>65251.06+75251.06</f>
        <v>140502.12</v>
      </c>
      <c r="F69" s="2">
        <f>C69-E69</f>
        <v>717883.8</v>
      </c>
      <c r="G69" s="2">
        <f>D69-E69</f>
        <v>74094.360000000015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f>C70/4</f>
        <v>30858.237499999999</v>
      </c>
      <c r="E70" s="2">
        <v>2000</v>
      </c>
      <c r="F70" s="2">
        <f>C70-E70</f>
        <v>121432.95</v>
      </c>
      <c r="G70" s="2">
        <f>D70-E70</f>
        <v>28858.237499999999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f>C71/4</f>
        <v>7500</v>
      </c>
      <c r="E71" s="2"/>
      <c r="F71" s="2">
        <f>C71-E71</f>
        <v>30000</v>
      </c>
      <c r="G71" s="2">
        <f>D71-E71</f>
        <v>7500</v>
      </c>
      <c r="H71" s="12"/>
    </row>
    <row r="72" spans="1:8" x14ac:dyDescent="0.25">
      <c r="A72" s="25"/>
      <c r="B72" s="27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252954.7175</v>
      </c>
      <c r="E73" s="8">
        <f>SUM(E69:E72)</f>
        <v>142502.12</v>
      </c>
      <c r="F73" s="8">
        <f>SUM(F69:F72)</f>
        <v>869316.75</v>
      </c>
      <c r="G73" s="8">
        <f>SUM(G69:G72)</f>
        <v>110452.59750000002</v>
      </c>
      <c r="H73" s="12"/>
    </row>
    <row r="74" spans="1:8" x14ac:dyDescent="0.25">
      <c r="A74" s="25"/>
      <c r="B74" s="18"/>
      <c r="C74" s="2"/>
      <c r="D74" s="2"/>
      <c r="E74" s="2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2"/>
      <c r="E75" s="2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f>C76/4</f>
        <v>299895.74</v>
      </c>
      <c r="E76" s="2">
        <f>43617.35+89117.35</f>
        <v>132734.70000000001</v>
      </c>
      <c r="F76" s="2">
        <f>C76-E76</f>
        <v>1066848.26</v>
      </c>
      <c r="G76" s="2">
        <f>D76-E76</f>
        <v>167161.03999999998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f>C77/4</f>
        <v>206002.19750000001</v>
      </c>
      <c r="E77" s="2">
        <f>65119.58+36394.25</f>
        <v>101513.83</v>
      </c>
      <c r="F77" s="2">
        <f>C77-E77</f>
        <v>722494.96000000008</v>
      </c>
      <c r="G77" s="2">
        <f>D77-E77</f>
        <v>104488.36750000001</v>
      </c>
      <c r="H77" s="12"/>
    </row>
    <row r="78" spans="1:8" x14ac:dyDescent="0.25">
      <c r="A78" s="25"/>
      <c r="B78" s="27" t="s">
        <v>13</v>
      </c>
      <c r="C78" s="2"/>
      <c r="D78" s="2"/>
      <c r="E78" s="2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2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505897.9375</v>
      </c>
      <c r="E80" s="8">
        <f>SUM(E76:E79)</f>
        <v>234248.53000000003</v>
      </c>
      <c r="F80" s="8">
        <f>SUM(F76:F79)</f>
        <v>1789343.2200000002</v>
      </c>
      <c r="G80" s="8">
        <f>SUM(G76:G79)</f>
        <v>271649.40749999997</v>
      </c>
      <c r="H80" s="12"/>
    </row>
    <row r="81" spans="1:8" x14ac:dyDescent="0.25">
      <c r="A81" s="25"/>
      <c r="B81" s="18"/>
      <c r="C81" s="2"/>
      <c r="D81" s="2"/>
      <c r="E81" s="2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2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f t="shared" ref="D83:D84" si="2">C83/4</f>
        <v>792467.3</v>
      </c>
      <c r="E83" s="2">
        <f>238901.81+278901.81</f>
        <v>517803.62</v>
      </c>
      <c r="F83" s="2">
        <f>C83-E83</f>
        <v>2652065.58</v>
      </c>
      <c r="G83" s="2">
        <f>D83-E83</f>
        <v>274663.68000000005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f t="shared" si="2"/>
        <v>48097</v>
      </c>
      <c r="E84" s="2"/>
      <c r="F84" s="2">
        <f>C84-E84</f>
        <v>192388</v>
      </c>
      <c r="G84" s="2">
        <f>D84-E84</f>
        <v>48097</v>
      </c>
      <c r="H84" s="12"/>
    </row>
    <row r="85" spans="1:8" x14ac:dyDescent="0.25">
      <c r="A85" s="25"/>
      <c r="B85" s="27" t="s">
        <v>13</v>
      </c>
      <c r="C85" s="2"/>
      <c r="D85" s="2"/>
      <c r="E85" s="2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2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840564.3</v>
      </c>
      <c r="E87" s="8">
        <f>SUM(E83:E86)</f>
        <v>517803.62</v>
      </c>
      <c r="F87" s="8">
        <f>SUM(F83:F86)</f>
        <v>2844453.58</v>
      </c>
      <c r="G87" s="8">
        <f>SUM(G83:G86)</f>
        <v>322760.68000000005</v>
      </c>
      <c r="H87" s="12"/>
    </row>
    <row r="88" spans="1:8" x14ac:dyDescent="0.25">
      <c r="A88" s="25"/>
      <c r="B88" s="18"/>
      <c r="C88" s="2"/>
      <c r="D88" s="2"/>
      <c r="E88" s="2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2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f t="shared" ref="D90:D92" si="3">C90/4</f>
        <v>306223.42</v>
      </c>
      <c r="E90" s="2">
        <f>82617.57+102617.57</f>
        <v>185235.14</v>
      </c>
      <c r="F90" s="2">
        <f>C90-E90</f>
        <v>1039658.5399999999</v>
      </c>
      <c r="G90" s="2">
        <f>D90-E90</f>
        <v>120988.27999999997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f t="shared" si="3"/>
        <v>52242</v>
      </c>
      <c r="E91" s="2"/>
      <c r="F91" s="2">
        <f>C91-E91</f>
        <v>208968</v>
      </c>
      <c r="G91" s="2">
        <f>D91-E91</f>
        <v>52242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f t="shared" si="3"/>
        <v>7500</v>
      </c>
      <c r="E92" s="2"/>
      <c r="F92" s="2">
        <f>C92-E92</f>
        <v>30000</v>
      </c>
      <c r="G92" s="2">
        <f>D92-E92</f>
        <v>7500</v>
      </c>
      <c r="H92" s="12"/>
    </row>
    <row r="93" spans="1:8" x14ac:dyDescent="0.25">
      <c r="A93" s="25"/>
      <c r="B93" s="27" t="s">
        <v>14</v>
      </c>
      <c r="C93" s="2"/>
      <c r="D93" s="2"/>
      <c r="E93" s="2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365965.42</v>
      </c>
      <c r="E94" s="8">
        <f>SUM(E90:E93)</f>
        <v>185235.14</v>
      </c>
      <c r="F94" s="8">
        <f>SUM(F90:F93)</f>
        <v>1278626.54</v>
      </c>
      <c r="G94" s="8">
        <f>SUM(G90:G93)</f>
        <v>180730.27999999997</v>
      </c>
      <c r="H94" s="12"/>
    </row>
    <row r="95" spans="1:8" x14ac:dyDescent="0.25">
      <c r="A95" s="25"/>
      <c r="B95" s="18"/>
      <c r="C95" s="2"/>
      <c r="D95" s="2"/>
      <c r="E95" s="2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2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f t="shared" ref="D97:D98" si="4">C97/4</f>
        <v>231917.26</v>
      </c>
      <c r="E97" s="2">
        <f>63960.58+78960.58</f>
        <v>142921.16</v>
      </c>
      <c r="F97" s="2">
        <f>C97-E97</f>
        <v>784747.88</v>
      </c>
      <c r="G97" s="2">
        <f>D97-E97</f>
        <v>88996.1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f t="shared" si="4"/>
        <v>25880</v>
      </c>
      <c r="E98" s="2"/>
      <c r="F98" s="2">
        <f>C98-E98</f>
        <v>103520</v>
      </c>
      <c r="G98" s="2">
        <f>D98-E98</f>
        <v>25880</v>
      </c>
      <c r="H98" s="12"/>
    </row>
    <row r="99" spans="1:8" x14ac:dyDescent="0.25">
      <c r="A99" s="25"/>
      <c r="B99" s="27" t="s">
        <v>13</v>
      </c>
      <c r="C99" s="2"/>
      <c r="D99" s="2"/>
      <c r="E99" s="2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257797.26</v>
      </c>
      <c r="E101" s="8">
        <f>SUM(E97:E100)</f>
        <v>142921.16</v>
      </c>
      <c r="F101" s="8">
        <f>SUM(F97:F100)</f>
        <v>888267.88</v>
      </c>
      <c r="G101" s="8">
        <f>SUM(G97:G100)</f>
        <v>114876.1</v>
      </c>
      <c r="H101" s="12"/>
    </row>
    <row r="102" spans="1:8" x14ac:dyDescent="0.25">
      <c r="A102" s="25"/>
      <c r="B102" s="18"/>
      <c r="C102" s="2"/>
      <c r="D102" s="2"/>
      <c r="E102" s="2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f t="shared" ref="D104:D105" si="5">C104/4</f>
        <v>283680.12</v>
      </c>
      <c r="E104" s="2">
        <f>84930+99930</f>
        <v>184860</v>
      </c>
      <c r="F104" s="2">
        <f>C104-E104</f>
        <v>949860.48</v>
      </c>
      <c r="G104" s="2">
        <f>D104-E104</f>
        <v>98820.12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f t="shared" si="5"/>
        <v>16850.762500000001</v>
      </c>
      <c r="E105" s="2"/>
      <c r="F105" s="2">
        <f>C105-E105</f>
        <v>67403.05</v>
      </c>
      <c r="G105" s="2">
        <f>D105-E105</f>
        <v>16850.762500000001</v>
      </c>
      <c r="H105" s="12"/>
    </row>
    <row r="106" spans="1:8" x14ac:dyDescent="0.25">
      <c r="A106" s="25"/>
      <c r="B106" s="27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300530.88250000001</v>
      </c>
      <c r="E108" s="8">
        <f>SUM(E104:E107)</f>
        <v>184860</v>
      </c>
      <c r="F108" s="8">
        <f>SUM(F104:F107)</f>
        <v>1017263.53</v>
      </c>
      <c r="G108" s="8">
        <f>SUM(G104:G107)</f>
        <v>115670.88249999999</v>
      </c>
      <c r="H108" s="12"/>
    </row>
    <row r="109" spans="1:8" x14ac:dyDescent="0.25">
      <c r="A109" s="25"/>
      <c r="B109" s="18"/>
      <c r="C109" s="2"/>
      <c r="D109" s="2"/>
      <c r="E109" s="2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f>C112/4</f>
        <v>32500</v>
      </c>
      <c r="E112" s="2"/>
      <c r="F112" s="2">
        <f>C112-E112</f>
        <v>130000</v>
      </c>
      <c r="G112" s="2">
        <f>D112-E112</f>
        <v>32500</v>
      </c>
      <c r="H112" s="12"/>
    </row>
    <row r="113" spans="1:8" x14ac:dyDescent="0.25">
      <c r="A113" s="25"/>
      <c r="B113" s="27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32500</v>
      </c>
      <c r="E115" s="8">
        <f>SUM(E111:E114)</f>
        <v>0</v>
      </c>
      <c r="F115" s="8">
        <f>SUM(F111:F114)</f>
        <v>130000</v>
      </c>
      <c r="G115" s="8">
        <f>SUM(G111:G114)</f>
        <v>32500</v>
      </c>
      <c r="H115" s="12"/>
    </row>
    <row r="116" spans="1:8" ht="15.75" thickBot="1" x14ac:dyDescent="0.3">
      <c r="A116" s="35"/>
      <c r="B116" s="36"/>
      <c r="C116" s="9"/>
      <c r="D116" s="9"/>
      <c r="E116" s="9"/>
      <c r="F116" s="9"/>
      <c r="G116" s="3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/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10"/>
      <c r="F122" s="10"/>
      <c r="G122" s="10"/>
      <c r="H122" s="12"/>
    </row>
    <row r="123" spans="1:8" x14ac:dyDescent="0.25">
      <c r="A123" s="22" t="s">
        <v>234</v>
      </c>
      <c r="B123" s="34"/>
      <c r="C123" s="10"/>
      <c r="D123" s="10"/>
      <c r="E123" s="10"/>
      <c r="F123" s="10"/>
      <c r="G123" s="10"/>
      <c r="H123" s="12"/>
    </row>
    <row r="124" spans="1:8" x14ac:dyDescent="0.25">
      <c r="A124" s="33"/>
      <c r="B124" s="34"/>
      <c r="C124" s="10"/>
      <c r="D124" s="10"/>
      <c r="E124" s="10"/>
      <c r="F124" s="10"/>
      <c r="G124" s="10"/>
      <c r="H124" s="12"/>
    </row>
    <row r="125" spans="1:8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5" t="s">
        <v>7</v>
      </c>
      <c r="F125" s="15" t="s">
        <v>8</v>
      </c>
      <c r="G125" s="15" t="s">
        <v>8</v>
      </c>
      <c r="H125" s="12"/>
    </row>
    <row r="126" spans="1:8" x14ac:dyDescent="0.25">
      <c r="A126" s="116"/>
      <c r="B126" s="116"/>
      <c r="C126" s="116"/>
      <c r="D126" s="116"/>
      <c r="E126" s="116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f t="shared" ref="D128:D151" si="6">C128/4</f>
        <v>9649</v>
      </c>
      <c r="E128" s="2"/>
      <c r="F128" s="2">
        <f t="shared" ref="F128:F145" si="7">C128-E128</f>
        <v>38596</v>
      </c>
      <c r="G128" s="2">
        <f t="shared" ref="G128:G145" si="8">D128-E128</f>
        <v>9649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f t="shared" si="6"/>
        <v>107500</v>
      </c>
      <c r="E129" s="2"/>
      <c r="F129" s="2">
        <f t="shared" ref="F129:F132" si="9">C129-E129</f>
        <v>430000</v>
      </c>
      <c r="G129" s="2">
        <f t="shared" ref="G129:G132" si="10">D129-E129</f>
        <v>107500</v>
      </c>
      <c r="H129" s="12"/>
    </row>
    <row r="130" spans="1:10" x14ac:dyDescent="0.25">
      <c r="A130" s="18"/>
      <c r="B130" s="18" t="s">
        <v>88</v>
      </c>
      <c r="C130" s="2">
        <v>120000</v>
      </c>
      <c r="D130" s="2">
        <f t="shared" si="6"/>
        <v>30000</v>
      </c>
      <c r="E130" s="2"/>
      <c r="F130" s="2">
        <f t="shared" si="9"/>
        <v>120000</v>
      </c>
      <c r="G130" s="2">
        <f t="shared" si="10"/>
        <v>30000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f t="shared" si="6"/>
        <v>75000</v>
      </c>
      <c r="E131" s="2"/>
      <c r="F131" s="2">
        <f t="shared" si="9"/>
        <v>300000</v>
      </c>
      <c r="G131" s="2">
        <f t="shared" si="10"/>
        <v>75000</v>
      </c>
      <c r="H131" s="12"/>
    </row>
    <row r="132" spans="1:10" x14ac:dyDescent="0.25">
      <c r="A132" s="18"/>
      <c r="B132" s="18" t="s">
        <v>166</v>
      </c>
      <c r="C132" s="2">
        <v>200000</v>
      </c>
      <c r="D132" s="2">
        <f t="shared" si="6"/>
        <v>50000</v>
      </c>
      <c r="E132" s="2"/>
      <c r="F132" s="2">
        <f t="shared" si="9"/>
        <v>200000</v>
      </c>
      <c r="G132" s="2">
        <f t="shared" si="10"/>
        <v>50000</v>
      </c>
      <c r="H132" s="12"/>
    </row>
    <row r="133" spans="1:10" x14ac:dyDescent="0.25">
      <c r="A133" s="18"/>
      <c r="B133" s="18" t="s">
        <v>143</v>
      </c>
      <c r="C133" s="2">
        <v>145000</v>
      </c>
      <c r="D133" s="2">
        <f t="shared" si="6"/>
        <v>36250</v>
      </c>
      <c r="E133" s="2"/>
      <c r="F133" s="2">
        <f t="shared" si="7"/>
        <v>145000</v>
      </c>
      <c r="G133" s="2">
        <f t="shared" si="8"/>
        <v>36250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f t="shared" si="6"/>
        <v>30000</v>
      </c>
      <c r="E134" s="2"/>
      <c r="F134" s="2">
        <f t="shared" ref="F134:F135" si="11">C134-E134</f>
        <v>120000</v>
      </c>
      <c r="G134" s="2">
        <f t="shared" ref="G134:G135" si="12">D134-E134</f>
        <v>30000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f t="shared" si="6"/>
        <v>18750</v>
      </c>
      <c r="E135" s="2"/>
      <c r="F135" s="2">
        <f t="shared" si="11"/>
        <v>75000</v>
      </c>
      <c r="G135" s="2">
        <f t="shared" si="12"/>
        <v>18750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f t="shared" si="6"/>
        <v>375000</v>
      </c>
      <c r="E136" s="2">
        <f>214375+103410</f>
        <v>317785</v>
      </c>
      <c r="F136" s="2">
        <f t="shared" si="7"/>
        <v>1182215</v>
      </c>
      <c r="G136" s="2">
        <f t="shared" si="8"/>
        <v>57215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f t="shared" si="6"/>
        <v>25000</v>
      </c>
      <c r="E137" s="2"/>
      <c r="F137" s="2">
        <f t="shared" si="7"/>
        <v>100000</v>
      </c>
      <c r="G137" s="2">
        <f t="shared" si="8"/>
        <v>25000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v>150000</v>
      </c>
      <c r="D138" s="2">
        <f t="shared" si="6"/>
        <v>37500</v>
      </c>
      <c r="E138" s="2"/>
      <c r="F138" s="2">
        <f t="shared" ref="F138:F139" si="13">C138-E138</f>
        <v>150000</v>
      </c>
      <c r="G138" s="2">
        <f t="shared" ref="G138:G139" si="14">D138-E138</f>
        <v>37500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f t="shared" si="6"/>
        <v>17500</v>
      </c>
      <c r="E139" s="2"/>
      <c r="F139" s="2">
        <f t="shared" si="13"/>
        <v>70000</v>
      </c>
      <c r="G139" s="2">
        <f t="shared" si="14"/>
        <v>17500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f t="shared" si="6"/>
        <v>75000</v>
      </c>
      <c r="E140" s="2"/>
      <c r="F140" s="2">
        <f t="shared" si="7"/>
        <v>300000</v>
      </c>
      <c r="G140" s="2">
        <f t="shared" si="8"/>
        <v>75000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f t="shared" si="6"/>
        <v>5000</v>
      </c>
      <c r="E141" s="2"/>
      <c r="F141" s="2">
        <f t="shared" ref="F141" si="15">C141-E141</f>
        <v>20000</v>
      </c>
      <c r="G141" s="2">
        <f t="shared" ref="G141" si="16">D141-E141</f>
        <v>5000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f t="shared" si="6"/>
        <v>3750</v>
      </c>
      <c r="E142" s="2"/>
      <c r="F142" s="2">
        <f t="shared" si="7"/>
        <v>15000</v>
      </c>
      <c r="G142" s="2">
        <f t="shared" si="8"/>
        <v>3750</v>
      </c>
      <c r="J142" s="12"/>
    </row>
    <row r="143" spans="1:10" x14ac:dyDescent="0.25">
      <c r="A143" s="18"/>
      <c r="B143" s="18" t="s">
        <v>51</v>
      </c>
      <c r="C143" s="2">
        <v>750000</v>
      </c>
      <c r="D143" s="2">
        <f t="shared" si="6"/>
        <v>187500</v>
      </c>
      <c r="E143" s="2"/>
      <c r="F143" s="2">
        <f t="shared" si="7"/>
        <v>750000</v>
      </c>
      <c r="G143" s="2">
        <f t="shared" si="8"/>
        <v>187500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f t="shared" si="6"/>
        <v>12500</v>
      </c>
      <c r="E144" s="2"/>
      <c r="F144" s="2">
        <f t="shared" si="7"/>
        <v>50000</v>
      </c>
      <c r="G144" s="2">
        <f t="shared" si="8"/>
        <v>12500</v>
      </c>
    </row>
    <row r="145" spans="1:7" x14ac:dyDescent="0.25">
      <c r="A145" s="18"/>
      <c r="B145" s="18" t="s">
        <v>223</v>
      </c>
      <c r="C145" s="2">
        <v>455427.6</v>
      </c>
      <c r="D145" s="2">
        <f t="shared" si="6"/>
        <v>113856.9</v>
      </c>
      <c r="E145" s="2"/>
      <c r="F145" s="2">
        <f t="shared" si="7"/>
        <v>455427.6</v>
      </c>
      <c r="G145" s="2">
        <f t="shared" si="8"/>
        <v>113856.9</v>
      </c>
    </row>
    <row r="146" spans="1:7" x14ac:dyDescent="0.25">
      <c r="A146" s="18"/>
      <c r="B146" s="18" t="s">
        <v>224</v>
      </c>
      <c r="C146" s="2">
        <v>1200000</v>
      </c>
      <c r="D146" s="2">
        <f t="shared" si="6"/>
        <v>300000</v>
      </c>
      <c r="E146" s="2">
        <v>2200</v>
      </c>
      <c r="F146" s="2">
        <f t="shared" ref="F146:F151" si="17">C146-E146</f>
        <v>1197800</v>
      </c>
      <c r="G146" s="2">
        <f t="shared" ref="G146:G150" si="18">D146-E146</f>
        <v>297800</v>
      </c>
    </row>
    <row r="147" spans="1:7" x14ac:dyDescent="0.25">
      <c r="A147" s="18"/>
      <c r="B147" s="18" t="s">
        <v>211</v>
      </c>
      <c r="C147" s="2">
        <v>500000</v>
      </c>
      <c r="D147" s="2">
        <f t="shared" si="6"/>
        <v>125000</v>
      </c>
      <c r="E147" s="2"/>
      <c r="F147" s="2">
        <f t="shared" si="17"/>
        <v>500000</v>
      </c>
      <c r="G147" s="2">
        <f t="shared" si="18"/>
        <v>125000</v>
      </c>
    </row>
    <row r="148" spans="1:7" x14ac:dyDescent="0.25">
      <c r="A148" s="18"/>
      <c r="B148" s="18" t="s">
        <v>212</v>
      </c>
      <c r="C148" s="2">
        <v>300000</v>
      </c>
      <c r="D148" s="2">
        <f t="shared" si="6"/>
        <v>75000</v>
      </c>
      <c r="E148" s="2"/>
      <c r="F148" s="2">
        <f t="shared" si="17"/>
        <v>300000</v>
      </c>
      <c r="G148" s="2">
        <f t="shared" si="18"/>
        <v>75000</v>
      </c>
    </row>
    <row r="149" spans="1:7" x14ac:dyDescent="0.25">
      <c r="A149" s="18"/>
      <c r="B149" s="18" t="s">
        <v>213</v>
      </c>
      <c r="C149" s="2">
        <v>375000</v>
      </c>
      <c r="D149" s="2">
        <f t="shared" si="6"/>
        <v>93750</v>
      </c>
      <c r="E149" s="2"/>
      <c r="F149" s="2">
        <f t="shared" si="17"/>
        <v>375000</v>
      </c>
      <c r="G149" s="2">
        <f t="shared" si="18"/>
        <v>93750</v>
      </c>
    </row>
    <row r="150" spans="1:7" x14ac:dyDescent="0.25">
      <c r="A150" s="18"/>
      <c r="B150" s="18" t="s">
        <v>32</v>
      </c>
      <c r="C150" s="2">
        <v>250000</v>
      </c>
      <c r="D150" s="2">
        <f t="shared" si="6"/>
        <v>62500</v>
      </c>
      <c r="E150" s="2"/>
      <c r="F150" s="2">
        <f t="shared" si="17"/>
        <v>250000</v>
      </c>
      <c r="G150" s="2">
        <f t="shared" si="18"/>
        <v>62500</v>
      </c>
    </row>
    <row r="151" spans="1:7" x14ac:dyDescent="0.25">
      <c r="A151" s="18"/>
      <c r="B151" s="18" t="s">
        <v>96</v>
      </c>
      <c r="C151" s="2">
        <v>776404</v>
      </c>
      <c r="D151" s="2">
        <f t="shared" si="6"/>
        <v>194101</v>
      </c>
      <c r="E151" s="2">
        <v>194101</v>
      </c>
      <c r="F151" s="2">
        <f t="shared" si="17"/>
        <v>582303</v>
      </c>
      <c r="G151" s="2">
        <f>D151-E151</f>
        <v>0</v>
      </c>
    </row>
    <row r="152" spans="1:7" x14ac:dyDescent="0.25">
      <c r="A152" s="37"/>
      <c r="B152" s="37"/>
      <c r="C152" s="6"/>
      <c r="D152" s="6"/>
      <c r="E152" s="6"/>
      <c r="F152" s="2"/>
      <c r="G152" s="2"/>
    </row>
    <row r="153" spans="1:7" x14ac:dyDescent="0.25">
      <c r="A153" s="38"/>
      <c r="B153" s="28" t="s">
        <v>27</v>
      </c>
      <c r="C153" s="8">
        <f>SUM(C128:C152)</f>
        <v>8240427.5999999996</v>
      </c>
      <c r="D153" s="8">
        <f>SUM(D128:D152)</f>
        <v>2060106.9</v>
      </c>
      <c r="E153" s="8">
        <f>SUM(E128:E152)</f>
        <v>514086</v>
      </c>
      <c r="F153" s="8">
        <f>SUM(F128:F152)</f>
        <v>7726341.5999999996</v>
      </c>
      <c r="G153" s="8">
        <f>SUM(G128:G152)</f>
        <v>1546020.9</v>
      </c>
    </row>
    <row r="154" spans="1:7" x14ac:dyDescent="0.25">
      <c r="C154" s="7"/>
    </row>
    <row r="155" spans="1:7" x14ac:dyDescent="0.25">
      <c r="C155" s="14"/>
      <c r="E155" s="14"/>
    </row>
    <row r="156" spans="1:7" x14ac:dyDescent="0.25">
      <c r="C156" s="14"/>
    </row>
    <row r="158" spans="1:7" x14ac:dyDescent="0.25">
      <c r="A158" s="13" t="s">
        <v>0</v>
      </c>
      <c r="B158" s="34"/>
      <c r="C158" s="10"/>
      <c r="D158" s="10"/>
      <c r="E158" s="10"/>
      <c r="F158" s="10"/>
      <c r="G158" s="10"/>
    </row>
    <row r="159" spans="1:7" x14ac:dyDescent="0.25">
      <c r="A159" s="13" t="s">
        <v>1</v>
      </c>
      <c r="B159" s="34"/>
      <c r="C159" s="10"/>
      <c r="D159" s="10"/>
      <c r="E159" s="10"/>
      <c r="F159" s="10"/>
      <c r="G159" s="10"/>
    </row>
    <row r="160" spans="1:7" x14ac:dyDescent="0.25">
      <c r="A160" s="13" t="s">
        <v>2</v>
      </c>
      <c r="B160" s="34"/>
      <c r="C160" s="10"/>
      <c r="D160" s="10"/>
      <c r="E160" s="10"/>
      <c r="F160" s="10"/>
      <c r="G160" s="10"/>
    </row>
    <row r="161" spans="1:9" x14ac:dyDescent="0.25">
      <c r="A161" s="22" t="s">
        <v>234</v>
      </c>
      <c r="B161" s="34"/>
      <c r="C161" s="10"/>
      <c r="D161" s="10"/>
      <c r="E161" s="10"/>
      <c r="F161" s="10"/>
      <c r="G161" s="10"/>
    </row>
    <row r="162" spans="1:9" x14ac:dyDescent="0.25">
      <c r="A162" s="33"/>
      <c r="B162" s="34"/>
      <c r="C162" s="10"/>
      <c r="D162" s="10"/>
      <c r="E162" s="10"/>
      <c r="F162" s="10"/>
      <c r="G162" s="10"/>
    </row>
    <row r="163" spans="1:9" x14ac:dyDescent="0.25">
      <c r="A163" s="115" t="s">
        <v>3</v>
      </c>
      <c r="B163" s="115" t="s">
        <v>4</v>
      </c>
      <c r="C163" s="115" t="s">
        <v>5</v>
      </c>
      <c r="D163" s="115" t="s">
        <v>6</v>
      </c>
      <c r="E163" s="115" t="s">
        <v>7</v>
      </c>
      <c r="F163" s="15" t="s">
        <v>8</v>
      </c>
      <c r="G163" s="15" t="s">
        <v>8</v>
      </c>
    </row>
    <row r="164" spans="1:9" x14ac:dyDescent="0.25">
      <c r="A164" s="116"/>
      <c r="B164" s="116"/>
      <c r="C164" s="116"/>
      <c r="D164" s="116"/>
      <c r="E164" s="116"/>
      <c r="F164" s="16" t="s">
        <v>5</v>
      </c>
      <c r="G164" s="16" t="s">
        <v>6</v>
      </c>
    </row>
    <row r="165" spans="1:9" x14ac:dyDescent="0.25">
      <c r="A165" s="17"/>
      <c r="B165" s="17"/>
      <c r="C165" s="17"/>
      <c r="D165" s="17"/>
      <c r="E165" s="17"/>
      <c r="F165" s="17"/>
      <c r="G165" s="17"/>
    </row>
    <row r="166" spans="1:9" x14ac:dyDescent="0.25">
      <c r="A166" s="18"/>
      <c r="B166" s="26" t="s">
        <v>53</v>
      </c>
      <c r="C166" s="18"/>
      <c r="D166" s="18"/>
      <c r="E166" s="18"/>
      <c r="F166" s="18"/>
      <c r="G166" s="18"/>
    </row>
    <row r="167" spans="1:9" x14ac:dyDescent="0.25">
      <c r="A167" s="18"/>
      <c r="B167" s="27" t="s">
        <v>11</v>
      </c>
      <c r="C167" s="2"/>
      <c r="D167" s="2"/>
      <c r="E167" s="2"/>
      <c r="F167" s="2"/>
      <c r="G167" s="2"/>
    </row>
    <row r="168" spans="1:9" x14ac:dyDescent="0.25">
      <c r="A168" s="18"/>
      <c r="B168" s="4" t="s">
        <v>58</v>
      </c>
      <c r="C168" s="2">
        <v>320000</v>
      </c>
      <c r="D168" s="2">
        <f t="shared" ref="D168:D169" si="19">C168/4</f>
        <v>80000</v>
      </c>
      <c r="E168" s="2">
        <v>16993</v>
      </c>
      <c r="F168" s="2">
        <f t="shared" ref="F168:F188" si="20">C168-E168</f>
        <v>303007</v>
      </c>
      <c r="G168" s="2">
        <f t="shared" ref="G168:G188" si="21">D168-E168</f>
        <v>63007</v>
      </c>
    </row>
    <row r="169" spans="1:9" x14ac:dyDescent="0.25">
      <c r="A169" s="18"/>
      <c r="B169" s="4" t="s">
        <v>59</v>
      </c>
      <c r="C169" s="2">
        <v>1000000</v>
      </c>
      <c r="D169" s="2">
        <f t="shared" si="19"/>
        <v>250000</v>
      </c>
      <c r="E169" s="2">
        <f>122000+120000</f>
        <v>242000</v>
      </c>
      <c r="F169" s="2">
        <f t="shared" si="20"/>
        <v>758000</v>
      </c>
      <c r="G169" s="2">
        <f t="shared" si="21"/>
        <v>8000</v>
      </c>
      <c r="I169" s="14">
        <f>E169*12</f>
        <v>2904000</v>
      </c>
    </row>
    <row r="170" spans="1:9" x14ac:dyDescent="0.25">
      <c r="A170" s="18"/>
      <c r="B170" s="27" t="s">
        <v>12</v>
      </c>
      <c r="C170" s="2"/>
      <c r="D170" s="2"/>
      <c r="E170" s="2"/>
      <c r="F170" s="2">
        <f t="shared" si="20"/>
        <v>0</v>
      </c>
      <c r="G170" s="2">
        <f t="shared" si="21"/>
        <v>0</v>
      </c>
    </row>
    <row r="171" spans="1:9" x14ac:dyDescent="0.25">
      <c r="A171" s="18"/>
      <c r="B171" s="4" t="s">
        <v>54</v>
      </c>
      <c r="C171" s="2">
        <v>2419990.09</v>
      </c>
      <c r="D171" s="2">
        <f t="shared" ref="D171:D176" si="22">C171/4</f>
        <v>604997.52249999996</v>
      </c>
      <c r="E171" s="2">
        <v>78500</v>
      </c>
      <c r="F171" s="2">
        <f t="shared" si="20"/>
        <v>2341490.09</v>
      </c>
      <c r="G171" s="2">
        <f t="shared" si="21"/>
        <v>526497.52249999996</v>
      </c>
      <c r="I171" s="14">
        <f>C171/4</f>
        <v>604997.52249999996</v>
      </c>
    </row>
    <row r="172" spans="1:9" x14ac:dyDescent="0.25">
      <c r="A172" s="18"/>
      <c r="B172" s="4" t="s">
        <v>55</v>
      </c>
      <c r="C172" s="2">
        <v>15000</v>
      </c>
      <c r="D172" s="2">
        <f t="shared" si="22"/>
        <v>3750</v>
      </c>
      <c r="E172" s="2"/>
      <c r="F172" s="2">
        <f t="shared" si="20"/>
        <v>15000</v>
      </c>
      <c r="G172" s="2">
        <f t="shared" si="21"/>
        <v>3750</v>
      </c>
    </row>
    <row r="173" spans="1:9" x14ac:dyDescent="0.25">
      <c r="A173" s="18"/>
      <c r="B173" s="4" t="s">
        <v>56</v>
      </c>
      <c r="C173" s="2">
        <v>20000</v>
      </c>
      <c r="D173" s="2">
        <f t="shared" si="22"/>
        <v>5000</v>
      </c>
      <c r="E173" s="2"/>
      <c r="F173" s="2">
        <f t="shared" si="20"/>
        <v>20000</v>
      </c>
      <c r="G173" s="2">
        <f t="shared" si="21"/>
        <v>5000</v>
      </c>
    </row>
    <row r="174" spans="1:9" x14ac:dyDescent="0.25">
      <c r="A174" s="18"/>
      <c r="B174" s="4" t="s">
        <v>160</v>
      </c>
      <c r="C174" s="2">
        <v>2419990.09</v>
      </c>
      <c r="D174" s="2">
        <f t="shared" si="22"/>
        <v>604997.52249999996</v>
      </c>
      <c r="E174" s="2">
        <v>8000</v>
      </c>
      <c r="F174" s="2">
        <f t="shared" si="20"/>
        <v>2411990.09</v>
      </c>
      <c r="G174" s="2">
        <f t="shared" si="21"/>
        <v>596997.52249999996</v>
      </c>
    </row>
    <row r="175" spans="1:9" x14ac:dyDescent="0.25">
      <c r="A175" s="18"/>
      <c r="B175" s="4" t="s">
        <v>161</v>
      </c>
      <c r="C175" s="2">
        <v>483998.02</v>
      </c>
      <c r="D175" s="2">
        <f t="shared" si="22"/>
        <v>120999.505</v>
      </c>
      <c r="E175" s="2"/>
      <c r="F175" s="2">
        <f t="shared" ref="F175" si="23">C175-E175</f>
        <v>483998.02</v>
      </c>
      <c r="G175" s="2">
        <f t="shared" ref="G175" si="24">D175-E175</f>
        <v>120999.505</v>
      </c>
    </row>
    <row r="176" spans="1:9" x14ac:dyDescent="0.25">
      <c r="A176" s="18"/>
      <c r="B176" s="55" t="s">
        <v>162</v>
      </c>
      <c r="C176" s="2">
        <v>412021.38</v>
      </c>
      <c r="D176" s="2">
        <f t="shared" si="22"/>
        <v>103005.345</v>
      </c>
      <c r="E176" s="2"/>
      <c r="F176" s="2">
        <f t="shared" si="20"/>
        <v>412021.38</v>
      </c>
      <c r="G176" s="2">
        <f t="shared" si="21"/>
        <v>103005.345</v>
      </c>
    </row>
    <row r="177" spans="1:7" x14ac:dyDescent="0.25">
      <c r="A177" s="18"/>
      <c r="B177" s="55" t="s">
        <v>225</v>
      </c>
      <c r="C177" s="2"/>
      <c r="D177" s="2"/>
      <c r="E177" s="2"/>
      <c r="F177" s="2"/>
      <c r="G177" s="2"/>
    </row>
    <row r="178" spans="1:7" x14ac:dyDescent="0.25">
      <c r="A178" s="18"/>
      <c r="B178" s="82" t="s">
        <v>226</v>
      </c>
      <c r="C178" s="2">
        <v>10000</v>
      </c>
      <c r="D178" s="2">
        <f t="shared" ref="D178:D182" si="25">C178/4</f>
        <v>2500</v>
      </c>
      <c r="E178" s="2"/>
      <c r="F178" s="2">
        <f t="shared" ref="F178:F179" si="26">C178-E178</f>
        <v>10000</v>
      </c>
      <c r="G178" s="2">
        <f t="shared" ref="G178:G179" si="27">D178-E178</f>
        <v>2500</v>
      </c>
    </row>
    <row r="179" spans="1:7" x14ac:dyDescent="0.25">
      <c r="A179" s="18"/>
      <c r="B179" s="55" t="s">
        <v>227</v>
      </c>
      <c r="C179" s="2">
        <v>10000</v>
      </c>
      <c r="D179" s="2">
        <f t="shared" si="25"/>
        <v>2500</v>
      </c>
      <c r="E179" s="2"/>
      <c r="F179" s="2">
        <f t="shared" si="26"/>
        <v>10000</v>
      </c>
      <c r="G179" s="2">
        <f t="shared" si="27"/>
        <v>2500</v>
      </c>
    </row>
    <row r="180" spans="1:7" x14ac:dyDescent="0.25">
      <c r="A180" s="18"/>
      <c r="B180" s="4" t="s">
        <v>228</v>
      </c>
      <c r="C180" s="2">
        <v>100000</v>
      </c>
      <c r="D180" s="2">
        <f t="shared" si="25"/>
        <v>25000</v>
      </c>
      <c r="E180" s="2"/>
      <c r="F180" s="2">
        <f t="shared" si="20"/>
        <v>100000</v>
      </c>
      <c r="G180" s="2">
        <f t="shared" si="21"/>
        <v>25000</v>
      </c>
    </row>
    <row r="181" spans="1:7" x14ac:dyDescent="0.25">
      <c r="A181" s="18"/>
      <c r="B181" s="4" t="s">
        <v>229</v>
      </c>
      <c r="C181" s="2">
        <v>300000</v>
      </c>
      <c r="D181" s="2">
        <f t="shared" si="25"/>
        <v>75000</v>
      </c>
      <c r="E181" s="2"/>
      <c r="F181" s="2">
        <f t="shared" ref="F181:F182" si="28">C181-E181</f>
        <v>300000</v>
      </c>
      <c r="G181" s="2">
        <f t="shared" ref="G181:G182" si="29">D181-E181</f>
        <v>75000</v>
      </c>
    </row>
    <row r="182" spans="1:7" x14ac:dyDescent="0.25">
      <c r="A182" s="18"/>
      <c r="B182" s="4" t="s">
        <v>105</v>
      </c>
      <c r="C182" s="2">
        <v>150000</v>
      </c>
      <c r="D182" s="2">
        <f t="shared" si="25"/>
        <v>37500</v>
      </c>
      <c r="E182" s="2"/>
      <c r="F182" s="2">
        <f t="shared" si="28"/>
        <v>150000</v>
      </c>
      <c r="G182" s="2">
        <f t="shared" si="29"/>
        <v>37500</v>
      </c>
    </row>
    <row r="183" spans="1:7" x14ac:dyDescent="0.25">
      <c r="A183" s="18"/>
      <c r="B183" s="27" t="s">
        <v>13</v>
      </c>
      <c r="C183" s="2"/>
      <c r="D183" s="2"/>
      <c r="E183" s="2"/>
      <c r="F183" s="2">
        <f t="shared" si="20"/>
        <v>0</v>
      </c>
      <c r="G183" s="2">
        <f t="shared" si="21"/>
        <v>0</v>
      </c>
    </row>
    <row r="184" spans="1:7" x14ac:dyDescent="0.25">
      <c r="A184" s="18"/>
      <c r="B184" s="4" t="s">
        <v>62</v>
      </c>
      <c r="C184" s="2"/>
      <c r="D184" s="2"/>
      <c r="E184" s="2"/>
      <c r="F184" s="2">
        <f t="shared" si="20"/>
        <v>0</v>
      </c>
      <c r="G184" s="2">
        <f t="shared" si="21"/>
        <v>0</v>
      </c>
    </row>
    <row r="185" spans="1:7" x14ac:dyDescent="0.25">
      <c r="A185" s="18"/>
      <c r="B185" s="83" t="s">
        <v>230</v>
      </c>
      <c r="C185" s="2">
        <v>500000</v>
      </c>
      <c r="D185" s="2">
        <f t="shared" ref="D185" si="30">C185/4</f>
        <v>125000</v>
      </c>
      <c r="E185" s="2"/>
      <c r="F185" s="2">
        <f t="shared" ref="F185" si="31">C185-E185</f>
        <v>500000</v>
      </c>
      <c r="G185" s="2">
        <f t="shared" ref="G185" si="32">D185-E185</f>
        <v>125000</v>
      </c>
    </row>
    <row r="186" spans="1:7" x14ac:dyDescent="0.25">
      <c r="A186" s="18"/>
      <c r="B186" s="4" t="s">
        <v>231</v>
      </c>
      <c r="C186" s="2"/>
      <c r="D186" s="2"/>
      <c r="E186" s="2"/>
      <c r="F186" s="2"/>
      <c r="G186" s="2"/>
    </row>
    <row r="187" spans="1:7" x14ac:dyDescent="0.25">
      <c r="A187" s="18"/>
      <c r="B187" s="83" t="s">
        <v>232</v>
      </c>
      <c r="C187" s="2">
        <v>2000000</v>
      </c>
      <c r="D187" s="2">
        <f t="shared" ref="D187:D188" si="33">C187/4</f>
        <v>500000</v>
      </c>
      <c r="E187" s="2"/>
      <c r="F187" s="2">
        <f t="shared" si="20"/>
        <v>2000000</v>
      </c>
      <c r="G187" s="2">
        <f t="shared" si="21"/>
        <v>500000</v>
      </c>
    </row>
    <row r="188" spans="1:7" x14ac:dyDescent="0.25">
      <c r="A188" s="18"/>
      <c r="B188" s="4" t="s">
        <v>233</v>
      </c>
      <c r="C188" s="2">
        <v>120000</v>
      </c>
      <c r="D188" s="2">
        <f t="shared" si="33"/>
        <v>30000</v>
      </c>
      <c r="E188" s="2"/>
      <c r="F188" s="2">
        <f t="shared" si="20"/>
        <v>120000</v>
      </c>
      <c r="G188" s="2">
        <f t="shared" si="21"/>
        <v>30000</v>
      </c>
    </row>
    <row r="189" spans="1:7" x14ac:dyDescent="0.25">
      <c r="A189" s="18"/>
      <c r="B189" s="4"/>
      <c r="C189" s="2"/>
      <c r="D189" s="2"/>
      <c r="E189" s="2"/>
      <c r="F189" s="2"/>
      <c r="G189" s="2"/>
    </row>
    <row r="190" spans="1:7" x14ac:dyDescent="0.25">
      <c r="A190" s="18"/>
      <c r="B190" s="39" t="s">
        <v>27</v>
      </c>
      <c r="C190" s="8">
        <f>SUM(C168:C189)</f>
        <v>10280999.579999998</v>
      </c>
      <c r="D190" s="8">
        <f>SUM(D168:D189)</f>
        <v>2570249.8949999996</v>
      </c>
      <c r="E190" s="8">
        <f>SUM(E168:E189)</f>
        <v>345493</v>
      </c>
      <c r="F190" s="8">
        <f>SUM(F168:F189)</f>
        <v>9935506.5799999982</v>
      </c>
      <c r="G190" s="8">
        <f>SUM(G168:G189)</f>
        <v>2224756.8949999996</v>
      </c>
    </row>
    <row r="191" spans="1:7" ht="15.75" thickBot="1" x14ac:dyDescent="0.3">
      <c r="A191" s="40"/>
      <c r="B191" s="41" t="s">
        <v>64</v>
      </c>
      <c r="C191" s="20">
        <f>C190+C153+C115+C108+C101+C94+C87+C80+C73+C57+C50+C43+C36+C29+C22+C15</f>
        <v>48399801.709999993</v>
      </c>
      <c r="D191" s="20">
        <f>D190+D153+D115+D108+D101+D94+D87+D80+D73+D57+D50+D43+D36+D29+D22+D15</f>
        <v>12099950.427499998</v>
      </c>
      <c r="E191" s="20">
        <f>E190+E153+E115+E108+E101+E94+E87+E80+E73+E57+E50+E43+E36+E29+E22+E15</f>
        <v>5160709.99</v>
      </c>
      <c r="F191" s="20">
        <f>F190+F153+F115+F108+F101+F94+F87+F80+F73+F57+F50+F43+F36+F29+F22+F15</f>
        <v>43239091.719999999</v>
      </c>
      <c r="G191" s="20">
        <f>G190+G153+G115+G108+G101+G94+G87+G80+G73+G57+G50+G43+G36+G29+G22+G15</f>
        <v>6939240.4374999981</v>
      </c>
    </row>
    <row r="192" spans="1:7" ht="15.75" thickTop="1" x14ac:dyDescent="0.25">
      <c r="C192" s="12"/>
      <c r="D192" s="12"/>
      <c r="E192" s="12"/>
      <c r="F192" s="12"/>
      <c r="G192" s="12"/>
    </row>
    <row r="193" spans="2:9" x14ac:dyDescent="0.25">
      <c r="B193" s="13" t="s">
        <v>65</v>
      </c>
      <c r="C193" s="12"/>
      <c r="D193" s="12"/>
      <c r="E193" s="1"/>
      <c r="F193" s="12"/>
      <c r="G193" s="12"/>
    </row>
    <row r="194" spans="2:9" x14ac:dyDescent="0.25">
      <c r="C194" s="12"/>
      <c r="D194" s="12"/>
      <c r="E194" s="12"/>
      <c r="F194" s="12"/>
      <c r="G194" s="12"/>
    </row>
    <row r="195" spans="2:9" x14ac:dyDescent="0.25">
      <c r="C195" s="12"/>
      <c r="D195" s="12"/>
      <c r="E195" s="12"/>
      <c r="F195" s="12"/>
      <c r="G195" s="12"/>
    </row>
    <row r="196" spans="2:9" x14ac:dyDescent="0.25">
      <c r="B196" s="42" t="s">
        <v>66</v>
      </c>
      <c r="C196" s="12"/>
      <c r="D196" s="12"/>
      <c r="E196" s="12"/>
      <c r="F196" s="12"/>
      <c r="G196" s="12"/>
    </row>
    <row r="197" spans="2:9" x14ac:dyDescent="0.25">
      <c r="B197" s="13" t="s">
        <v>67</v>
      </c>
      <c r="C197" s="12"/>
      <c r="D197" s="114"/>
      <c r="E197" s="114"/>
      <c r="F197" s="12"/>
      <c r="G197" s="12"/>
    </row>
    <row r="198" spans="2:9" x14ac:dyDescent="0.25">
      <c r="C198" s="12"/>
      <c r="D198" s="12"/>
      <c r="E198" s="12"/>
      <c r="F198" s="12"/>
      <c r="G198" s="12"/>
      <c r="H198" s="54"/>
      <c r="I198" s="12"/>
    </row>
    <row r="199" spans="2:9" x14ac:dyDescent="0.25">
      <c r="C199" s="12"/>
      <c r="D199" s="12"/>
      <c r="E199" s="12"/>
      <c r="F199" s="12"/>
      <c r="G199" s="12"/>
      <c r="H199" s="54"/>
      <c r="I199" s="12"/>
    </row>
    <row r="200" spans="2:9" x14ac:dyDescent="0.25">
      <c r="C200" s="12"/>
      <c r="D200" s="12"/>
      <c r="E200" s="12"/>
      <c r="F200" s="12"/>
      <c r="G200" s="12"/>
      <c r="I200" s="12"/>
    </row>
    <row r="201" spans="2:9" x14ac:dyDescent="0.25">
      <c r="C201" s="53"/>
      <c r="D201" s="12"/>
      <c r="E201" s="12"/>
      <c r="F201" s="12"/>
      <c r="G201" s="12"/>
      <c r="I201" s="12"/>
    </row>
    <row r="202" spans="2:9" x14ac:dyDescent="0.25">
      <c r="C202" s="53"/>
      <c r="D202" s="12"/>
      <c r="E202" s="12"/>
      <c r="F202" s="12"/>
      <c r="G202" s="12"/>
      <c r="I202" s="12"/>
    </row>
    <row r="203" spans="2:9" x14ac:dyDescent="0.25">
      <c r="C203" s="12"/>
      <c r="D203" s="12"/>
      <c r="E203" s="12"/>
      <c r="F203" s="12"/>
      <c r="G203" s="12"/>
      <c r="I203" s="12"/>
    </row>
    <row r="204" spans="2:9" x14ac:dyDescent="0.25">
      <c r="C204" s="12"/>
      <c r="D204" s="12"/>
      <c r="E204" s="12"/>
      <c r="F204" s="12"/>
      <c r="G204" s="12"/>
      <c r="I204" s="12"/>
    </row>
    <row r="205" spans="2:9" x14ac:dyDescent="0.25">
      <c r="C205" s="12"/>
      <c r="D205" s="12"/>
      <c r="E205" s="12"/>
      <c r="F205" s="12"/>
      <c r="G205" s="12"/>
      <c r="I205" s="12"/>
    </row>
    <row r="206" spans="2:9" x14ac:dyDescent="0.25">
      <c r="C206" s="12"/>
      <c r="D206" s="12"/>
      <c r="E206" s="12"/>
      <c r="F206" s="12"/>
      <c r="G206" s="12"/>
      <c r="I206" s="12"/>
    </row>
    <row r="207" spans="2:9" x14ac:dyDescent="0.25">
      <c r="C207" s="12"/>
      <c r="D207" s="12"/>
      <c r="E207" s="12"/>
      <c r="F207" s="12"/>
      <c r="G207" s="12"/>
      <c r="I207" s="12"/>
    </row>
    <row r="208" spans="2:9" x14ac:dyDescent="0.25">
      <c r="C208" s="12"/>
      <c r="D208" s="12"/>
      <c r="E208" s="12"/>
      <c r="F208" s="12"/>
      <c r="G208" s="12"/>
      <c r="I208" s="12"/>
    </row>
    <row r="209" spans="3:7" x14ac:dyDescent="0.25">
      <c r="C209" s="12"/>
      <c r="D209" s="12"/>
      <c r="E209" s="12"/>
      <c r="F209" s="12"/>
      <c r="G209" s="12"/>
    </row>
    <row r="210" spans="3:7" x14ac:dyDescent="0.25">
      <c r="C210" s="12"/>
      <c r="D210" s="12"/>
      <c r="E210" s="12"/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/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D197:E197"/>
    <mergeCell ref="A125:A126"/>
    <mergeCell ref="B125:B126"/>
    <mergeCell ref="C125:C126"/>
    <mergeCell ref="D125:D126"/>
    <mergeCell ref="E125:E126"/>
    <mergeCell ref="A163:A164"/>
    <mergeCell ref="B163:B164"/>
    <mergeCell ref="C163:C164"/>
    <mergeCell ref="D163:D164"/>
    <mergeCell ref="E163:E164"/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</mergeCells>
  <pageMargins left="0.25" right="0.11" top="0.4" bottom="0.28999999999999998" header="0.3" footer="0.3"/>
  <pageSetup scale="80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C1" zoomScale="110" zoomScaleNormal="110" workbookViewId="0">
      <selection activeCell="L13" sqref="K8:L13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4.5703125" style="13" bestFit="1" customWidth="1"/>
    <col min="6" max="6" width="16.28515625" style="13" customWidth="1"/>
    <col min="7" max="7" width="14.2851562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235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/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f>C11/4</f>
        <v>434596.76</v>
      </c>
      <c r="E11" s="2">
        <f>137223.36+167223.36+137223.36</f>
        <v>441670.07999999996</v>
      </c>
      <c r="F11" s="2">
        <f>C11-E11</f>
        <v>1296716.96</v>
      </c>
      <c r="G11" s="2">
        <f>D11-E11</f>
        <v>-7073.3199999999488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f t="shared" ref="D12:D13" si="0">C12/4</f>
        <v>303780.8175</v>
      </c>
      <c r="E12" s="2">
        <f>68133.9+66346.33+10000</f>
        <v>144480.22999999998</v>
      </c>
      <c r="F12" s="2">
        <f t="shared" ref="F12:F13" si="1">C12-E12</f>
        <v>1070643.04</v>
      </c>
      <c r="G12" s="2">
        <f t="shared" ref="G12:G13" si="2">D12-E12</f>
        <v>159300.58750000002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f t="shared" si="0"/>
        <v>37500</v>
      </c>
      <c r="E13" s="2"/>
      <c r="F13" s="2">
        <f t="shared" si="1"/>
        <v>150000</v>
      </c>
      <c r="G13" s="2">
        <f t="shared" si="2"/>
        <v>37500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775877.57750000001</v>
      </c>
      <c r="E15" s="8">
        <f>SUM(E11:E14)</f>
        <v>586150.30999999994</v>
      </c>
      <c r="F15" s="8">
        <f>SUM(F11:F14)</f>
        <v>2517360</v>
      </c>
      <c r="G15" s="8">
        <f>SUM(G11:G14)</f>
        <v>189727.26750000007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f t="shared" ref="D18:D20" si="3">C18/4</f>
        <v>2146273.29</v>
      </c>
      <c r="E18" s="2">
        <f>603278.41+936306.35+603278.41</f>
        <v>2142863.17</v>
      </c>
      <c r="F18" s="2">
        <f>C18-E18</f>
        <v>6442229.9900000002</v>
      </c>
      <c r="G18" s="2">
        <f>D18-E18</f>
        <v>3410.1200000001118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f t="shared" si="3"/>
        <v>295234.09000000003</v>
      </c>
      <c r="E19" s="2">
        <f>119020+28460</f>
        <v>147480</v>
      </c>
      <c r="F19" s="2">
        <f>C19-E19</f>
        <v>1033456.3600000001</v>
      </c>
      <c r="G19" s="2">
        <f>D19-E19</f>
        <v>147754.09000000003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f t="shared" si="3"/>
        <v>30000</v>
      </c>
      <c r="E20" s="2"/>
      <c r="F20" s="2">
        <f>C20-E20</f>
        <v>120000</v>
      </c>
      <c r="G20" s="2">
        <f>D20-E20</f>
        <v>30000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2471507.38</v>
      </c>
      <c r="E22" s="8">
        <f>SUM(E18:E21)</f>
        <v>2290343.17</v>
      </c>
      <c r="F22" s="8">
        <f>SUM(F18:F21)</f>
        <v>7595686.3500000006</v>
      </c>
      <c r="G22" s="8">
        <f>SUM(G18:G21)</f>
        <v>181164.21000000014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f t="shared" ref="D25:D27" si="4">C25/4</f>
        <v>270017.08</v>
      </c>
      <c r="E25" s="2">
        <f>81375.15+96375.15+81375.15</f>
        <v>259125.44999999998</v>
      </c>
      <c r="F25" s="2">
        <f>C25-E25</f>
        <v>820942.87000000011</v>
      </c>
      <c r="G25" s="2">
        <f>D25-E25</f>
        <v>10891.630000000034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f t="shared" si="4"/>
        <v>37821.362500000003</v>
      </c>
      <c r="E26" s="2"/>
      <c r="F26" s="2">
        <f>C26-E26</f>
        <v>151285.45000000001</v>
      </c>
      <c r="G26" s="2">
        <f>D26-E26</f>
        <v>37821.362500000003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f t="shared" si="4"/>
        <v>7500</v>
      </c>
      <c r="E27" s="2"/>
      <c r="F27" s="2">
        <f>C27-E27</f>
        <v>30000</v>
      </c>
      <c r="G27" s="2">
        <f>D27-E27</f>
        <v>7500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315338.4425</v>
      </c>
      <c r="E29" s="8">
        <f>SUM(E25:E28)</f>
        <v>259125.44999999998</v>
      </c>
      <c r="F29" s="8">
        <f>SUM(F25:F28)</f>
        <v>1002228.3200000001</v>
      </c>
      <c r="G29" s="8">
        <f>SUM(G25:G28)</f>
        <v>56212.992500000037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f>C32/4</f>
        <v>208402.99</v>
      </c>
      <c r="E32" s="2">
        <f>63327.47+73327.47+63327.47</f>
        <v>199982.41</v>
      </c>
      <c r="F32" s="2">
        <f>C32-E32</f>
        <v>633629.54999999993</v>
      </c>
      <c r="G32" s="2">
        <f>D32-E32</f>
        <v>8420.5799999999872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f t="shared" ref="D33:D34" si="5">C33/4</f>
        <v>29741.55</v>
      </c>
      <c r="E33" s="2">
        <f>2000+2930</f>
        <v>4930</v>
      </c>
      <c r="F33" s="2">
        <f>C33-E33</f>
        <v>114036.2</v>
      </c>
      <c r="G33" s="2">
        <f>D33-E33</f>
        <v>24811.55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f t="shared" si="5"/>
        <v>6250</v>
      </c>
      <c r="E34" s="2"/>
      <c r="F34" s="2">
        <f>C34-E34</f>
        <v>25000</v>
      </c>
      <c r="G34" s="2">
        <f>D34-E34</f>
        <v>6250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244394.53999999998</v>
      </c>
      <c r="E36" s="8">
        <f>SUM(E32:E35)</f>
        <v>204912.41</v>
      </c>
      <c r="F36" s="8">
        <f>SUM(F32:F35)</f>
        <v>772665.74999999988</v>
      </c>
      <c r="G36" s="8">
        <f>SUM(G32:G35)</f>
        <v>39482.12999999999</v>
      </c>
      <c r="L36" s="12"/>
    </row>
    <row r="37" spans="1:13" x14ac:dyDescent="0.25">
      <c r="A37" s="25"/>
      <c r="B37" s="18"/>
      <c r="C37" s="2"/>
      <c r="D37" s="2"/>
      <c r="E37" s="2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f t="shared" ref="D39:D41" si="6">C39/4</f>
        <v>171660.45</v>
      </c>
      <c r="E39" s="2">
        <f>53003.9+58003.9+53003.9</f>
        <v>164011.70000000001</v>
      </c>
      <c r="F39" s="2">
        <f>C39-E39</f>
        <v>522630.10000000003</v>
      </c>
      <c r="G39" s="2">
        <f>D39-E39</f>
        <v>7648.75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f t="shared" si="6"/>
        <v>28735.962500000001</v>
      </c>
      <c r="E40" s="2">
        <v>2000</v>
      </c>
      <c r="F40" s="2">
        <f>C40-E40</f>
        <v>112943.85</v>
      </c>
      <c r="G40" s="2">
        <f>D40-E40</f>
        <v>26735.962500000001</v>
      </c>
    </row>
    <row r="41" spans="1:13" x14ac:dyDescent="0.25">
      <c r="A41" s="25"/>
      <c r="B41" s="27" t="s">
        <v>13</v>
      </c>
      <c r="C41" s="2">
        <v>35000</v>
      </c>
      <c r="D41" s="2">
        <f t="shared" si="6"/>
        <v>8750</v>
      </c>
      <c r="E41" s="2"/>
      <c r="F41" s="2">
        <f>C41-E41</f>
        <v>35000</v>
      </c>
      <c r="G41" s="2">
        <f>D41-E41</f>
        <v>8750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209146.41250000001</v>
      </c>
      <c r="E43" s="8">
        <f>SUM(E39:E42)</f>
        <v>166011.70000000001</v>
      </c>
      <c r="F43" s="8">
        <f>SUM(F39:F42)</f>
        <v>670573.95000000007</v>
      </c>
      <c r="G43" s="8">
        <f>SUM(G39:G42)</f>
        <v>43134.712500000001</v>
      </c>
    </row>
    <row r="44" spans="1:13" x14ac:dyDescent="0.25">
      <c r="A44" s="25"/>
      <c r="B44" s="18"/>
      <c r="C44" s="2"/>
      <c r="D44" s="2"/>
      <c r="E44" s="2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f t="shared" ref="D46:D48" si="7">C46/4</f>
        <v>292633.01</v>
      </c>
      <c r="E46" s="2">
        <f>46303.17+61303.17+46303.17</f>
        <v>153909.51</v>
      </c>
      <c r="F46" s="2">
        <f>C46-E46</f>
        <v>1016622.53</v>
      </c>
      <c r="G46" s="2">
        <f>D46-E46</f>
        <v>138723.5</v>
      </c>
    </row>
    <row r="47" spans="1:13" x14ac:dyDescent="0.25">
      <c r="A47" s="25"/>
      <c r="B47" s="27" t="s">
        <v>12</v>
      </c>
      <c r="C47" s="2">
        <v>225508</v>
      </c>
      <c r="D47" s="2">
        <f t="shared" si="7"/>
        <v>56377</v>
      </c>
      <c r="E47" s="2">
        <f>9700+1000</f>
        <v>10700</v>
      </c>
      <c r="F47" s="2">
        <f>C47-E47</f>
        <v>214808</v>
      </c>
      <c r="G47" s="2">
        <f>D47-E47</f>
        <v>45677</v>
      </c>
    </row>
    <row r="48" spans="1:13" x14ac:dyDescent="0.25">
      <c r="A48" s="25"/>
      <c r="B48" s="27" t="s">
        <v>13</v>
      </c>
      <c r="C48" s="2">
        <v>25000</v>
      </c>
      <c r="D48" s="2">
        <f t="shared" si="7"/>
        <v>6250</v>
      </c>
      <c r="E48" s="2"/>
      <c r="F48" s="2">
        <f>C48-E48</f>
        <v>25000</v>
      </c>
      <c r="G48" s="2">
        <f>D48-E48</f>
        <v>6250</v>
      </c>
      <c r="H48" s="12"/>
    </row>
    <row r="49" spans="1:8" x14ac:dyDescent="0.25">
      <c r="A49" s="25"/>
      <c r="B49" s="27" t="s">
        <v>14</v>
      </c>
      <c r="C49" s="2"/>
      <c r="D49" s="2"/>
      <c r="E49" s="2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355260.01</v>
      </c>
      <c r="E50" s="8">
        <f>SUM(E46:E49)</f>
        <v>164609.51</v>
      </c>
      <c r="F50" s="8">
        <f>SUM(F46:F49)</f>
        <v>1256430.53</v>
      </c>
      <c r="G50" s="8">
        <f>SUM(G46:G49)</f>
        <v>190650.5</v>
      </c>
      <c r="H50" s="12"/>
    </row>
    <row r="51" spans="1:8" x14ac:dyDescent="0.25">
      <c r="A51" s="25"/>
      <c r="B51" s="18"/>
      <c r="C51" s="2"/>
      <c r="D51" s="2"/>
      <c r="E51" s="2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2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f t="shared" ref="D53:D55" si="8">C53/4</f>
        <v>431640.74</v>
      </c>
      <c r="E53" s="2">
        <f>127589.33+162589.33+127589.33</f>
        <v>417767.99</v>
      </c>
      <c r="F53" s="2">
        <f>C53-E53</f>
        <v>1308794.97</v>
      </c>
      <c r="G53" s="2">
        <f>D53-E53</f>
        <v>13872.75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f t="shared" si="8"/>
        <v>95218.012499999997</v>
      </c>
      <c r="E54" s="2">
        <f>7700+17777+1200</f>
        <v>26677</v>
      </c>
      <c r="F54" s="2">
        <f>C54-E54</f>
        <v>354195.05</v>
      </c>
      <c r="G54" s="2">
        <f>D54-E54</f>
        <v>68541.012499999997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f t="shared" si="8"/>
        <v>15000</v>
      </c>
      <c r="E55" s="2"/>
      <c r="F55" s="2">
        <f>C55-E55</f>
        <v>60000</v>
      </c>
      <c r="G55" s="2">
        <f>D55-E55</f>
        <v>15000</v>
      </c>
      <c r="H55" s="12"/>
    </row>
    <row r="56" spans="1:8" x14ac:dyDescent="0.25">
      <c r="A56" s="25"/>
      <c r="B56" s="27" t="s">
        <v>14</v>
      </c>
      <c r="C56" s="2"/>
      <c r="D56" s="2"/>
      <c r="E56" s="2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541858.75249999994</v>
      </c>
      <c r="E57" s="8">
        <f>SUM(E53:E56)</f>
        <v>444444.99</v>
      </c>
      <c r="F57" s="8">
        <f>SUM(F53:F56)</f>
        <v>1722990.02</v>
      </c>
      <c r="G57" s="8">
        <f>SUM(G53:G56)</f>
        <v>97413.762499999997</v>
      </c>
      <c r="H57" s="12"/>
    </row>
    <row r="58" spans="1:8" ht="15.75" thickBot="1" x14ac:dyDescent="0.3">
      <c r="A58" s="30"/>
      <c r="B58" s="31"/>
      <c r="C58" s="9"/>
      <c r="D58" s="9"/>
      <c r="E58" s="9"/>
      <c r="F58" s="9"/>
      <c r="G58" s="32"/>
      <c r="H58" s="12"/>
    </row>
    <row r="59" spans="1:8" x14ac:dyDescent="0.25">
      <c r="A59" s="33"/>
      <c r="B59" s="34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10"/>
      <c r="F62" s="10"/>
      <c r="G62" s="10"/>
      <c r="H62" s="12"/>
    </row>
    <row r="63" spans="1:8" x14ac:dyDescent="0.25">
      <c r="A63" s="22" t="s">
        <v>235</v>
      </c>
      <c r="B63" s="34"/>
      <c r="C63" s="10"/>
      <c r="D63" s="10"/>
      <c r="E63" s="10"/>
      <c r="F63" s="10"/>
      <c r="G63" s="10"/>
      <c r="H63" s="12"/>
    </row>
    <row r="64" spans="1:8" x14ac:dyDescent="0.25">
      <c r="A64" s="33"/>
      <c r="B64" s="34"/>
      <c r="C64" s="10"/>
      <c r="D64" s="10"/>
      <c r="E64" s="10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5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6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9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2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f t="shared" ref="D69:D71" si="9">C69/4</f>
        <v>214596.48000000001</v>
      </c>
      <c r="E69" s="2">
        <f>65251.06+75251.06+65251.06</f>
        <v>205753.18</v>
      </c>
      <c r="F69" s="2">
        <f>C69-E69</f>
        <v>652632.74</v>
      </c>
      <c r="G69" s="2">
        <f>D69-E69</f>
        <v>8843.3000000000175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f t="shared" si="9"/>
        <v>30858.237499999999</v>
      </c>
      <c r="E70" s="2">
        <f>2000+5300</f>
        <v>7300</v>
      </c>
      <c r="F70" s="2">
        <f>C70-E70</f>
        <v>116132.95</v>
      </c>
      <c r="G70" s="2">
        <f>D70-E70</f>
        <v>23558.237499999999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f t="shared" si="9"/>
        <v>7500</v>
      </c>
      <c r="E71" s="2"/>
      <c r="F71" s="2">
        <f>C71-E71</f>
        <v>30000</v>
      </c>
      <c r="G71" s="2">
        <f>D71-E71</f>
        <v>7500</v>
      </c>
      <c r="H71" s="12"/>
    </row>
    <row r="72" spans="1:8" x14ac:dyDescent="0.25">
      <c r="A72" s="25"/>
      <c r="B72" s="27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252954.7175</v>
      </c>
      <c r="E73" s="8">
        <f>SUM(E69:E72)</f>
        <v>213053.18</v>
      </c>
      <c r="F73" s="8">
        <f>SUM(F69:F72)</f>
        <v>798765.69</v>
      </c>
      <c r="G73" s="8">
        <f>SUM(G69:G72)</f>
        <v>39901.53750000002</v>
      </c>
      <c r="H73" s="12"/>
    </row>
    <row r="74" spans="1:8" x14ac:dyDescent="0.25">
      <c r="A74" s="25"/>
      <c r="B74" s="18"/>
      <c r="C74" s="2"/>
      <c r="D74" s="2"/>
      <c r="E74" s="2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2"/>
      <c r="E75" s="2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f t="shared" ref="D76:D77" si="10">C76/4</f>
        <v>299895.74</v>
      </c>
      <c r="E76" s="2">
        <f>43617.35+89117.35+43617.35</f>
        <v>176352.05000000002</v>
      </c>
      <c r="F76" s="2">
        <f>C76-E76</f>
        <v>1023230.9099999999</v>
      </c>
      <c r="G76" s="2">
        <f>D76-E76</f>
        <v>123543.68999999997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f t="shared" si="10"/>
        <v>206002.19750000001</v>
      </c>
      <c r="E77" s="2">
        <f>65119.58+36394.25+745.65</f>
        <v>102259.48</v>
      </c>
      <c r="F77" s="2">
        <f>C77-E77</f>
        <v>721749.31</v>
      </c>
      <c r="G77" s="2">
        <f>D77-E77</f>
        <v>103742.71750000001</v>
      </c>
      <c r="H77" s="12"/>
    </row>
    <row r="78" spans="1:8" x14ac:dyDescent="0.25">
      <c r="A78" s="25"/>
      <c r="B78" s="27" t="s">
        <v>13</v>
      </c>
      <c r="C78" s="2"/>
      <c r="D78" s="2"/>
      <c r="E78" s="2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2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505897.9375</v>
      </c>
      <c r="E80" s="8">
        <f>SUM(E76:E79)</f>
        <v>278611.53000000003</v>
      </c>
      <c r="F80" s="8">
        <f>SUM(F76:F79)</f>
        <v>1744980.22</v>
      </c>
      <c r="G80" s="8">
        <f>SUM(G76:G79)</f>
        <v>227286.40749999997</v>
      </c>
      <c r="H80" s="12"/>
    </row>
    <row r="81" spans="1:8" x14ac:dyDescent="0.25">
      <c r="A81" s="25"/>
      <c r="B81" s="18"/>
      <c r="C81" s="2"/>
      <c r="D81" s="2"/>
      <c r="E81" s="2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2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f t="shared" ref="D83:D84" si="11">C83/4</f>
        <v>792467.3</v>
      </c>
      <c r="E83" s="2">
        <f>238901.81+278901.81+238901.81</f>
        <v>756705.42999999993</v>
      </c>
      <c r="F83" s="2">
        <f>C83-E83</f>
        <v>2413163.7700000005</v>
      </c>
      <c r="G83" s="2">
        <f>D83-E83</f>
        <v>35761.870000000112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f t="shared" si="11"/>
        <v>48097</v>
      </c>
      <c r="E84" s="2">
        <v>23860</v>
      </c>
      <c r="F84" s="2">
        <f>C84-E84</f>
        <v>168528</v>
      </c>
      <c r="G84" s="2">
        <f>D84-E84</f>
        <v>24237</v>
      </c>
      <c r="H84" s="12"/>
    </row>
    <row r="85" spans="1:8" x14ac:dyDescent="0.25">
      <c r="A85" s="25"/>
      <c r="B85" s="27" t="s">
        <v>13</v>
      </c>
      <c r="C85" s="2"/>
      <c r="D85" s="2"/>
      <c r="E85" s="2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2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840564.3</v>
      </c>
      <c r="E87" s="8">
        <f>SUM(E83:E86)</f>
        <v>780565.42999999993</v>
      </c>
      <c r="F87" s="8">
        <f>SUM(F83:F86)</f>
        <v>2581691.7700000005</v>
      </c>
      <c r="G87" s="8">
        <f>SUM(G83:G86)</f>
        <v>59998.870000000112</v>
      </c>
      <c r="H87" s="12"/>
    </row>
    <row r="88" spans="1:8" x14ac:dyDescent="0.25">
      <c r="A88" s="25"/>
      <c r="B88" s="18"/>
      <c r="C88" s="2"/>
      <c r="D88" s="2"/>
      <c r="E88" s="2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2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f t="shared" ref="D90:D92" si="12">C90/4</f>
        <v>306223.42</v>
      </c>
      <c r="E90" s="2">
        <f>82617.57+102617.57+82617.57</f>
        <v>267852.71000000002</v>
      </c>
      <c r="F90" s="2">
        <f>C90-E90</f>
        <v>957040.97</v>
      </c>
      <c r="G90" s="2">
        <f>D90-E90</f>
        <v>38370.709999999963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f t="shared" si="12"/>
        <v>52242</v>
      </c>
      <c r="E91" s="2"/>
      <c r="F91" s="2">
        <f>C91-E91</f>
        <v>208968</v>
      </c>
      <c r="G91" s="2">
        <f>D91-E91</f>
        <v>52242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f t="shared" si="12"/>
        <v>7500</v>
      </c>
      <c r="E92" s="2"/>
      <c r="F92" s="2">
        <f>C92-E92</f>
        <v>30000</v>
      </c>
      <c r="G92" s="2">
        <f>D92-E92</f>
        <v>7500</v>
      </c>
      <c r="H92" s="12"/>
    </row>
    <row r="93" spans="1:8" x14ac:dyDescent="0.25">
      <c r="A93" s="25"/>
      <c r="B93" s="27" t="s">
        <v>14</v>
      </c>
      <c r="C93" s="2"/>
      <c r="D93" s="2"/>
      <c r="E93" s="2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365965.42</v>
      </c>
      <c r="E94" s="8">
        <f>SUM(E90:E93)</f>
        <v>267852.71000000002</v>
      </c>
      <c r="F94" s="8">
        <f>SUM(F90:F93)</f>
        <v>1196008.97</v>
      </c>
      <c r="G94" s="8">
        <f>SUM(G90:G93)</f>
        <v>98112.709999999963</v>
      </c>
      <c r="H94" s="12"/>
    </row>
    <row r="95" spans="1:8" x14ac:dyDescent="0.25">
      <c r="A95" s="25"/>
      <c r="B95" s="18"/>
      <c r="C95" s="2"/>
      <c r="D95" s="2"/>
      <c r="E95" s="2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2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f t="shared" ref="D97:D98" si="13">C97/4</f>
        <v>231917.26</v>
      </c>
      <c r="E97" s="2">
        <f>63960.58+78960.58+123960.58</f>
        <v>266881.74</v>
      </c>
      <c r="F97" s="2">
        <f>C97-E97</f>
        <v>660787.30000000005</v>
      </c>
      <c r="G97" s="2">
        <f>D97-E97</f>
        <v>-34964.479999999981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f t="shared" si="13"/>
        <v>25880</v>
      </c>
      <c r="E98" s="2"/>
      <c r="F98" s="2">
        <f>C98-E98</f>
        <v>103520</v>
      </c>
      <c r="G98" s="2">
        <f>D98-E98</f>
        <v>25880</v>
      </c>
      <c r="H98" s="12"/>
    </row>
    <row r="99" spans="1:8" x14ac:dyDescent="0.25">
      <c r="A99" s="25"/>
      <c r="B99" s="27" t="s">
        <v>13</v>
      </c>
      <c r="C99" s="2"/>
      <c r="D99" s="2"/>
      <c r="E99" s="2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257797.26</v>
      </c>
      <c r="E101" s="8">
        <f>SUM(E97:E100)</f>
        <v>266881.74</v>
      </c>
      <c r="F101" s="8">
        <f>SUM(F97:F100)</f>
        <v>764307.3</v>
      </c>
      <c r="G101" s="8">
        <f>SUM(G97:G100)</f>
        <v>-9084.4799999999814</v>
      </c>
      <c r="H101" s="12"/>
    </row>
    <row r="102" spans="1:8" x14ac:dyDescent="0.25">
      <c r="A102" s="25"/>
      <c r="B102" s="18"/>
      <c r="C102" s="2"/>
      <c r="D102" s="2"/>
      <c r="E102" s="2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f t="shared" ref="D104:D105" si="14">C104/4</f>
        <v>283680.12</v>
      </c>
      <c r="E104" s="2">
        <f>84930+99930+85263.57</f>
        <v>270123.57</v>
      </c>
      <c r="F104" s="2">
        <f>C104-E104</f>
        <v>864596.90999999992</v>
      </c>
      <c r="G104" s="2">
        <f>D104-E104</f>
        <v>13556.549999999988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f t="shared" si="14"/>
        <v>16850.762500000001</v>
      </c>
      <c r="E105" s="2"/>
      <c r="F105" s="2">
        <f>C105-E105</f>
        <v>67403.05</v>
      </c>
      <c r="G105" s="2">
        <f>D105-E105</f>
        <v>16850.762500000001</v>
      </c>
      <c r="H105" s="12"/>
    </row>
    <row r="106" spans="1:8" x14ac:dyDescent="0.25">
      <c r="A106" s="25"/>
      <c r="B106" s="27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300530.88250000001</v>
      </c>
      <c r="E108" s="8">
        <f>SUM(E104:E107)</f>
        <v>270123.57</v>
      </c>
      <c r="F108" s="8">
        <f>SUM(F104:F107)</f>
        <v>931999.96</v>
      </c>
      <c r="G108" s="8">
        <f>SUM(G104:G107)</f>
        <v>30407.312499999989</v>
      </c>
      <c r="H108" s="12"/>
    </row>
    <row r="109" spans="1:8" x14ac:dyDescent="0.25">
      <c r="A109" s="25"/>
      <c r="B109" s="18"/>
      <c r="C109" s="2"/>
      <c r="D109" s="2"/>
      <c r="E109" s="2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f>C112/4</f>
        <v>32500</v>
      </c>
      <c r="E112" s="2"/>
      <c r="F112" s="2">
        <f>C112-E112</f>
        <v>130000</v>
      </c>
      <c r="G112" s="2">
        <f>D112-E112</f>
        <v>32500</v>
      </c>
      <c r="H112" s="12"/>
    </row>
    <row r="113" spans="1:8" x14ac:dyDescent="0.25">
      <c r="A113" s="25"/>
      <c r="B113" s="27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32500</v>
      </c>
      <c r="E115" s="8">
        <f>SUM(E111:E114)</f>
        <v>0</v>
      </c>
      <c r="F115" s="8">
        <f>SUM(F111:F114)</f>
        <v>130000</v>
      </c>
      <c r="G115" s="8">
        <f>SUM(G111:G114)</f>
        <v>32500</v>
      </c>
      <c r="H115" s="12"/>
    </row>
    <row r="116" spans="1:8" ht="15.75" thickBot="1" x14ac:dyDescent="0.3">
      <c r="A116" s="35"/>
      <c r="B116" s="36"/>
      <c r="C116" s="9"/>
      <c r="D116" s="9"/>
      <c r="E116" s="9"/>
      <c r="F116" s="9"/>
      <c r="G116" s="3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E15+E22+E29+E36+E43+E50+E57+E73+E80+E87+E94+E101+E108+E115+E168+E169</f>
        <v>6571678.7000000011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10"/>
      <c r="F122" s="10"/>
      <c r="G122" s="10"/>
      <c r="H122" s="12"/>
    </row>
    <row r="123" spans="1:8" x14ac:dyDescent="0.25">
      <c r="A123" s="22" t="s">
        <v>235</v>
      </c>
      <c r="B123" s="34"/>
      <c r="C123" s="10"/>
      <c r="D123" s="10"/>
      <c r="E123" s="10"/>
      <c r="F123" s="10"/>
      <c r="G123" s="10"/>
      <c r="H123" s="12"/>
    </row>
    <row r="124" spans="1:8" x14ac:dyDescent="0.25">
      <c r="A124" s="33"/>
      <c r="B124" s="34"/>
      <c r="C124" s="10"/>
      <c r="D124" s="10"/>
      <c r="E124" s="10"/>
      <c r="F124" s="10"/>
      <c r="G124" s="10"/>
      <c r="H124" s="12"/>
    </row>
    <row r="125" spans="1:8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5" t="s">
        <v>7</v>
      </c>
      <c r="F125" s="15" t="s">
        <v>8</v>
      </c>
      <c r="G125" s="15" t="s">
        <v>8</v>
      </c>
      <c r="H125" s="12"/>
    </row>
    <row r="126" spans="1:8" x14ac:dyDescent="0.25">
      <c r="A126" s="116"/>
      <c r="B126" s="116"/>
      <c r="C126" s="116"/>
      <c r="D126" s="116"/>
      <c r="E126" s="116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f t="shared" ref="D128:D151" si="15">C128/4</f>
        <v>9649</v>
      </c>
      <c r="E128" s="2"/>
      <c r="F128" s="2">
        <f t="shared" ref="F128:F145" si="16">C128-E128</f>
        <v>38596</v>
      </c>
      <c r="G128" s="2">
        <f t="shared" ref="G128:G152" si="17">D128-E128</f>
        <v>9649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f t="shared" si="15"/>
        <v>107500</v>
      </c>
      <c r="E129" s="2"/>
      <c r="F129" s="2">
        <f t="shared" ref="F129:F132" si="18">C129-E129</f>
        <v>430000</v>
      </c>
      <c r="G129" s="2">
        <f t="shared" ref="G129:G132" si="19">D129-E129</f>
        <v>107500</v>
      </c>
      <c r="H129" s="12"/>
    </row>
    <row r="130" spans="1:10" x14ac:dyDescent="0.25">
      <c r="A130" s="18"/>
      <c r="B130" s="18" t="s">
        <v>88</v>
      </c>
      <c r="C130" s="2">
        <v>120000</v>
      </c>
      <c r="D130" s="2">
        <f t="shared" si="15"/>
        <v>30000</v>
      </c>
      <c r="E130" s="2"/>
      <c r="F130" s="2">
        <f t="shared" si="18"/>
        <v>120000</v>
      </c>
      <c r="G130" s="2">
        <f t="shared" si="19"/>
        <v>30000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f t="shared" si="15"/>
        <v>75000</v>
      </c>
      <c r="E131" s="2"/>
      <c r="F131" s="2">
        <f t="shared" si="18"/>
        <v>300000</v>
      </c>
      <c r="G131" s="2">
        <f t="shared" si="19"/>
        <v>75000</v>
      </c>
      <c r="H131" s="12"/>
    </row>
    <row r="132" spans="1:10" x14ac:dyDescent="0.25">
      <c r="A132" s="18"/>
      <c r="B132" s="18" t="s">
        <v>166</v>
      </c>
      <c r="C132" s="2">
        <v>200000</v>
      </c>
      <c r="D132" s="2">
        <f t="shared" si="15"/>
        <v>50000</v>
      </c>
      <c r="E132" s="2"/>
      <c r="F132" s="2">
        <f t="shared" si="18"/>
        <v>200000</v>
      </c>
      <c r="G132" s="2">
        <f t="shared" si="19"/>
        <v>50000</v>
      </c>
      <c r="H132" s="12"/>
    </row>
    <row r="133" spans="1:10" x14ac:dyDescent="0.25">
      <c r="A133" s="18"/>
      <c r="B133" s="18" t="s">
        <v>143</v>
      </c>
      <c r="C133" s="2">
        <v>145000</v>
      </c>
      <c r="D133" s="2">
        <f t="shared" si="15"/>
        <v>36250</v>
      </c>
      <c r="E133" s="2"/>
      <c r="F133" s="2">
        <f t="shared" si="16"/>
        <v>145000</v>
      </c>
      <c r="G133" s="2">
        <f t="shared" si="17"/>
        <v>36250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f t="shared" si="15"/>
        <v>30000</v>
      </c>
      <c r="E134" s="2"/>
      <c r="F134" s="2">
        <f t="shared" ref="F134:F135" si="20">C134-E134</f>
        <v>120000</v>
      </c>
      <c r="G134" s="2">
        <f t="shared" ref="G134:G135" si="21">D134-E134</f>
        <v>30000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f t="shared" si="15"/>
        <v>18750</v>
      </c>
      <c r="E135" s="2"/>
      <c r="F135" s="2">
        <f t="shared" si="20"/>
        <v>75000</v>
      </c>
      <c r="G135" s="2">
        <f t="shared" si="21"/>
        <v>18750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f t="shared" si="15"/>
        <v>375000</v>
      </c>
      <c r="E136" s="2">
        <f>214375+103410+218450</f>
        <v>536235</v>
      </c>
      <c r="F136" s="2">
        <f t="shared" si="16"/>
        <v>963765</v>
      </c>
      <c r="G136" s="2">
        <f t="shared" si="17"/>
        <v>-161235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f t="shared" si="15"/>
        <v>25000</v>
      </c>
      <c r="E137" s="2"/>
      <c r="F137" s="2">
        <f t="shared" si="16"/>
        <v>100000</v>
      </c>
      <c r="G137" s="2">
        <f t="shared" si="17"/>
        <v>25000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v>150000</v>
      </c>
      <c r="D138" s="2">
        <f t="shared" si="15"/>
        <v>37500</v>
      </c>
      <c r="E138" s="2"/>
      <c r="F138" s="2">
        <f t="shared" ref="F138:F139" si="22">C138-E138</f>
        <v>150000</v>
      </c>
      <c r="G138" s="2">
        <f t="shared" ref="G138:G139" si="23">D138-E138</f>
        <v>37500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f t="shared" si="15"/>
        <v>17500</v>
      </c>
      <c r="E139" s="2"/>
      <c r="F139" s="2">
        <f t="shared" si="22"/>
        <v>70000</v>
      </c>
      <c r="G139" s="2">
        <f t="shared" si="23"/>
        <v>17500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f t="shared" si="15"/>
        <v>75000</v>
      </c>
      <c r="E140" s="2"/>
      <c r="F140" s="2">
        <f t="shared" si="16"/>
        <v>300000</v>
      </c>
      <c r="G140" s="2">
        <f t="shared" si="17"/>
        <v>75000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f t="shared" si="15"/>
        <v>5000</v>
      </c>
      <c r="E141" s="2"/>
      <c r="F141" s="2">
        <f t="shared" ref="F141" si="24">C141-E141</f>
        <v>20000</v>
      </c>
      <c r="G141" s="2">
        <f t="shared" ref="G141" si="25">D141-E141</f>
        <v>5000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f t="shared" si="15"/>
        <v>3750</v>
      </c>
      <c r="E142" s="2"/>
      <c r="F142" s="2">
        <f t="shared" si="16"/>
        <v>15000</v>
      </c>
      <c r="G142" s="2">
        <f t="shared" si="17"/>
        <v>3750</v>
      </c>
      <c r="J142" s="12"/>
    </row>
    <row r="143" spans="1:10" x14ac:dyDescent="0.25">
      <c r="A143" s="18"/>
      <c r="B143" s="18" t="s">
        <v>51</v>
      </c>
      <c r="C143" s="2">
        <v>750000</v>
      </c>
      <c r="D143" s="2">
        <f t="shared" si="15"/>
        <v>187500</v>
      </c>
      <c r="E143" s="2"/>
      <c r="F143" s="2">
        <f t="shared" si="16"/>
        <v>750000</v>
      </c>
      <c r="G143" s="2">
        <f t="shared" si="17"/>
        <v>187500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f t="shared" si="15"/>
        <v>12500</v>
      </c>
      <c r="E144" s="2"/>
      <c r="F144" s="2">
        <f t="shared" si="16"/>
        <v>50000</v>
      </c>
      <c r="G144" s="2">
        <f t="shared" si="17"/>
        <v>12500</v>
      </c>
    </row>
    <row r="145" spans="1:7" x14ac:dyDescent="0.25">
      <c r="A145" s="18"/>
      <c r="B145" s="18" t="s">
        <v>223</v>
      </c>
      <c r="C145" s="2">
        <v>455427.6</v>
      </c>
      <c r="D145" s="2">
        <f t="shared" si="15"/>
        <v>113856.9</v>
      </c>
      <c r="E145" s="2"/>
      <c r="F145" s="2">
        <f t="shared" si="16"/>
        <v>455427.6</v>
      </c>
      <c r="G145" s="2">
        <f t="shared" si="17"/>
        <v>113856.9</v>
      </c>
    </row>
    <row r="146" spans="1:7" x14ac:dyDescent="0.25">
      <c r="A146" s="18"/>
      <c r="B146" s="18" t="s">
        <v>224</v>
      </c>
      <c r="C146" s="2">
        <v>1200000</v>
      </c>
      <c r="D146" s="2">
        <f t="shared" si="15"/>
        <v>300000</v>
      </c>
      <c r="E146" s="2">
        <v>2200</v>
      </c>
      <c r="F146" s="2">
        <f t="shared" ref="F146:F151" si="26">C146-E146</f>
        <v>1197800</v>
      </c>
      <c r="G146" s="2">
        <f t="shared" ref="G146:G151" si="27">D146-E146</f>
        <v>297800</v>
      </c>
    </row>
    <row r="147" spans="1:7" x14ac:dyDescent="0.25">
      <c r="A147" s="18"/>
      <c r="B147" s="18" t="s">
        <v>211</v>
      </c>
      <c r="C147" s="2">
        <v>500000</v>
      </c>
      <c r="D147" s="2">
        <f t="shared" si="15"/>
        <v>125000</v>
      </c>
      <c r="E147" s="2"/>
      <c r="F147" s="2">
        <f t="shared" si="26"/>
        <v>500000</v>
      </c>
      <c r="G147" s="2">
        <f t="shared" si="27"/>
        <v>125000</v>
      </c>
    </row>
    <row r="148" spans="1:7" x14ac:dyDescent="0.25">
      <c r="A148" s="18"/>
      <c r="B148" s="18" t="s">
        <v>212</v>
      </c>
      <c r="C148" s="2">
        <v>300000</v>
      </c>
      <c r="D148" s="2">
        <f t="shared" si="15"/>
        <v>75000</v>
      </c>
      <c r="E148" s="2"/>
      <c r="F148" s="2">
        <f t="shared" si="26"/>
        <v>300000</v>
      </c>
      <c r="G148" s="2">
        <f t="shared" si="27"/>
        <v>75000</v>
      </c>
    </row>
    <row r="149" spans="1:7" x14ac:dyDescent="0.25">
      <c r="A149" s="18"/>
      <c r="B149" s="18" t="s">
        <v>213</v>
      </c>
      <c r="C149" s="2">
        <v>375000</v>
      </c>
      <c r="D149" s="2">
        <f t="shared" si="15"/>
        <v>93750</v>
      </c>
      <c r="E149" s="2"/>
      <c r="F149" s="2">
        <f t="shared" si="26"/>
        <v>375000</v>
      </c>
      <c r="G149" s="2">
        <f t="shared" si="27"/>
        <v>93750</v>
      </c>
    </row>
    <row r="150" spans="1:7" x14ac:dyDescent="0.25">
      <c r="A150" s="18"/>
      <c r="B150" s="18" t="s">
        <v>32</v>
      </c>
      <c r="C150" s="2">
        <v>250000</v>
      </c>
      <c r="D150" s="2">
        <f t="shared" si="15"/>
        <v>62500</v>
      </c>
      <c r="E150" s="2"/>
      <c r="F150" s="2">
        <f t="shared" si="26"/>
        <v>250000</v>
      </c>
      <c r="G150" s="2">
        <f t="shared" si="27"/>
        <v>62500</v>
      </c>
    </row>
    <row r="151" spans="1:7" x14ac:dyDescent="0.25">
      <c r="A151" s="18"/>
      <c r="B151" s="18" t="s">
        <v>96</v>
      </c>
      <c r="C151" s="2">
        <v>776404</v>
      </c>
      <c r="D151" s="2">
        <f t="shared" si="15"/>
        <v>194101</v>
      </c>
      <c r="E151" s="2">
        <v>194101</v>
      </c>
      <c r="F151" s="2">
        <f t="shared" si="26"/>
        <v>582303</v>
      </c>
      <c r="G151" s="2">
        <f t="shared" si="27"/>
        <v>0</v>
      </c>
    </row>
    <row r="152" spans="1:7" x14ac:dyDescent="0.25">
      <c r="A152" s="37"/>
      <c r="B152" s="37"/>
      <c r="C152" s="6"/>
      <c r="D152" s="6"/>
      <c r="E152" s="6"/>
      <c r="F152" s="2"/>
      <c r="G152" s="2">
        <f t="shared" si="17"/>
        <v>0</v>
      </c>
    </row>
    <row r="153" spans="1:7" x14ac:dyDescent="0.25">
      <c r="A153" s="38"/>
      <c r="B153" s="28" t="s">
        <v>27</v>
      </c>
      <c r="C153" s="8">
        <f>SUM(C128:C152)</f>
        <v>8240427.5999999996</v>
      </c>
      <c r="D153" s="8">
        <f>SUM(D128:D152)</f>
        <v>2060106.9</v>
      </c>
      <c r="E153" s="8">
        <f>SUM(E128:E152)</f>
        <v>732536</v>
      </c>
      <c r="F153" s="8">
        <f>SUM(F128:F152)</f>
        <v>7507891.5999999996</v>
      </c>
      <c r="G153" s="8">
        <f>SUM(G128:G152)</f>
        <v>1327570.8999999999</v>
      </c>
    </row>
    <row r="154" spans="1:7" x14ac:dyDescent="0.25">
      <c r="C154" s="7"/>
    </row>
    <row r="155" spans="1:7" x14ac:dyDescent="0.25">
      <c r="C155" s="14"/>
      <c r="E155" s="14"/>
    </row>
    <row r="156" spans="1:7" x14ac:dyDescent="0.25">
      <c r="C156" s="14"/>
    </row>
    <row r="158" spans="1:7" x14ac:dyDescent="0.25">
      <c r="A158" s="13" t="s">
        <v>0</v>
      </c>
      <c r="B158" s="34"/>
      <c r="C158" s="10"/>
      <c r="D158" s="10"/>
      <c r="E158" s="10">
        <f>E155-E157</f>
        <v>0</v>
      </c>
      <c r="F158" s="10"/>
      <c r="G158" s="10"/>
    </row>
    <row r="159" spans="1:7" x14ac:dyDescent="0.25">
      <c r="A159" s="13" t="s">
        <v>1</v>
      </c>
      <c r="B159" s="34"/>
      <c r="C159" s="10"/>
      <c r="D159" s="10"/>
      <c r="E159" s="10"/>
      <c r="F159" s="10"/>
      <c r="G159" s="10"/>
    </row>
    <row r="160" spans="1:7" x14ac:dyDescent="0.25">
      <c r="A160" s="13" t="s">
        <v>2</v>
      </c>
      <c r="B160" s="34"/>
      <c r="C160" s="10"/>
      <c r="D160" s="10"/>
      <c r="E160" s="10"/>
      <c r="F160" s="10"/>
      <c r="G160" s="10"/>
    </row>
    <row r="161" spans="1:9" x14ac:dyDescent="0.25">
      <c r="A161" s="22" t="s">
        <v>235</v>
      </c>
      <c r="B161" s="34"/>
      <c r="C161" s="10"/>
      <c r="D161" s="10"/>
      <c r="E161" s="10"/>
      <c r="F161" s="10"/>
      <c r="G161" s="10"/>
    </row>
    <row r="162" spans="1:9" x14ac:dyDescent="0.25">
      <c r="A162" s="33"/>
      <c r="B162" s="34"/>
      <c r="C162" s="10"/>
      <c r="D162" s="10"/>
      <c r="E162" s="10"/>
      <c r="F162" s="10"/>
      <c r="G162" s="10"/>
    </row>
    <row r="163" spans="1:9" x14ac:dyDescent="0.25">
      <c r="A163" s="115" t="s">
        <v>3</v>
      </c>
      <c r="B163" s="115" t="s">
        <v>4</v>
      </c>
      <c r="C163" s="115" t="s">
        <v>5</v>
      </c>
      <c r="D163" s="115" t="s">
        <v>6</v>
      </c>
      <c r="E163" s="115" t="s">
        <v>7</v>
      </c>
      <c r="F163" s="15" t="s">
        <v>8</v>
      </c>
      <c r="G163" s="15" t="s">
        <v>8</v>
      </c>
    </row>
    <row r="164" spans="1:9" x14ac:dyDescent="0.25">
      <c r="A164" s="116"/>
      <c r="B164" s="116"/>
      <c r="C164" s="116"/>
      <c r="D164" s="116"/>
      <c r="E164" s="116"/>
      <c r="F164" s="16" t="s">
        <v>5</v>
      </c>
      <c r="G164" s="16" t="s">
        <v>6</v>
      </c>
    </row>
    <row r="165" spans="1:9" x14ac:dyDescent="0.25">
      <c r="A165" s="17"/>
      <c r="B165" s="17"/>
      <c r="C165" s="17"/>
      <c r="D165" s="17"/>
      <c r="E165" s="17"/>
      <c r="F165" s="17"/>
      <c r="G165" s="17"/>
    </row>
    <row r="166" spans="1:9" x14ac:dyDescent="0.25">
      <c r="A166" s="18"/>
      <c r="B166" s="26" t="s">
        <v>53</v>
      </c>
      <c r="C166" s="18"/>
      <c r="D166" s="18"/>
      <c r="E166" s="18"/>
      <c r="F166" s="18"/>
      <c r="G166" s="18"/>
    </row>
    <row r="167" spans="1:9" x14ac:dyDescent="0.25">
      <c r="A167" s="18"/>
      <c r="B167" s="27" t="s">
        <v>11</v>
      </c>
      <c r="C167" s="2"/>
      <c r="D167" s="2"/>
      <c r="E167" s="2"/>
      <c r="F167" s="2"/>
      <c r="G167" s="2"/>
    </row>
    <row r="168" spans="1:9" x14ac:dyDescent="0.25">
      <c r="A168" s="18"/>
      <c r="B168" s="4" t="s">
        <v>58</v>
      </c>
      <c r="C168" s="2">
        <v>320000</v>
      </c>
      <c r="D168" s="2">
        <f t="shared" ref="D168:D169" si="28">C168/4</f>
        <v>80000</v>
      </c>
      <c r="E168" s="2">
        <v>16993</v>
      </c>
      <c r="F168" s="2">
        <f t="shared" ref="F168:F188" si="29">C168-E168</f>
        <v>303007</v>
      </c>
      <c r="G168" s="2">
        <f t="shared" ref="G168:G188" si="30">D168-E168</f>
        <v>63007</v>
      </c>
    </row>
    <row r="169" spans="1:9" x14ac:dyDescent="0.25">
      <c r="A169" s="18"/>
      <c r="B169" s="4" t="s">
        <v>59</v>
      </c>
      <c r="C169" s="2">
        <v>1000000</v>
      </c>
      <c r="D169" s="2">
        <f t="shared" si="28"/>
        <v>250000</v>
      </c>
      <c r="E169" s="2">
        <f>122000+120000+120000</f>
        <v>362000</v>
      </c>
      <c r="F169" s="2">
        <f t="shared" si="29"/>
        <v>638000</v>
      </c>
      <c r="G169" s="2">
        <f t="shared" si="30"/>
        <v>-112000</v>
      </c>
      <c r="I169" s="14"/>
    </row>
    <row r="170" spans="1:9" x14ac:dyDescent="0.25">
      <c r="A170" s="18"/>
      <c r="B170" s="27" t="s">
        <v>12</v>
      </c>
      <c r="C170" s="2"/>
      <c r="D170" s="2"/>
      <c r="E170" s="2"/>
      <c r="F170" s="2">
        <f t="shared" si="29"/>
        <v>0</v>
      </c>
      <c r="G170" s="2">
        <f t="shared" si="30"/>
        <v>0</v>
      </c>
    </row>
    <row r="171" spans="1:9" x14ac:dyDescent="0.25">
      <c r="A171" s="18"/>
      <c r="B171" s="4" t="s">
        <v>54</v>
      </c>
      <c r="C171" s="2">
        <v>2419990.09</v>
      </c>
      <c r="D171" s="2">
        <f t="shared" ref="D171:D176" si="31">C171/4</f>
        <v>604997.52249999996</v>
      </c>
      <c r="E171" s="2">
        <v>78500</v>
      </c>
      <c r="F171" s="2">
        <f t="shared" si="29"/>
        <v>2341490.09</v>
      </c>
      <c r="G171" s="2">
        <f t="shared" si="30"/>
        <v>526497.52249999996</v>
      </c>
      <c r="I171" s="14"/>
    </row>
    <row r="172" spans="1:9" x14ac:dyDescent="0.25">
      <c r="A172" s="18"/>
      <c r="B172" s="4" t="s">
        <v>55</v>
      </c>
      <c r="C172" s="2">
        <v>15000</v>
      </c>
      <c r="D172" s="2">
        <f t="shared" si="31"/>
        <v>3750</v>
      </c>
      <c r="E172" s="2"/>
      <c r="F172" s="2">
        <f t="shared" si="29"/>
        <v>15000</v>
      </c>
      <c r="G172" s="2">
        <f t="shared" si="30"/>
        <v>3750</v>
      </c>
    </row>
    <row r="173" spans="1:9" x14ac:dyDescent="0.25">
      <c r="A173" s="18"/>
      <c r="B173" s="4" t="s">
        <v>56</v>
      </c>
      <c r="C173" s="2">
        <v>20000</v>
      </c>
      <c r="D173" s="2">
        <f t="shared" si="31"/>
        <v>5000</v>
      </c>
      <c r="E173" s="2"/>
      <c r="F173" s="2">
        <f t="shared" si="29"/>
        <v>20000</v>
      </c>
      <c r="G173" s="2">
        <f t="shared" si="30"/>
        <v>5000</v>
      </c>
    </row>
    <row r="174" spans="1:9" x14ac:dyDescent="0.25">
      <c r="A174" s="18"/>
      <c r="B174" s="4" t="s">
        <v>160</v>
      </c>
      <c r="C174" s="2">
        <v>2419990.09</v>
      </c>
      <c r="D174" s="2">
        <f t="shared" si="31"/>
        <v>604997.52249999996</v>
      </c>
      <c r="E174" s="2">
        <v>8000</v>
      </c>
      <c r="F174" s="2">
        <f t="shared" si="29"/>
        <v>2411990.09</v>
      </c>
      <c r="G174" s="2">
        <f t="shared" si="30"/>
        <v>596997.52249999996</v>
      </c>
    </row>
    <row r="175" spans="1:9" x14ac:dyDescent="0.25">
      <c r="A175" s="18"/>
      <c r="B175" s="4" t="s">
        <v>161</v>
      </c>
      <c r="C175" s="2">
        <v>483998.02</v>
      </c>
      <c r="D175" s="2">
        <f t="shared" si="31"/>
        <v>120999.505</v>
      </c>
      <c r="E175" s="2"/>
      <c r="F175" s="2">
        <f t="shared" si="29"/>
        <v>483998.02</v>
      </c>
      <c r="G175" s="2">
        <f t="shared" si="30"/>
        <v>120999.505</v>
      </c>
    </row>
    <row r="176" spans="1:9" x14ac:dyDescent="0.25">
      <c r="A176" s="18"/>
      <c r="B176" s="55" t="s">
        <v>162</v>
      </c>
      <c r="C176" s="2">
        <v>412021.38</v>
      </c>
      <c r="D176" s="2">
        <f t="shared" si="31"/>
        <v>103005.345</v>
      </c>
      <c r="E176" s="2"/>
      <c r="F176" s="2">
        <f t="shared" si="29"/>
        <v>412021.38</v>
      </c>
      <c r="G176" s="2">
        <f t="shared" si="30"/>
        <v>103005.345</v>
      </c>
    </row>
    <row r="177" spans="1:7" x14ac:dyDescent="0.25">
      <c r="A177" s="18"/>
      <c r="B177" s="55" t="s">
        <v>225</v>
      </c>
      <c r="C177" s="2"/>
      <c r="D177" s="2"/>
      <c r="E177" s="2"/>
      <c r="F177" s="2"/>
      <c r="G177" s="2"/>
    </row>
    <row r="178" spans="1:7" x14ac:dyDescent="0.25">
      <c r="A178" s="18"/>
      <c r="B178" s="82" t="s">
        <v>226</v>
      </c>
      <c r="C178" s="2">
        <v>10000</v>
      </c>
      <c r="D178" s="2">
        <f t="shared" ref="D178:D182" si="32">C178/4</f>
        <v>2500</v>
      </c>
      <c r="E178" s="2"/>
      <c r="F178" s="2">
        <f t="shared" ref="F178:F182" si="33">C178-E178</f>
        <v>10000</v>
      </c>
      <c r="G178" s="2">
        <f t="shared" ref="G178:G182" si="34">D178-E178</f>
        <v>2500</v>
      </c>
    </row>
    <row r="179" spans="1:7" x14ac:dyDescent="0.25">
      <c r="A179" s="18"/>
      <c r="B179" s="55" t="s">
        <v>227</v>
      </c>
      <c r="C179" s="2">
        <v>10000</v>
      </c>
      <c r="D179" s="2">
        <f t="shared" si="32"/>
        <v>2500</v>
      </c>
      <c r="E179" s="2"/>
      <c r="F179" s="2">
        <f t="shared" si="33"/>
        <v>10000</v>
      </c>
      <c r="G179" s="2">
        <f t="shared" si="34"/>
        <v>2500</v>
      </c>
    </row>
    <row r="180" spans="1:7" x14ac:dyDescent="0.25">
      <c r="A180" s="18"/>
      <c r="B180" s="4" t="s">
        <v>228</v>
      </c>
      <c r="C180" s="2">
        <v>100000</v>
      </c>
      <c r="D180" s="2">
        <f t="shared" si="32"/>
        <v>25000</v>
      </c>
      <c r="E180" s="2"/>
      <c r="F180" s="2">
        <f t="shared" si="33"/>
        <v>100000</v>
      </c>
      <c r="G180" s="2">
        <f t="shared" si="34"/>
        <v>25000</v>
      </c>
    </row>
    <row r="181" spans="1:7" x14ac:dyDescent="0.25">
      <c r="A181" s="18"/>
      <c r="B181" s="4" t="s">
        <v>229</v>
      </c>
      <c r="C181" s="2">
        <v>300000</v>
      </c>
      <c r="D181" s="2">
        <f t="shared" si="32"/>
        <v>75000</v>
      </c>
      <c r="E181" s="2"/>
      <c r="F181" s="2">
        <f t="shared" si="33"/>
        <v>300000</v>
      </c>
      <c r="G181" s="2">
        <f t="shared" si="34"/>
        <v>75000</v>
      </c>
    </row>
    <row r="182" spans="1:7" x14ac:dyDescent="0.25">
      <c r="A182" s="18"/>
      <c r="B182" s="4" t="s">
        <v>105</v>
      </c>
      <c r="C182" s="2">
        <v>150000</v>
      </c>
      <c r="D182" s="2">
        <f t="shared" si="32"/>
        <v>37500</v>
      </c>
      <c r="E182" s="2"/>
      <c r="F182" s="2">
        <f t="shared" si="33"/>
        <v>150000</v>
      </c>
      <c r="G182" s="2">
        <f t="shared" si="34"/>
        <v>37500</v>
      </c>
    </row>
    <row r="183" spans="1:7" x14ac:dyDescent="0.25">
      <c r="A183" s="18"/>
      <c r="B183" s="27" t="s">
        <v>13</v>
      </c>
      <c r="C183" s="2"/>
      <c r="D183" s="2"/>
      <c r="E183" s="2"/>
      <c r="F183" s="2">
        <f t="shared" si="29"/>
        <v>0</v>
      </c>
      <c r="G183" s="2">
        <f t="shared" si="30"/>
        <v>0</v>
      </c>
    </row>
    <row r="184" spans="1:7" x14ac:dyDescent="0.25">
      <c r="A184" s="18"/>
      <c r="B184" s="4" t="s">
        <v>62</v>
      </c>
      <c r="C184" s="2"/>
      <c r="D184" s="2"/>
      <c r="E184" s="2"/>
      <c r="F184" s="2">
        <f t="shared" si="29"/>
        <v>0</v>
      </c>
      <c r="G184" s="2">
        <f t="shared" si="30"/>
        <v>0</v>
      </c>
    </row>
    <row r="185" spans="1:7" x14ac:dyDescent="0.25">
      <c r="A185" s="18"/>
      <c r="B185" s="83" t="s">
        <v>230</v>
      </c>
      <c r="C185" s="2">
        <v>500000</v>
      </c>
      <c r="D185" s="2">
        <f t="shared" ref="D185" si="35">C185/4</f>
        <v>125000</v>
      </c>
      <c r="E185" s="2"/>
      <c r="F185" s="2">
        <f t="shared" ref="F185" si="36">C185-E185</f>
        <v>500000</v>
      </c>
      <c r="G185" s="2">
        <f t="shared" ref="G185" si="37">D185-E185</f>
        <v>125000</v>
      </c>
    </row>
    <row r="186" spans="1:7" x14ac:dyDescent="0.25">
      <c r="A186" s="18"/>
      <c r="B186" s="4" t="s">
        <v>231</v>
      </c>
      <c r="C186" s="2"/>
      <c r="D186" s="2"/>
      <c r="E186" s="2"/>
      <c r="F186" s="2"/>
      <c r="G186" s="2"/>
    </row>
    <row r="187" spans="1:7" x14ac:dyDescent="0.25">
      <c r="A187" s="18"/>
      <c r="B187" s="83" t="s">
        <v>232</v>
      </c>
      <c r="C187" s="2">
        <v>2000000</v>
      </c>
      <c r="D187" s="2">
        <f>C187/4</f>
        <v>500000</v>
      </c>
      <c r="E187" s="2"/>
      <c r="F187" s="2">
        <f t="shared" si="29"/>
        <v>2000000</v>
      </c>
      <c r="G187" s="2">
        <f t="shared" si="30"/>
        <v>500000</v>
      </c>
    </row>
    <row r="188" spans="1:7" x14ac:dyDescent="0.25">
      <c r="A188" s="18"/>
      <c r="B188" s="4" t="s">
        <v>233</v>
      </c>
      <c r="C188" s="2">
        <v>120000</v>
      </c>
      <c r="D188" s="2">
        <f t="shared" ref="D188" si="38">C188/4</f>
        <v>30000</v>
      </c>
      <c r="E188" s="2"/>
      <c r="F188" s="2">
        <f t="shared" si="29"/>
        <v>120000</v>
      </c>
      <c r="G188" s="2">
        <f t="shared" si="30"/>
        <v>30000</v>
      </c>
    </row>
    <row r="189" spans="1:7" x14ac:dyDescent="0.25">
      <c r="A189" s="18"/>
      <c r="B189" s="4"/>
      <c r="C189" s="2"/>
      <c r="D189" s="2"/>
      <c r="E189" s="2"/>
      <c r="F189" s="2"/>
      <c r="G189" s="2"/>
    </row>
    <row r="190" spans="1:7" x14ac:dyDescent="0.25">
      <c r="A190" s="18"/>
      <c r="B190" s="39" t="s">
        <v>27</v>
      </c>
      <c r="C190" s="8">
        <f>SUM(C168:C189)</f>
        <v>10280999.579999998</v>
      </c>
      <c r="D190" s="8">
        <f>SUM(D168:D189)</f>
        <v>2570249.8949999996</v>
      </c>
      <c r="E190" s="8">
        <f>SUM(E168:E189)</f>
        <v>465493</v>
      </c>
      <c r="F190" s="8">
        <f>SUM(F168:F189)</f>
        <v>9815506.5799999982</v>
      </c>
      <c r="G190" s="8">
        <f>SUM(G168:G189)</f>
        <v>2104756.8949999996</v>
      </c>
    </row>
    <row r="191" spans="1:7" ht="15.75" thickBot="1" x14ac:dyDescent="0.3">
      <c r="A191" s="40"/>
      <c r="B191" s="41" t="s">
        <v>64</v>
      </c>
      <c r="C191" s="20">
        <f>C190+C153+C115+C108+C101+C94+C87+C80+C73+C57+C50+C43+C36+C29+C22+C15</f>
        <v>48399801.709999993</v>
      </c>
      <c r="D191" s="20">
        <f>D190+D153+D115+D108+D101+D94+D87+D80+D73+D57+D50+D43+D36+D29+D22+D15</f>
        <v>12099950.427499998</v>
      </c>
      <c r="E191" s="20">
        <f>E190+E153+E115+E108+E101+E94+E87+E80+E73+E57+E50+E43+E36+E29+E22+E15</f>
        <v>7390714.7000000002</v>
      </c>
      <c r="F191" s="20">
        <f>F190+F153+F115+F108+F101+F94+F87+F80+F73+F57+F50+F43+F36+F29+F22+F15</f>
        <v>41009087.009999998</v>
      </c>
      <c r="G191" s="20">
        <f>G190+G153+G115+G108+G101+G94+G87+G80+G73+G57+G50+G43+G36+G29+G22+G15</f>
        <v>4709235.7274999991</v>
      </c>
    </row>
    <row r="192" spans="1:7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"/>
      <c r="F193" s="12"/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C195" s="12"/>
      <c r="D195" s="12"/>
      <c r="E195" s="12"/>
      <c r="F195" s="12"/>
      <c r="G195" s="12"/>
    </row>
    <row r="196" spans="2:12" x14ac:dyDescent="0.25">
      <c r="B196" s="42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114"/>
      <c r="E197" s="114"/>
      <c r="F197" s="12"/>
      <c r="G197" s="12"/>
    </row>
    <row r="198" spans="2:12" x14ac:dyDescent="0.25">
      <c r="C198" s="12"/>
      <c r="D198" s="12"/>
      <c r="E198" s="12"/>
      <c r="F198" s="12"/>
      <c r="G198" s="12"/>
      <c r="H198" s="54"/>
      <c r="I198" s="12"/>
      <c r="L198" s="13">
        <f>20*20</f>
        <v>400</v>
      </c>
    </row>
    <row r="199" spans="2:12" x14ac:dyDescent="0.25">
      <c r="C199" s="12"/>
      <c r="D199" s="12"/>
      <c r="E199" s="12"/>
      <c r="F199" s="12"/>
      <c r="G199" s="12"/>
      <c r="H199" s="54"/>
      <c r="I199" s="12"/>
      <c r="L199" s="13">
        <f>15*20</f>
        <v>300</v>
      </c>
    </row>
    <row r="200" spans="2:12" x14ac:dyDescent="0.25">
      <c r="C200" s="12"/>
      <c r="D200" s="12"/>
      <c r="E200" s="12"/>
      <c r="F200" s="12"/>
      <c r="G200" s="12"/>
      <c r="I200" s="12"/>
    </row>
    <row r="201" spans="2:12" x14ac:dyDescent="0.25">
      <c r="C201" s="53"/>
      <c r="D201" s="12"/>
      <c r="E201" s="12"/>
      <c r="F201" s="12"/>
      <c r="G201" s="12"/>
      <c r="I201" s="12"/>
      <c r="L201" s="13">
        <f>SUM(L198:L200)</f>
        <v>700</v>
      </c>
    </row>
    <row r="202" spans="2:12" x14ac:dyDescent="0.25">
      <c r="C202" s="53"/>
      <c r="D202" s="12"/>
      <c r="E202" s="12"/>
      <c r="F202" s="12"/>
      <c r="G202" s="12"/>
      <c r="I202" s="12"/>
    </row>
    <row r="203" spans="2:12" x14ac:dyDescent="0.25">
      <c r="C203" s="12"/>
      <c r="D203" s="12"/>
      <c r="E203" s="12"/>
      <c r="F203" s="12"/>
      <c r="G203" s="12"/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E205" s="12"/>
      <c r="F205" s="12"/>
      <c r="G205" s="12"/>
      <c r="I205" s="12"/>
    </row>
    <row r="206" spans="2:12" x14ac:dyDescent="0.25">
      <c r="C206" s="12"/>
      <c r="D206" s="12"/>
      <c r="E206" s="12"/>
      <c r="F206" s="12"/>
      <c r="G206" s="12"/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E208" s="12"/>
      <c r="F208" s="12"/>
      <c r="G208" s="12"/>
      <c r="I208" s="12"/>
    </row>
    <row r="209" spans="3:7" x14ac:dyDescent="0.25">
      <c r="C209" s="12"/>
      <c r="D209" s="12"/>
      <c r="E209" s="12"/>
      <c r="F209" s="12"/>
      <c r="G209" s="12"/>
    </row>
    <row r="210" spans="3:7" x14ac:dyDescent="0.25">
      <c r="C210" s="12"/>
      <c r="D210" s="12"/>
      <c r="E210" s="12"/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/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A6:A7"/>
    <mergeCell ref="B6:B7"/>
    <mergeCell ref="C6:C7"/>
    <mergeCell ref="D6:D7"/>
    <mergeCell ref="E6:E7"/>
    <mergeCell ref="D197:E197"/>
    <mergeCell ref="A65:A66"/>
    <mergeCell ref="B65:B66"/>
    <mergeCell ref="C65:C66"/>
    <mergeCell ref="D65:D66"/>
    <mergeCell ref="E65:E66"/>
    <mergeCell ref="A125:A126"/>
    <mergeCell ref="B125:B126"/>
    <mergeCell ref="C125:C126"/>
    <mergeCell ref="D125:D126"/>
    <mergeCell ref="E125:E126"/>
    <mergeCell ref="A163:A164"/>
    <mergeCell ref="B163:B164"/>
    <mergeCell ref="C163:C164"/>
    <mergeCell ref="D163:D164"/>
    <mergeCell ref="E163:E164"/>
  </mergeCells>
  <pageMargins left="0.25" right="0.3" top="0.52" bottom="0.21" header="0.5" footer="0.3"/>
  <pageSetup scale="80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A164" zoomScale="130" zoomScaleNormal="130" workbookViewId="0">
      <selection activeCell="B155" sqref="B155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4.5703125" style="13" bestFit="1" customWidth="1"/>
    <col min="6" max="6" width="16.28515625" style="13" customWidth="1"/>
    <col min="7" max="7" width="14.855468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236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/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f>C11/2</f>
        <v>869193.52</v>
      </c>
      <c r="E11" s="2">
        <f>137223.36+167223.36+137223.36+157223.36</f>
        <v>598893.43999999994</v>
      </c>
      <c r="F11" s="2">
        <f>C11-E11</f>
        <v>1139493.6000000001</v>
      </c>
      <c r="G11" s="2">
        <f>D11-E11</f>
        <v>270300.08000000007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f t="shared" ref="D12:D13" si="0">C12/2</f>
        <v>607561.63500000001</v>
      </c>
      <c r="E12" s="2">
        <f>68133.9+66346.33+10000+43240.91</f>
        <v>187721.13999999998</v>
      </c>
      <c r="F12" s="2">
        <f t="shared" ref="F12:F13" si="1">C12-E12</f>
        <v>1027402.13</v>
      </c>
      <c r="G12" s="2">
        <f t="shared" ref="G12:G13" si="2">D12-E12</f>
        <v>419840.495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f t="shared" si="0"/>
        <v>75000</v>
      </c>
      <c r="E13" s="2"/>
      <c r="F13" s="2">
        <f t="shared" si="1"/>
        <v>150000</v>
      </c>
      <c r="G13" s="2">
        <f t="shared" si="2"/>
        <v>75000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1551755.155</v>
      </c>
      <c r="E15" s="8">
        <f>SUM(E11:E14)</f>
        <v>786614.58</v>
      </c>
      <c r="F15" s="8">
        <f>SUM(F11:F14)</f>
        <v>2316895.73</v>
      </c>
      <c r="G15" s="8">
        <f>SUM(G11:G14)</f>
        <v>765140.57500000007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f t="shared" ref="D18:D20" si="3">C18/2</f>
        <v>4292546.58</v>
      </c>
      <c r="E18" s="2">
        <f>603278.41+936306.35+603278.41+623357.41</f>
        <v>2766220.58</v>
      </c>
      <c r="F18" s="2">
        <f>C18-E18</f>
        <v>5818872.5800000001</v>
      </c>
      <c r="G18" s="2">
        <f>D18-E18</f>
        <v>1526326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f t="shared" si="3"/>
        <v>590468.18000000005</v>
      </c>
      <c r="E19" s="2">
        <f>119020+28460+11000</f>
        <v>158480</v>
      </c>
      <c r="F19" s="2">
        <f>C19-E19</f>
        <v>1022456.3600000001</v>
      </c>
      <c r="G19" s="2">
        <f>D19-E19</f>
        <v>431988.18000000005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f t="shared" si="3"/>
        <v>60000</v>
      </c>
      <c r="E20" s="2"/>
      <c r="F20" s="2">
        <f>C20-E20</f>
        <v>120000</v>
      </c>
      <c r="G20" s="2">
        <f>D20-E20</f>
        <v>60000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4943014.76</v>
      </c>
      <c r="E22" s="8">
        <f>SUM(E18:E21)</f>
        <v>2924700.58</v>
      </c>
      <c r="F22" s="8">
        <f>SUM(F18:F21)</f>
        <v>6961328.9400000004</v>
      </c>
      <c r="G22" s="8">
        <f>SUM(G18:G21)</f>
        <v>2018314.1800000002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f t="shared" ref="D25:D27" si="4">C25/2</f>
        <v>540034.16</v>
      </c>
      <c r="E25" s="2">
        <f>81375.15+96375.15+81375.15+96524.11</f>
        <v>355649.56</v>
      </c>
      <c r="F25" s="2">
        <f>C25-E25</f>
        <v>724418.76</v>
      </c>
      <c r="G25" s="2">
        <f>D25-E25</f>
        <v>184384.60000000003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f t="shared" si="4"/>
        <v>75642.725000000006</v>
      </c>
      <c r="E26" s="2"/>
      <c r="F26" s="2">
        <f>C26-E26</f>
        <v>151285.45000000001</v>
      </c>
      <c r="G26" s="2">
        <f>D26-E26</f>
        <v>75642.725000000006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f t="shared" si="4"/>
        <v>15000</v>
      </c>
      <c r="E27" s="2"/>
      <c r="F27" s="2">
        <f>C27-E27</f>
        <v>30000</v>
      </c>
      <c r="G27" s="2">
        <f>D27-E27</f>
        <v>15000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630676.88500000001</v>
      </c>
      <c r="E29" s="8">
        <f>SUM(E25:E28)</f>
        <v>355649.56</v>
      </c>
      <c r="F29" s="8">
        <f>SUM(F25:F28)</f>
        <v>905704.21</v>
      </c>
      <c r="G29" s="8">
        <f>SUM(G25:G28)</f>
        <v>275027.32500000007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f t="shared" ref="D32:D34" si="5">C32/2</f>
        <v>416805.98</v>
      </c>
      <c r="E32" s="2">
        <f>63327.47+73327.47+63327.47+73327.47</f>
        <v>273309.88</v>
      </c>
      <c r="F32" s="2">
        <f>C32-E32</f>
        <v>560302.07999999996</v>
      </c>
      <c r="G32" s="2">
        <f>D32-E32</f>
        <v>143496.09999999998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f t="shared" si="5"/>
        <v>59483.1</v>
      </c>
      <c r="E33" s="2">
        <f>2000+2930</f>
        <v>4930</v>
      </c>
      <c r="F33" s="2">
        <f>C33-E33</f>
        <v>114036.2</v>
      </c>
      <c r="G33" s="2">
        <f>D33-E33</f>
        <v>54553.1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f t="shared" si="5"/>
        <v>12500</v>
      </c>
      <c r="E34" s="2"/>
      <c r="F34" s="2">
        <f>C34-E34</f>
        <v>25000</v>
      </c>
      <c r="G34" s="2">
        <f>D34-E34</f>
        <v>12500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488789.07999999996</v>
      </c>
      <c r="E36" s="8">
        <f>SUM(E32:E35)</f>
        <v>278239.88</v>
      </c>
      <c r="F36" s="8">
        <f>SUM(F32:F35)</f>
        <v>699338.27999999991</v>
      </c>
      <c r="G36" s="8">
        <f>SUM(G32:G35)</f>
        <v>210549.19999999998</v>
      </c>
      <c r="L36" s="12"/>
    </row>
    <row r="37" spans="1:13" x14ac:dyDescent="0.25">
      <c r="A37" s="25"/>
      <c r="B37" s="18"/>
      <c r="C37" s="2"/>
      <c r="D37" s="2"/>
      <c r="E37" s="2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f t="shared" ref="D39:D41" si="6">C39/2</f>
        <v>343320.9</v>
      </c>
      <c r="E39" s="2">
        <f>53003.9+58003.9+53003.9+58003.9</f>
        <v>222015.6</v>
      </c>
      <c r="F39" s="2">
        <f>C39-E39</f>
        <v>464626.20000000007</v>
      </c>
      <c r="G39" s="2">
        <f>D39-E39</f>
        <v>121305.30000000002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f t="shared" si="6"/>
        <v>57471.925000000003</v>
      </c>
      <c r="E40" s="2">
        <f>2000+5200</f>
        <v>7200</v>
      </c>
      <c r="F40" s="2">
        <f>C40-E40</f>
        <v>107743.85</v>
      </c>
      <c r="G40" s="2">
        <f>D40-E40</f>
        <v>50271.925000000003</v>
      </c>
    </row>
    <row r="41" spans="1:13" x14ac:dyDescent="0.25">
      <c r="A41" s="25"/>
      <c r="B41" s="27" t="s">
        <v>13</v>
      </c>
      <c r="C41" s="2">
        <v>35000</v>
      </c>
      <c r="D41" s="2">
        <f t="shared" si="6"/>
        <v>17500</v>
      </c>
      <c r="E41" s="2"/>
      <c r="F41" s="2">
        <f>C41-E41</f>
        <v>35000</v>
      </c>
      <c r="G41" s="2">
        <f>D41-E41</f>
        <v>17500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418292.82500000001</v>
      </c>
      <c r="E43" s="8">
        <f>SUM(E39:E42)</f>
        <v>229215.6</v>
      </c>
      <c r="F43" s="8">
        <f>SUM(F39:F42)</f>
        <v>607370.05000000005</v>
      </c>
      <c r="G43" s="8">
        <f>SUM(G39:G42)</f>
        <v>189077.22500000003</v>
      </c>
    </row>
    <row r="44" spans="1:13" x14ac:dyDescent="0.25">
      <c r="A44" s="25"/>
      <c r="B44" s="18"/>
      <c r="C44" s="2"/>
      <c r="D44" s="2"/>
      <c r="E44" s="2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f t="shared" ref="D46:D48" si="7">C46/2</f>
        <v>585266.02</v>
      </c>
      <c r="E46" s="2">
        <f>46303.17+61303.17+46303.17+61303.17</f>
        <v>215212.68</v>
      </c>
      <c r="F46" s="2">
        <f>C46-E46</f>
        <v>955319.3600000001</v>
      </c>
      <c r="G46" s="2">
        <f>D46-E46</f>
        <v>370053.34</v>
      </c>
    </row>
    <row r="47" spans="1:13" x14ac:dyDescent="0.25">
      <c r="A47" s="25"/>
      <c r="B47" s="27" t="s">
        <v>12</v>
      </c>
      <c r="C47" s="2">
        <v>225508</v>
      </c>
      <c r="D47" s="2">
        <f t="shared" si="7"/>
        <v>112754</v>
      </c>
      <c r="E47" s="2">
        <f>9700+1000+1000</f>
        <v>11700</v>
      </c>
      <c r="F47" s="2">
        <f>C47-E47</f>
        <v>213808</v>
      </c>
      <c r="G47" s="2">
        <f>D47-E47</f>
        <v>101054</v>
      </c>
    </row>
    <row r="48" spans="1:13" x14ac:dyDescent="0.25">
      <c r="A48" s="25"/>
      <c r="B48" s="27" t="s">
        <v>13</v>
      </c>
      <c r="C48" s="2">
        <v>25000</v>
      </c>
      <c r="D48" s="2">
        <f t="shared" si="7"/>
        <v>12500</v>
      </c>
      <c r="E48" s="2"/>
      <c r="F48" s="2">
        <f>C48-E48</f>
        <v>25000</v>
      </c>
      <c r="G48" s="2">
        <f>D48-E48</f>
        <v>12500</v>
      </c>
      <c r="H48" s="12"/>
    </row>
    <row r="49" spans="1:8" x14ac:dyDescent="0.25">
      <c r="A49" s="25"/>
      <c r="B49" s="27" t="s">
        <v>14</v>
      </c>
      <c r="C49" s="2"/>
      <c r="D49" s="2"/>
      <c r="E49" s="2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710520.02</v>
      </c>
      <c r="E50" s="8">
        <f>SUM(E46:E49)</f>
        <v>226912.68</v>
      </c>
      <c r="F50" s="8">
        <f>SUM(F46:F49)</f>
        <v>1194127.3600000001</v>
      </c>
      <c r="G50" s="8">
        <f>SUM(G46:G49)</f>
        <v>483607.34</v>
      </c>
      <c r="H50" s="12"/>
    </row>
    <row r="51" spans="1:8" x14ac:dyDescent="0.25">
      <c r="A51" s="25"/>
      <c r="B51" s="18"/>
      <c r="C51" s="2"/>
      <c r="D51" s="2"/>
      <c r="E51" s="2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2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f t="shared" ref="D53:D55" si="8">C53/2</f>
        <v>863281.48</v>
      </c>
      <c r="E53" s="2">
        <f>127589.33+162589.33+127589.33+162589.33</f>
        <v>580357.31999999995</v>
      </c>
      <c r="F53" s="2">
        <f>C53-E53</f>
        <v>1146205.6400000001</v>
      </c>
      <c r="G53" s="2">
        <f>D53-E53</f>
        <v>282924.16000000003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f t="shared" si="8"/>
        <v>190436.02499999999</v>
      </c>
      <c r="E54" s="2">
        <f>7700+17777+1200+20827.9</f>
        <v>47504.9</v>
      </c>
      <c r="F54" s="2">
        <f>C54-E54</f>
        <v>333367.14999999997</v>
      </c>
      <c r="G54" s="2">
        <f>D54-E54</f>
        <v>142931.125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f t="shared" si="8"/>
        <v>30000</v>
      </c>
      <c r="E55" s="2"/>
      <c r="F55" s="2">
        <f>C55-E55</f>
        <v>60000</v>
      </c>
      <c r="G55" s="2">
        <f>D55-E55</f>
        <v>30000</v>
      </c>
      <c r="H55" s="12"/>
    </row>
    <row r="56" spans="1:8" x14ac:dyDescent="0.25">
      <c r="A56" s="25"/>
      <c r="B56" s="27" t="s">
        <v>14</v>
      </c>
      <c r="C56" s="2"/>
      <c r="D56" s="2"/>
      <c r="E56" s="2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1083717.5049999999</v>
      </c>
      <c r="E57" s="8">
        <f>SUM(E53:E56)</f>
        <v>627862.22</v>
      </c>
      <c r="F57" s="8">
        <f>SUM(F53:F56)</f>
        <v>1539572.79</v>
      </c>
      <c r="G57" s="8">
        <f>SUM(G53:G56)</f>
        <v>455855.28500000003</v>
      </c>
      <c r="H57" s="12"/>
    </row>
    <row r="58" spans="1:8" ht="15.75" thickBot="1" x14ac:dyDescent="0.3">
      <c r="A58" s="30"/>
      <c r="B58" s="31"/>
      <c r="C58" s="9"/>
      <c r="D58" s="9"/>
      <c r="E58" s="9"/>
      <c r="F58" s="9"/>
      <c r="G58" s="32"/>
      <c r="H58" s="12"/>
    </row>
    <row r="59" spans="1:8" x14ac:dyDescent="0.25">
      <c r="A59" s="33"/>
      <c r="B59" s="34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10"/>
      <c r="F62" s="10"/>
      <c r="G62" s="10"/>
      <c r="H62" s="12"/>
    </row>
    <row r="63" spans="1:8" x14ac:dyDescent="0.25">
      <c r="A63" s="22" t="s">
        <v>236</v>
      </c>
      <c r="B63" s="34"/>
      <c r="C63" s="10"/>
      <c r="D63" s="10"/>
      <c r="E63" s="10"/>
      <c r="F63" s="10"/>
      <c r="G63" s="10"/>
      <c r="H63" s="12"/>
    </row>
    <row r="64" spans="1:8" x14ac:dyDescent="0.25">
      <c r="A64" s="33"/>
      <c r="B64" s="34"/>
      <c r="C64" s="10"/>
      <c r="D64" s="10"/>
      <c r="E64" s="10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5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6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9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2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f t="shared" ref="D69:D71" si="9">C69/2</f>
        <v>429192.96000000002</v>
      </c>
      <c r="E69" s="2">
        <f>65251.06+75251.06+65251.06+75251.06</f>
        <v>281004.24</v>
      </c>
      <c r="F69" s="2">
        <f>C69-E69</f>
        <v>577381.68000000005</v>
      </c>
      <c r="G69" s="2">
        <f>D69-E69</f>
        <v>148188.72000000003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f t="shared" si="9"/>
        <v>61716.474999999999</v>
      </c>
      <c r="E70" s="2">
        <f>2000+5300+2000</f>
        <v>9300</v>
      </c>
      <c r="F70" s="2">
        <f>C70-E70</f>
        <v>114132.95</v>
      </c>
      <c r="G70" s="2">
        <f>D70-E70</f>
        <v>52416.474999999999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f t="shared" si="9"/>
        <v>15000</v>
      </c>
      <c r="E71" s="2"/>
      <c r="F71" s="2">
        <f>C71-E71</f>
        <v>30000</v>
      </c>
      <c r="G71" s="2">
        <f>D71-E71</f>
        <v>15000</v>
      </c>
      <c r="H71" s="12"/>
    </row>
    <row r="72" spans="1:8" x14ac:dyDescent="0.25">
      <c r="A72" s="25"/>
      <c r="B72" s="27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505909.435</v>
      </c>
      <c r="E73" s="8">
        <f>SUM(E69:E72)</f>
        <v>290304.24</v>
      </c>
      <c r="F73" s="8">
        <f>SUM(F69:F72)</f>
        <v>721514.63</v>
      </c>
      <c r="G73" s="8">
        <f>SUM(G69:G72)</f>
        <v>215605.19500000004</v>
      </c>
      <c r="H73" s="12"/>
    </row>
    <row r="74" spans="1:8" x14ac:dyDescent="0.25">
      <c r="A74" s="25"/>
      <c r="B74" s="18"/>
      <c r="C74" s="2"/>
      <c r="D74" s="2"/>
      <c r="E74" s="2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2"/>
      <c r="E75" s="2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f t="shared" ref="D76:D77" si="10">C76/2</f>
        <v>599791.48</v>
      </c>
      <c r="E76" s="2">
        <f>43617.35+89117.35+43617.35+67471.91</f>
        <v>243823.96000000002</v>
      </c>
      <c r="F76" s="2">
        <f>C76-E76</f>
        <v>955759</v>
      </c>
      <c r="G76" s="2">
        <f>D76-E76</f>
        <v>355967.51999999996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f t="shared" si="10"/>
        <v>412004.39500000002</v>
      </c>
      <c r="E77" s="2">
        <f>65119.58+36394.25+745.65</f>
        <v>102259.48</v>
      </c>
      <c r="F77" s="2">
        <f>C77-E77</f>
        <v>721749.31</v>
      </c>
      <c r="G77" s="2">
        <f>D77-E77</f>
        <v>309744.91500000004</v>
      </c>
      <c r="H77" s="12"/>
    </row>
    <row r="78" spans="1:8" x14ac:dyDescent="0.25">
      <c r="A78" s="25"/>
      <c r="B78" s="27" t="s">
        <v>13</v>
      </c>
      <c r="C78" s="2"/>
      <c r="D78" s="2"/>
      <c r="E78" s="2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2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1011795.875</v>
      </c>
      <c r="E80" s="8">
        <f>SUM(E76:E79)</f>
        <v>346083.44</v>
      </c>
      <c r="F80" s="8">
        <f>SUM(F76:F79)</f>
        <v>1677508.31</v>
      </c>
      <c r="G80" s="8">
        <f>SUM(G76:G79)</f>
        <v>665712.43500000006</v>
      </c>
      <c r="H80" s="12"/>
    </row>
    <row r="81" spans="1:8" x14ac:dyDescent="0.25">
      <c r="A81" s="25"/>
      <c r="B81" s="18"/>
      <c r="C81" s="2"/>
      <c r="D81" s="2"/>
      <c r="E81" s="2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2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f t="shared" ref="D83:D84" si="11">C83/2</f>
        <v>1584934.6</v>
      </c>
      <c r="E83" s="2">
        <f>238901.81+278901.81+238901.81+278901.81</f>
        <v>1035607.24</v>
      </c>
      <c r="F83" s="2">
        <f>C83-E83</f>
        <v>2134261.96</v>
      </c>
      <c r="G83" s="2">
        <f>D83-E83</f>
        <v>549327.3600000001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f t="shared" si="11"/>
        <v>96194</v>
      </c>
      <c r="E84" s="2">
        <f>23860+10876.16</f>
        <v>34736.160000000003</v>
      </c>
      <c r="F84" s="2">
        <f>C84-E84</f>
        <v>157651.84</v>
      </c>
      <c r="G84" s="2">
        <f>D84-E84</f>
        <v>61457.84</v>
      </c>
      <c r="H84" s="12"/>
    </row>
    <row r="85" spans="1:8" x14ac:dyDescent="0.25">
      <c r="A85" s="25"/>
      <c r="B85" s="27" t="s">
        <v>13</v>
      </c>
      <c r="C85" s="2"/>
      <c r="D85" s="2"/>
      <c r="E85" s="2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2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1681128.6</v>
      </c>
      <c r="E87" s="8">
        <f>SUM(E83:E86)</f>
        <v>1070343.3999999999</v>
      </c>
      <c r="F87" s="8">
        <f>SUM(F83:F86)</f>
        <v>2291913.7999999998</v>
      </c>
      <c r="G87" s="8">
        <f>SUM(G83:G86)</f>
        <v>610785.20000000007</v>
      </c>
      <c r="H87" s="12"/>
    </row>
    <row r="88" spans="1:8" x14ac:dyDescent="0.25">
      <c r="A88" s="25"/>
      <c r="B88" s="18"/>
      <c r="C88" s="2"/>
      <c r="D88" s="2"/>
      <c r="E88" s="2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2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f t="shared" ref="D90:D92" si="12">C90/2</f>
        <v>612446.84</v>
      </c>
      <c r="E90" s="2">
        <f>82617.57+102617.57+82617.57+102617.57</f>
        <v>370470.28</v>
      </c>
      <c r="F90" s="2">
        <f>C90-E90</f>
        <v>854423.39999999991</v>
      </c>
      <c r="G90" s="2">
        <f>D90-E90</f>
        <v>241976.55999999994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f t="shared" si="12"/>
        <v>104484</v>
      </c>
      <c r="E91" s="2">
        <v>6000</v>
      </c>
      <c r="F91" s="2">
        <f>C91-E91</f>
        <v>202968</v>
      </c>
      <c r="G91" s="2">
        <f>D91-E91</f>
        <v>98484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f t="shared" si="12"/>
        <v>15000</v>
      </c>
      <c r="E92" s="2"/>
      <c r="F92" s="2">
        <f>C92-E92</f>
        <v>30000</v>
      </c>
      <c r="G92" s="2">
        <f>D92-E92</f>
        <v>15000</v>
      </c>
      <c r="H92" s="12"/>
    </row>
    <row r="93" spans="1:8" x14ac:dyDescent="0.25">
      <c r="A93" s="25"/>
      <c r="B93" s="27" t="s">
        <v>14</v>
      </c>
      <c r="C93" s="2"/>
      <c r="D93" s="2"/>
      <c r="E93" s="2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731930.84</v>
      </c>
      <c r="E94" s="8">
        <f>SUM(E90:E93)</f>
        <v>376470.28</v>
      </c>
      <c r="F94" s="8">
        <f>SUM(F90:F93)</f>
        <v>1087391.3999999999</v>
      </c>
      <c r="G94" s="8">
        <f>SUM(G90:G93)</f>
        <v>355460.55999999994</v>
      </c>
      <c r="H94" s="12"/>
    </row>
    <row r="95" spans="1:8" x14ac:dyDescent="0.25">
      <c r="A95" s="25"/>
      <c r="B95" s="18"/>
      <c r="C95" s="2"/>
      <c r="D95" s="2"/>
      <c r="E95" s="2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2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f t="shared" ref="D97:D98" si="13">C97/2</f>
        <v>463834.52</v>
      </c>
      <c r="E97" s="2">
        <f>63960.58+78960.58+123960.58+64700.76</f>
        <v>331582.5</v>
      </c>
      <c r="F97" s="2">
        <f>C97-E97</f>
        <v>596086.54</v>
      </c>
      <c r="G97" s="2">
        <f>D97-E97</f>
        <v>132252.02000000002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f t="shared" si="13"/>
        <v>51760</v>
      </c>
      <c r="E98" s="2">
        <v>3000</v>
      </c>
      <c r="F98" s="2">
        <f>C98-E98</f>
        <v>100520</v>
      </c>
      <c r="G98" s="2">
        <f>D98-E98</f>
        <v>48760</v>
      </c>
      <c r="H98" s="12"/>
    </row>
    <row r="99" spans="1:8" x14ac:dyDescent="0.25">
      <c r="A99" s="25"/>
      <c r="B99" s="27" t="s">
        <v>13</v>
      </c>
      <c r="C99" s="2"/>
      <c r="D99" s="2"/>
      <c r="E99" s="2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515594.52</v>
      </c>
      <c r="E101" s="8">
        <f>SUM(E97:E100)</f>
        <v>334582.5</v>
      </c>
      <c r="F101" s="8">
        <f>SUM(F97:F100)</f>
        <v>696606.54</v>
      </c>
      <c r="G101" s="8">
        <f>SUM(G97:G100)</f>
        <v>181012.02000000002</v>
      </c>
      <c r="H101" s="12"/>
    </row>
    <row r="102" spans="1:8" x14ac:dyDescent="0.25">
      <c r="A102" s="25"/>
      <c r="B102" s="18"/>
      <c r="C102" s="2"/>
      <c r="D102" s="2"/>
      <c r="E102" s="2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f t="shared" ref="D104:D105" si="14">C104/2</f>
        <v>567360.24</v>
      </c>
      <c r="E104" s="2">
        <f>84930+99930+85263.57+99930</f>
        <v>370053.57</v>
      </c>
      <c r="F104" s="2">
        <f>C104-E104</f>
        <v>764666.90999999992</v>
      </c>
      <c r="G104" s="2">
        <f>D104-E104</f>
        <v>197306.66999999998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f t="shared" si="14"/>
        <v>33701.525000000001</v>
      </c>
      <c r="E105" s="2">
        <v>515</v>
      </c>
      <c r="F105" s="2">
        <f>C105-E105</f>
        <v>66888.05</v>
      </c>
      <c r="G105" s="2">
        <f>D105-E105</f>
        <v>33186.525000000001</v>
      </c>
      <c r="H105" s="12"/>
    </row>
    <row r="106" spans="1:8" x14ac:dyDescent="0.25">
      <c r="A106" s="25"/>
      <c r="B106" s="27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601061.76500000001</v>
      </c>
      <c r="E108" s="8">
        <f>SUM(E104:E107)</f>
        <v>370568.57</v>
      </c>
      <c r="F108" s="8">
        <f>SUM(F104:F107)</f>
        <v>831554.96</v>
      </c>
      <c r="G108" s="8">
        <f>SUM(G104:G107)</f>
        <v>230493.19499999998</v>
      </c>
      <c r="H108" s="12"/>
    </row>
    <row r="109" spans="1:8" x14ac:dyDescent="0.25">
      <c r="A109" s="25"/>
      <c r="B109" s="18"/>
      <c r="C109" s="2"/>
      <c r="D109" s="2"/>
      <c r="E109" s="2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f t="shared" ref="D112" si="15">C112/2</f>
        <v>65000</v>
      </c>
      <c r="E112" s="2"/>
      <c r="F112" s="2">
        <f>C112-E112</f>
        <v>130000</v>
      </c>
      <c r="G112" s="2">
        <f>D112-E112</f>
        <v>65000</v>
      </c>
      <c r="H112" s="12"/>
    </row>
    <row r="113" spans="1:8" x14ac:dyDescent="0.25">
      <c r="A113" s="25"/>
      <c r="B113" s="27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65000</v>
      </c>
      <c r="E115" s="8">
        <f>SUM(E111:E114)</f>
        <v>0</v>
      </c>
      <c r="F115" s="8">
        <f>SUM(F111:F114)</f>
        <v>130000</v>
      </c>
      <c r="G115" s="8">
        <f>SUM(G111:G114)</f>
        <v>65000</v>
      </c>
      <c r="H115" s="12"/>
    </row>
    <row r="116" spans="1:8" ht="15.75" thickBot="1" x14ac:dyDescent="0.3">
      <c r="A116" s="35"/>
      <c r="B116" s="36"/>
      <c r="C116" s="9"/>
      <c r="D116" s="9"/>
      <c r="E116" s="9"/>
      <c r="F116" s="9"/>
      <c r="G116" s="3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E15+E22+E29+E36+E43+E50+E57+E73+E80+E87+E94+E101+E108+E115+E168+E169</f>
        <v>8716540.5300000012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10"/>
      <c r="F122" s="10"/>
      <c r="G122" s="10"/>
      <c r="H122" s="12"/>
    </row>
    <row r="123" spans="1:8" x14ac:dyDescent="0.25">
      <c r="A123" s="22" t="s">
        <v>236</v>
      </c>
      <c r="B123" s="34"/>
      <c r="C123" s="10"/>
      <c r="D123" s="10"/>
      <c r="E123" s="10"/>
      <c r="F123" s="10"/>
      <c r="G123" s="10"/>
      <c r="H123" s="12"/>
    </row>
    <row r="124" spans="1:8" x14ac:dyDescent="0.25">
      <c r="A124" s="33"/>
      <c r="B124" s="34"/>
      <c r="C124" s="10"/>
      <c r="D124" s="10"/>
      <c r="E124" s="10"/>
      <c r="F124" s="10"/>
      <c r="G124" s="10"/>
      <c r="H124" s="12"/>
    </row>
    <row r="125" spans="1:8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5" t="s">
        <v>7</v>
      </c>
      <c r="F125" s="15" t="s">
        <v>8</v>
      </c>
      <c r="G125" s="15" t="s">
        <v>8</v>
      </c>
      <c r="H125" s="12"/>
    </row>
    <row r="126" spans="1:8" x14ac:dyDescent="0.25">
      <c r="A126" s="116"/>
      <c r="B126" s="116"/>
      <c r="C126" s="116"/>
      <c r="D126" s="116"/>
      <c r="E126" s="116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f t="shared" ref="D128:D151" si="16">C128/2</f>
        <v>19298</v>
      </c>
      <c r="E128" s="2"/>
      <c r="F128" s="2">
        <f t="shared" ref="F128:F151" si="17">C128-E128</f>
        <v>38596</v>
      </c>
      <c r="G128" s="2">
        <f t="shared" ref="G128:G152" si="18">D128-E128</f>
        <v>19298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f t="shared" si="16"/>
        <v>215000</v>
      </c>
      <c r="E129" s="2">
        <v>19047.59</v>
      </c>
      <c r="F129" s="2">
        <f>C129-E129</f>
        <v>410952.41</v>
      </c>
      <c r="G129" s="2">
        <f>D129-E129</f>
        <v>195952.41</v>
      </c>
      <c r="H129" s="12"/>
    </row>
    <row r="130" spans="1:10" x14ac:dyDescent="0.25">
      <c r="A130" s="18"/>
      <c r="B130" s="18" t="s">
        <v>88</v>
      </c>
      <c r="C130" s="2">
        <v>120000</v>
      </c>
      <c r="D130" s="2">
        <f t="shared" si="16"/>
        <v>60000</v>
      </c>
      <c r="E130" s="2">
        <v>30000</v>
      </c>
      <c r="F130" s="2">
        <f t="shared" ref="F130:F132" si="19">C130-E130</f>
        <v>90000</v>
      </c>
      <c r="G130" s="2">
        <f t="shared" ref="G130:G132" si="20">D130-E130</f>
        <v>30000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f t="shared" si="16"/>
        <v>150000</v>
      </c>
      <c r="E131" s="2"/>
      <c r="F131" s="2">
        <f t="shared" si="19"/>
        <v>300000</v>
      </c>
      <c r="G131" s="2">
        <f t="shared" si="20"/>
        <v>150000</v>
      </c>
      <c r="H131" s="12"/>
    </row>
    <row r="132" spans="1:10" x14ac:dyDescent="0.25">
      <c r="A132" s="18"/>
      <c r="B132" s="18" t="s">
        <v>166</v>
      </c>
      <c r="C132" s="2">
        <v>200000</v>
      </c>
      <c r="D132" s="2">
        <f t="shared" si="16"/>
        <v>100000</v>
      </c>
      <c r="E132" s="2"/>
      <c r="F132" s="2">
        <f t="shared" si="19"/>
        <v>200000</v>
      </c>
      <c r="G132" s="2">
        <f t="shared" si="20"/>
        <v>100000</v>
      </c>
      <c r="H132" s="12"/>
    </row>
    <row r="133" spans="1:10" x14ac:dyDescent="0.25">
      <c r="A133" s="18"/>
      <c r="B133" s="18" t="s">
        <v>143</v>
      </c>
      <c r="C133" s="2">
        <v>145000</v>
      </c>
      <c r="D133" s="2">
        <f t="shared" si="16"/>
        <v>72500</v>
      </c>
      <c r="E133" s="2"/>
      <c r="F133" s="2">
        <f t="shared" si="17"/>
        <v>145000</v>
      </c>
      <c r="G133" s="2">
        <f t="shared" si="18"/>
        <v>72500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f t="shared" si="16"/>
        <v>60000</v>
      </c>
      <c r="E134" s="2">
        <v>3450</v>
      </c>
      <c r="F134" s="2">
        <f t="shared" si="17"/>
        <v>116550</v>
      </c>
      <c r="G134" s="2">
        <f t="shared" si="18"/>
        <v>56550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f t="shared" si="16"/>
        <v>37500</v>
      </c>
      <c r="E135" s="2"/>
      <c r="F135" s="2">
        <f t="shared" si="17"/>
        <v>75000</v>
      </c>
      <c r="G135" s="2">
        <f t="shared" si="18"/>
        <v>37500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f t="shared" si="16"/>
        <v>750000</v>
      </c>
      <c r="E136" s="2">
        <f>214375+103410+218450+95575</f>
        <v>631810</v>
      </c>
      <c r="F136" s="2">
        <f t="shared" si="17"/>
        <v>868190</v>
      </c>
      <c r="G136" s="2">
        <f t="shared" si="18"/>
        <v>118190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f t="shared" si="16"/>
        <v>50000</v>
      </c>
      <c r="E137" s="2"/>
      <c r="F137" s="2">
        <f t="shared" si="17"/>
        <v>100000</v>
      </c>
      <c r="G137" s="2">
        <f t="shared" si="18"/>
        <v>50000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v>150000</v>
      </c>
      <c r="D138" s="2">
        <f t="shared" si="16"/>
        <v>75000</v>
      </c>
      <c r="E138" s="2"/>
      <c r="F138" s="2">
        <f t="shared" si="17"/>
        <v>150000</v>
      </c>
      <c r="G138" s="2">
        <f t="shared" si="18"/>
        <v>75000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f t="shared" si="16"/>
        <v>35000</v>
      </c>
      <c r="E139" s="2"/>
      <c r="F139" s="2">
        <f t="shared" si="17"/>
        <v>70000</v>
      </c>
      <c r="G139" s="2">
        <f t="shared" si="18"/>
        <v>35000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f t="shared" si="16"/>
        <v>150000</v>
      </c>
      <c r="E140" s="2"/>
      <c r="F140" s="2">
        <f t="shared" si="17"/>
        <v>300000</v>
      </c>
      <c r="G140" s="2">
        <f t="shared" si="18"/>
        <v>150000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f t="shared" si="16"/>
        <v>10000</v>
      </c>
      <c r="E141" s="2"/>
      <c r="F141" s="2">
        <f>C141-E141</f>
        <v>20000</v>
      </c>
      <c r="G141" s="2">
        <f>D141-E141</f>
        <v>10000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f t="shared" si="16"/>
        <v>7500</v>
      </c>
      <c r="E142" s="2"/>
      <c r="F142" s="2">
        <f t="shared" si="17"/>
        <v>15000</v>
      </c>
      <c r="G142" s="2">
        <f t="shared" si="18"/>
        <v>7500</v>
      </c>
      <c r="J142" s="12"/>
    </row>
    <row r="143" spans="1:10" x14ac:dyDescent="0.25">
      <c r="A143" s="18"/>
      <c r="B143" s="18" t="s">
        <v>51</v>
      </c>
      <c r="C143" s="2">
        <v>750000</v>
      </c>
      <c r="D143" s="2">
        <f t="shared" si="16"/>
        <v>375000</v>
      </c>
      <c r="E143" s="2"/>
      <c r="F143" s="2">
        <f t="shared" si="17"/>
        <v>750000</v>
      </c>
      <c r="G143" s="2">
        <f t="shared" si="18"/>
        <v>375000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f t="shared" si="16"/>
        <v>25000</v>
      </c>
      <c r="E144" s="2"/>
      <c r="F144" s="2">
        <f t="shared" si="17"/>
        <v>50000</v>
      </c>
      <c r="G144" s="2">
        <f t="shared" si="18"/>
        <v>25000</v>
      </c>
    </row>
    <row r="145" spans="1:7" x14ac:dyDescent="0.25">
      <c r="A145" s="18"/>
      <c r="B145" s="18" t="s">
        <v>223</v>
      </c>
      <c r="C145" s="2">
        <v>455427.6</v>
      </c>
      <c r="D145" s="2">
        <f t="shared" si="16"/>
        <v>227713.8</v>
      </c>
      <c r="E145" s="2"/>
      <c r="F145" s="2">
        <f t="shared" si="17"/>
        <v>455427.6</v>
      </c>
      <c r="G145" s="2">
        <f t="shared" si="18"/>
        <v>227713.8</v>
      </c>
    </row>
    <row r="146" spans="1:7" x14ac:dyDescent="0.25">
      <c r="A146" s="18"/>
      <c r="B146" s="18" t="s">
        <v>224</v>
      </c>
      <c r="C146" s="2">
        <v>1200000</v>
      </c>
      <c r="D146" s="2">
        <f t="shared" si="16"/>
        <v>600000</v>
      </c>
      <c r="E146" s="2">
        <f>2200+25000</f>
        <v>27200</v>
      </c>
      <c r="F146" s="2">
        <f t="shared" si="17"/>
        <v>1172800</v>
      </c>
      <c r="G146" s="2">
        <f t="shared" si="18"/>
        <v>572800</v>
      </c>
    </row>
    <row r="147" spans="1:7" x14ac:dyDescent="0.25">
      <c r="A147" s="18"/>
      <c r="B147" s="18" t="s">
        <v>211</v>
      </c>
      <c r="C147" s="2">
        <v>500000</v>
      </c>
      <c r="D147" s="2">
        <f t="shared" si="16"/>
        <v>250000</v>
      </c>
      <c r="E147" s="2"/>
      <c r="F147" s="2">
        <f t="shared" si="17"/>
        <v>500000</v>
      </c>
      <c r="G147" s="2">
        <f t="shared" si="18"/>
        <v>250000</v>
      </c>
    </row>
    <row r="148" spans="1:7" x14ac:dyDescent="0.25">
      <c r="A148" s="18"/>
      <c r="B148" s="18" t="s">
        <v>212</v>
      </c>
      <c r="C148" s="2">
        <v>300000</v>
      </c>
      <c r="D148" s="2">
        <f t="shared" si="16"/>
        <v>150000</v>
      </c>
      <c r="E148" s="2">
        <v>4116.6499999999996</v>
      </c>
      <c r="F148" s="2">
        <f t="shared" si="17"/>
        <v>295883.34999999998</v>
      </c>
      <c r="G148" s="2">
        <f t="shared" si="18"/>
        <v>145883.35</v>
      </c>
    </row>
    <row r="149" spans="1:7" x14ac:dyDescent="0.25">
      <c r="A149" s="18"/>
      <c r="B149" s="18" t="s">
        <v>213</v>
      </c>
      <c r="C149" s="2">
        <v>375000</v>
      </c>
      <c r="D149" s="2">
        <f t="shared" si="16"/>
        <v>187500</v>
      </c>
      <c r="E149" s="2"/>
      <c r="F149" s="2">
        <f t="shared" si="17"/>
        <v>375000</v>
      </c>
      <c r="G149" s="2">
        <f t="shared" si="18"/>
        <v>187500</v>
      </c>
    </row>
    <row r="150" spans="1:7" x14ac:dyDescent="0.25">
      <c r="A150" s="18"/>
      <c r="B150" s="18" t="s">
        <v>32</v>
      </c>
      <c r="C150" s="2">
        <v>250000</v>
      </c>
      <c r="D150" s="2">
        <f t="shared" si="16"/>
        <v>125000</v>
      </c>
      <c r="E150" s="2"/>
      <c r="F150" s="2">
        <f t="shared" si="17"/>
        <v>250000</v>
      </c>
      <c r="G150" s="2">
        <f t="shared" si="18"/>
        <v>125000</v>
      </c>
    </row>
    <row r="151" spans="1:7" x14ac:dyDescent="0.25">
      <c r="A151" s="18"/>
      <c r="B151" s="18" t="s">
        <v>96</v>
      </c>
      <c r="C151" s="2">
        <v>776404</v>
      </c>
      <c r="D151" s="2">
        <f t="shared" si="16"/>
        <v>388202</v>
      </c>
      <c r="E151" s="2">
        <v>194101</v>
      </c>
      <c r="F151" s="2">
        <f t="shared" si="17"/>
        <v>582303</v>
      </c>
      <c r="G151" s="2">
        <f t="shared" si="18"/>
        <v>194101</v>
      </c>
    </row>
    <row r="152" spans="1:7" x14ac:dyDescent="0.25">
      <c r="A152" s="37"/>
      <c r="B152" s="37"/>
      <c r="C152" s="6"/>
      <c r="D152" s="6"/>
      <c r="E152" s="6"/>
      <c r="F152" s="2"/>
      <c r="G152" s="2">
        <f t="shared" si="18"/>
        <v>0</v>
      </c>
    </row>
    <row r="153" spans="1:7" x14ac:dyDescent="0.25">
      <c r="A153" s="38"/>
      <c r="B153" s="28" t="s">
        <v>27</v>
      </c>
      <c r="C153" s="8">
        <f>SUM(C128:C152)</f>
        <v>8240427.5999999996</v>
      </c>
      <c r="D153" s="8">
        <f>SUM(D128:D152)</f>
        <v>4120213.8</v>
      </c>
      <c r="E153" s="8">
        <f>SUM(E128:E152)</f>
        <v>909725.24</v>
      </c>
      <c r="F153" s="8">
        <f>SUM(F128:F152)</f>
        <v>7330702.3599999994</v>
      </c>
      <c r="G153" s="8">
        <f>SUM(G128:G152)</f>
        <v>3210488.56</v>
      </c>
    </row>
    <row r="154" spans="1:7" x14ac:dyDescent="0.25">
      <c r="C154" s="7"/>
    </row>
    <row r="155" spans="1:7" x14ac:dyDescent="0.25">
      <c r="C155" s="14"/>
      <c r="E155" s="14"/>
    </row>
    <row r="156" spans="1:7" x14ac:dyDescent="0.25">
      <c r="C156" s="14"/>
    </row>
    <row r="158" spans="1:7" x14ac:dyDescent="0.25">
      <c r="A158" s="13" t="s">
        <v>0</v>
      </c>
      <c r="B158" s="34"/>
      <c r="C158" s="10"/>
      <c r="D158" s="10"/>
      <c r="E158" s="10">
        <f>E155-E157</f>
        <v>0</v>
      </c>
      <c r="F158" s="10"/>
      <c r="G158" s="10"/>
    </row>
    <row r="159" spans="1:7" x14ac:dyDescent="0.25">
      <c r="A159" s="13" t="s">
        <v>1</v>
      </c>
      <c r="B159" s="34"/>
      <c r="C159" s="10"/>
      <c r="D159" s="10"/>
      <c r="E159" s="10"/>
      <c r="F159" s="10"/>
      <c r="G159" s="10"/>
    </row>
    <row r="160" spans="1:7" x14ac:dyDescent="0.25">
      <c r="A160" s="13" t="s">
        <v>2</v>
      </c>
      <c r="B160" s="34"/>
      <c r="C160" s="10"/>
      <c r="D160" s="10"/>
      <c r="E160" s="10"/>
      <c r="F160" s="10"/>
      <c r="G160" s="10"/>
    </row>
    <row r="161" spans="1:9" x14ac:dyDescent="0.25">
      <c r="A161" s="22" t="s">
        <v>236</v>
      </c>
      <c r="B161" s="34"/>
      <c r="C161" s="10"/>
      <c r="D161" s="10"/>
      <c r="E161" s="10"/>
      <c r="F161" s="10"/>
      <c r="G161" s="10"/>
    </row>
    <row r="162" spans="1:9" x14ac:dyDescent="0.25">
      <c r="A162" s="33"/>
      <c r="B162" s="34"/>
      <c r="C162" s="10"/>
      <c r="D162" s="10"/>
      <c r="E162" s="10"/>
      <c r="F162" s="10"/>
      <c r="G162" s="10"/>
    </row>
    <row r="163" spans="1:9" x14ac:dyDescent="0.25">
      <c r="A163" s="115" t="s">
        <v>3</v>
      </c>
      <c r="B163" s="115" t="s">
        <v>4</v>
      </c>
      <c r="C163" s="115" t="s">
        <v>5</v>
      </c>
      <c r="D163" s="115" t="s">
        <v>6</v>
      </c>
      <c r="E163" s="115" t="s">
        <v>7</v>
      </c>
      <c r="F163" s="15" t="s">
        <v>8</v>
      </c>
      <c r="G163" s="15" t="s">
        <v>8</v>
      </c>
    </row>
    <row r="164" spans="1:9" x14ac:dyDescent="0.25">
      <c r="A164" s="116"/>
      <c r="B164" s="116"/>
      <c r="C164" s="116"/>
      <c r="D164" s="116"/>
      <c r="E164" s="116"/>
      <c r="F164" s="16" t="s">
        <v>5</v>
      </c>
      <c r="G164" s="16" t="s">
        <v>6</v>
      </c>
    </row>
    <row r="165" spans="1:9" x14ac:dyDescent="0.25">
      <c r="A165" s="17"/>
      <c r="B165" s="17"/>
      <c r="C165" s="17"/>
      <c r="D165" s="17"/>
      <c r="E165" s="17"/>
      <c r="F165" s="17"/>
      <c r="G165" s="17"/>
    </row>
    <row r="166" spans="1:9" x14ac:dyDescent="0.25">
      <c r="A166" s="18"/>
      <c r="B166" s="26" t="s">
        <v>53</v>
      </c>
      <c r="C166" s="18"/>
      <c r="D166" s="18"/>
      <c r="E166" s="18"/>
      <c r="F166" s="18"/>
      <c r="G166" s="18"/>
    </row>
    <row r="167" spans="1:9" x14ac:dyDescent="0.25">
      <c r="A167" s="18"/>
      <c r="B167" s="27" t="s">
        <v>11</v>
      </c>
      <c r="C167" s="2"/>
      <c r="D167" s="2"/>
      <c r="E167" s="2"/>
      <c r="F167" s="2"/>
      <c r="G167" s="2"/>
    </row>
    <row r="168" spans="1:9" x14ac:dyDescent="0.25">
      <c r="A168" s="18"/>
      <c r="B168" s="4" t="s">
        <v>58</v>
      </c>
      <c r="C168" s="2">
        <v>320000</v>
      </c>
      <c r="D168" s="2">
        <f t="shared" ref="D168:D169" si="21">C168/2</f>
        <v>160000</v>
      </c>
      <c r="E168" s="2">
        <v>16993</v>
      </c>
      <c r="F168" s="2">
        <f t="shared" ref="F168:F188" si="22">C168-E168</f>
        <v>303007</v>
      </c>
      <c r="G168" s="2">
        <f t="shared" ref="G168:G188" si="23">D168-E168</f>
        <v>143007</v>
      </c>
    </row>
    <row r="169" spans="1:9" x14ac:dyDescent="0.25">
      <c r="A169" s="18"/>
      <c r="B169" s="4" t="s">
        <v>59</v>
      </c>
      <c r="C169" s="2">
        <v>1000000</v>
      </c>
      <c r="D169" s="2">
        <f t="shared" si="21"/>
        <v>500000</v>
      </c>
      <c r="E169" s="2">
        <f>122000+120000+120000+120000</f>
        <v>482000</v>
      </c>
      <c r="F169" s="2">
        <f t="shared" si="22"/>
        <v>518000</v>
      </c>
      <c r="G169" s="2">
        <f t="shared" si="23"/>
        <v>18000</v>
      </c>
      <c r="I169" s="14">
        <f>E169*12</f>
        <v>5784000</v>
      </c>
    </row>
    <row r="170" spans="1:9" x14ac:dyDescent="0.25">
      <c r="A170" s="18"/>
      <c r="B170" s="27" t="s">
        <v>12</v>
      </c>
      <c r="C170" s="2"/>
      <c r="D170" s="2"/>
      <c r="E170" s="2"/>
      <c r="F170" s="2">
        <f t="shared" si="22"/>
        <v>0</v>
      </c>
      <c r="G170" s="2">
        <f t="shared" si="23"/>
        <v>0</v>
      </c>
    </row>
    <row r="171" spans="1:9" x14ac:dyDescent="0.25">
      <c r="A171" s="18"/>
      <c r="B171" s="4" t="s">
        <v>54</v>
      </c>
      <c r="C171" s="2">
        <v>2419990.09</v>
      </c>
      <c r="D171" s="2">
        <f t="shared" ref="D171:D176" si="24">C171/2</f>
        <v>1209995.0449999999</v>
      </c>
      <c r="E171" s="2">
        <v>78500</v>
      </c>
      <c r="F171" s="2">
        <f t="shared" si="22"/>
        <v>2341490.09</v>
      </c>
      <c r="G171" s="2">
        <f t="shared" si="23"/>
        <v>1131495.0449999999</v>
      </c>
      <c r="I171" s="14">
        <f>C171/4</f>
        <v>604997.52249999996</v>
      </c>
    </row>
    <row r="172" spans="1:9" x14ac:dyDescent="0.25">
      <c r="A172" s="18"/>
      <c r="B172" s="4" t="s">
        <v>55</v>
      </c>
      <c r="C172" s="2">
        <v>15000</v>
      </c>
      <c r="D172" s="2">
        <f t="shared" si="24"/>
        <v>7500</v>
      </c>
      <c r="E172" s="2"/>
      <c r="F172" s="2">
        <f t="shared" si="22"/>
        <v>15000</v>
      </c>
      <c r="G172" s="2">
        <f t="shared" si="23"/>
        <v>7500</v>
      </c>
    </row>
    <row r="173" spans="1:9" x14ac:dyDescent="0.25">
      <c r="A173" s="18"/>
      <c r="B173" s="4" t="s">
        <v>56</v>
      </c>
      <c r="C173" s="2">
        <v>20000</v>
      </c>
      <c r="D173" s="2">
        <f t="shared" si="24"/>
        <v>10000</v>
      </c>
      <c r="E173" s="2"/>
      <c r="F173" s="2">
        <f t="shared" si="22"/>
        <v>20000</v>
      </c>
      <c r="G173" s="2">
        <f t="shared" si="23"/>
        <v>10000</v>
      </c>
    </row>
    <row r="174" spans="1:9" x14ac:dyDescent="0.25">
      <c r="A174" s="18"/>
      <c r="B174" s="4" t="s">
        <v>160</v>
      </c>
      <c r="C174" s="2">
        <v>2419990.09</v>
      </c>
      <c r="D174" s="2">
        <f t="shared" si="24"/>
        <v>1209995.0449999999</v>
      </c>
      <c r="E174" s="2">
        <f>8000+8000+8000</f>
        <v>24000</v>
      </c>
      <c r="F174" s="2">
        <f t="shared" si="22"/>
        <v>2395990.09</v>
      </c>
      <c r="G174" s="2">
        <f t="shared" si="23"/>
        <v>1185995.0449999999</v>
      </c>
    </row>
    <row r="175" spans="1:9" x14ac:dyDescent="0.25">
      <c r="A175" s="18"/>
      <c r="B175" s="4" t="s">
        <v>161</v>
      </c>
      <c r="C175" s="2">
        <v>483998.02</v>
      </c>
      <c r="D175" s="2">
        <f t="shared" si="24"/>
        <v>241999.01</v>
      </c>
      <c r="E175" s="2">
        <v>2000</v>
      </c>
      <c r="F175" s="2">
        <f>C175-E175</f>
        <v>481998.02</v>
      </c>
      <c r="G175" s="2">
        <f>D175-E175</f>
        <v>239999.01</v>
      </c>
    </row>
    <row r="176" spans="1:9" x14ac:dyDescent="0.25">
      <c r="A176" s="18"/>
      <c r="B176" s="55" t="s">
        <v>162</v>
      </c>
      <c r="C176" s="2">
        <v>412021.38</v>
      </c>
      <c r="D176" s="2">
        <f t="shared" si="24"/>
        <v>206010.69</v>
      </c>
      <c r="E176" s="2"/>
      <c r="F176" s="2">
        <f t="shared" si="22"/>
        <v>412021.38</v>
      </c>
      <c r="G176" s="2">
        <f t="shared" si="23"/>
        <v>206010.69</v>
      </c>
    </row>
    <row r="177" spans="1:7" x14ac:dyDescent="0.25">
      <c r="A177" s="18"/>
      <c r="B177" s="55" t="s">
        <v>225</v>
      </c>
      <c r="C177" s="2"/>
      <c r="D177" s="2"/>
      <c r="E177" s="2"/>
      <c r="F177" s="2"/>
      <c r="G177" s="2"/>
    </row>
    <row r="178" spans="1:7" x14ac:dyDescent="0.25">
      <c r="A178" s="18"/>
      <c r="B178" s="82" t="s">
        <v>226</v>
      </c>
      <c r="C178" s="2">
        <v>10000</v>
      </c>
      <c r="D178" s="2">
        <f t="shared" ref="D178:D182" si="25">C178/2</f>
        <v>5000</v>
      </c>
      <c r="E178" s="2"/>
      <c r="F178" s="2">
        <f t="shared" ref="F178:F179" si="26">C178-E178</f>
        <v>10000</v>
      </c>
      <c r="G178" s="2">
        <f t="shared" ref="G178:G179" si="27">D178-E178</f>
        <v>5000</v>
      </c>
    </row>
    <row r="179" spans="1:7" x14ac:dyDescent="0.25">
      <c r="A179" s="18"/>
      <c r="B179" s="55" t="s">
        <v>227</v>
      </c>
      <c r="C179" s="2">
        <v>10000</v>
      </c>
      <c r="D179" s="2">
        <f t="shared" si="25"/>
        <v>5000</v>
      </c>
      <c r="E179" s="2"/>
      <c r="F179" s="2">
        <f t="shared" si="26"/>
        <v>10000</v>
      </c>
      <c r="G179" s="2">
        <f t="shared" si="27"/>
        <v>5000</v>
      </c>
    </row>
    <row r="180" spans="1:7" x14ac:dyDescent="0.25">
      <c r="A180" s="18"/>
      <c r="B180" s="4" t="s">
        <v>228</v>
      </c>
      <c r="C180" s="2">
        <v>100000</v>
      </c>
      <c r="D180" s="2">
        <f t="shared" si="25"/>
        <v>50000</v>
      </c>
      <c r="E180" s="2"/>
      <c r="F180" s="2">
        <f t="shared" si="22"/>
        <v>100000</v>
      </c>
      <c r="G180" s="2">
        <f t="shared" si="23"/>
        <v>50000</v>
      </c>
    </row>
    <row r="181" spans="1:7" x14ac:dyDescent="0.25">
      <c r="A181" s="18"/>
      <c r="B181" s="4" t="s">
        <v>229</v>
      </c>
      <c r="C181" s="2">
        <v>300000</v>
      </c>
      <c r="D181" s="2">
        <f t="shared" si="25"/>
        <v>150000</v>
      </c>
      <c r="E181" s="2"/>
      <c r="F181" s="2">
        <f t="shared" si="22"/>
        <v>300000</v>
      </c>
      <c r="G181" s="2">
        <f t="shared" si="23"/>
        <v>150000</v>
      </c>
    </row>
    <row r="182" spans="1:7" x14ac:dyDescent="0.25">
      <c r="A182" s="18"/>
      <c r="B182" s="4" t="s">
        <v>105</v>
      </c>
      <c r="C182" s="2">
        <v>150000</v>
      </c>
      <c r="D182" s="2">
        <f t="shared" si="25"/>
        <v>75000</v>
      </c>
      <c r="E182" s="2"/>
      <c r="F182" s="2">
        <f t="shared" si="22"/>
        <v>150000</v>
      </c>
      <c r="G182" s="2">
        <f t="shared" si="23"/>
        <v>75000</v>
      </c>
    </row>
    <row r="183" spans="1:7" x14ac:dyDescent="0.25">
      <c r="A183" s="18"/>
      <c r="B183" s="27" t="s">
        <v>13</v>
      </c>
      <c r="C183" s="2"/>
      <c r="D183" s="2"/>
      <c r="E183" s="2"/>
      <c r="F183" s="2">
        <f t="shared" si="22"/>
        <v>0</v>
      </c>
      <c r="G183" s="2">
        <f t="shared" si="23"/>
        <v>0</v>
      </c>
    </row>
    <row r="184" spans="1:7" x14ac:dyDescent="0.25">
      <c r="A184" s="18"/>
      <c r="B184" s="4" t="s">
        <v>62</v>
      </c>
      <c r="C184" s="2"/>
      <c r="D184" s="2"/>
      <c r="E184" s="2"/>
      <c r="F184" s="2">
        <f t="shared" si="22"/>
        <v>0</v>
      </c>
      <c r="G184" s="2">
        <f t="shared" si="23"/>
        <v>0</v>
      </c>
    </row>
    <row r="185" spans="1:7" x14ac:dyDescent="0.25">
      <c r="A185" s="18"/>
      <c r="B185" s="83" t="s">
        <v>230</v>
      </c>
      <c r="C185" s="2">
        <v>500000</v>
      </c>
      <c r="D185" s="2">
        <f t="shared" ref="D185" si="28">C185/2</f>
        <v>250000</v>
      </c>
      <c r="E185" s="2"/>
      <c r="F185" s="2">
        <f>C185-E185</f>
        <v>500000</v>
      </c>
      <c r="G185" s="2">
        <f>D185-E185</f>
        <v>250000</v>
      </c>
    </row>
    <row r="186" spans="1:7" x14ac:dyDescent="0.25">
      <c r="A186" s="18"/>
      <c r="B186" s="4" t="s">
        <v>231</v>
      </c>
      <c r="C186" s="2"/>
      <c r="D186" s="2"/>
      <c r="E186" s="2"/>
      <c r="F186" s="2"/>
      <c r="G186" s="2"/>
    </row>
    <row r="187" spans="1:7" x14ac:dyDescent="0.25">
      <c r="A187" s="18"/>
      <c r="B187" s="83" t="s">
        <v>232</v>
      </c>
      <c r="C187" s="2">
        <v>2000000</v>
      </c>
      <c r="D187" s="2">
        <f t="shared" ref="D187:D188" si="29">C187/2</f>
        <v>1000000</v>
      </c>
      <c r="E187" s="2"/>
      <c r="F187" s="2">
        <f t="shared" si="22"/>
        <v>2000000</v>
      </c>
      <c r="G187" s="2">
        <f t="shared" si="23"/>
        <v>1000000</v>
      </c>
    </row>
    <row r="188" spans="1:7" x14ac:dyDescent="0.25">
      <c r="A188" s="18"/>
      <c r="B188" s="4" t="s">
        <v>233</v>
      </c>
      <c r="C188" s="2">
        <v>120000</v>
      </c>
      <c r="D188" s="2">
        <f t="shared" si="29"/>
        <v>60000</v>
      </c>
      <c r="E188" s="2"/>
      <c r="F188" s="2">
        <f t="shared" si="22"/>
        <v>120000</v>
      </c>
      <c r="G188" s="2">
        <f t="shared" si="23"/>
        <v>60000</v>
      </c>
    </row>
    <row r="189" spans="1:7" x14ac:dyDescent="0.25">
      <c r="A189" s="18"/>
      <c r="B189" s="4"/>
      <c r="C189" s="2"/>
      <c r="D189" s="2"/>
      <c r="E189" s="2"/>
      <c r="F189" s="2"/>
      <c r="G189" s="2"/>
    </row>
    <row r="190" spans="1:7" x14ac:dyDescent="0.25">
      <c r="A190" s="18"/>
      <c r="B190" s="39" t="s">
        <v>27</v>
      </c>
      <c r="C190" s="8">
        <f>SUM(C168:C189)</f>
        <v>10280999.579999998</v>
      </c>
      <c r="D190" s="8">
        <f>SUM(D168:D189)</f>
        <v>5140499.7899999991</v>
      </c>
      <c r="E190" s="8">
        <f>SUM(E168:E189)</f>
        <v>603493</v>
      </c>
      <c r="F190" s="8">
        <f>SUM(F168:F189)</f>
        <v>9677506.5799999982</v>
      </c>
      <c r="G190" s="8">
        <f>SUM(G168:G189)</f>
        <v>4537006.7899999991</v>
      </c>
    </row>
    <row r="191" spans="1:7" ht="15.75" thickBot="1" x14ac:dyDescent="0.3">
      <c r="A191" s="40"/>
      <c r="B191" s="41" t="s">
        <v>64</v>
      </c>
      <c r="C191" s="20">
        <f>C190+C153+C115+C108+C101+C94+C87+C80+C73+C57+C50+C43+C36+C29+C22+C15</f>
        <v>48399801.709999993</v>
      </c>
      <c r="D191" s="20">
        <f>D190+D153+D115+D108+D101+D94+D87+D80+D73+D57+D50+D43+D36+D29+D22+D15</f>
        <v>24199900.854999997</v>
      </c>
      <c r="E191" s="20">
        <f>E190+E153+E115+E108+E101+E94+E87+E80+E73+E57+E50+E43+E36+E29+E22+E15</f>
        <v>9730765.7699999977</v>
      </c>
      <c r="F191" s="20">
        <f>F190+F153+F115+F108+F101+F94+F87+F80+F73+F57+F50+F43+F36+F29+F22+F15</f>
        <v>38669035.93999999</v>
      </c>
      <c r="G191" s="20">
        <f>G190+G153+G115+G108+G101+G94+G87+G80+G73+G57+G50+G43+G36+G29+G22+G15</f>
        <v>14469135.084999997</v>
      </c>
    </row>
    <row r="192" spans="1:7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2"/>
      <c r="F193" s="12"/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C195" s="12"/>
      <c r="D195" s="12"/>
      <c r="E195" s="12"/>
      <c r="F195" s="12"/>
      <c r="G195" s="12"/>
    </row>
    <row r="196" spans="2:12" x14ac:dyDescent="0.25">
      <c r="B196" s="42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114"/>
      <c r="E197" s="114"/>
      <c r="F197" s="12"/>
      <c r="G197" s="12"/>
    </row>
    <row r="198" spans="2:12" x14ac:dyDescent="0.25">
      <c r="C198" s="12" t="s">
        <v>148</v>
      </c>
      <c r="D198" s="12"/>
      <c r="E198" s="12"/>
      <c r="F198" s="12"/>
      <c r="G198" s="12"/>
      <c r="H198" s="54"/>
      <c r="I198" s="12">
        <v>2159415</v>
      </c>
      <c r="L198" s="13">
        <f>20*20</f>
        <v>400</v>
      </c>
    </row>
    <row r="199" spans="2:12" x14ac:dyDescent="0.25">
      <c r="C199" s="12" t="s">
        <v>150</v>
      </c>
      <c r="D199" s="12"/>
      <c r="E199" s="12"/>
      <c r="F199" s="12"/>
      <c r="G199" s="12"/>
      <c r="H199" s="54"/>
      <c r="I199" s="12">
        <v>539854</v>
      </c>
      <c r="L199" s="13">
        <f>15*20</f>
        <v>300</v>
      </c>
    </row>
    <row r="200" spans="2:12" x14ac:dyDescent="0.25">
      <c r="C200" s="12" t="s">
        <v>151</v>
      </c>
      <c r="D200" s="12"/>
      <c r="E200" s="12"/>
      <c r="F200" s="12"/>
      <c r="G200" s="12"/>
      <c r="I200" s="12"/>
    </row>
    <row r="201" spans="2:12" x14ac:dyDescent="0.25">
      <c r="C201" s="53">
        <v>0.2</v>
      </c>
      <c r="D201" s="12"/>
      <c r="E201" s="12"/>
      <c r="F201" s="12"/>
      <c r="G201" s="12"/>
      <c r="I201" s="12"/>
      <c r="L201" s="13">
        <f>SUM(L198:L200)</f>
        <v>700</v>
      </c>
    </row>
    <row r="202" spans="2:12" x14ac:dyDescent="0.25">
      <c r="C202" s="53">
        <v>0.05</v>
      </c>
      <c r="D202" s="12"/>
      <c r="E202" s="12"/>
      <c r="F202" s="12"/>
      <c r="G202" s="12"/>
      <c r="I202" s="12">
        <f>SUM(I198:I201)</f>
        <v>2699269</v>
      </c>
    </row>
    <row r="203" spans="2:12" x14ac:dyDescent="0.25">
      <c r="C203" s="12" t="s">
        <v>112</v>
      </c>
      <c r="D203" s="12"/>
      <c r="E203" s="12"/>
      <c r="F203" s="12"/>
      <c r="G203" s="12"/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E205" s="12"/>
      <c r="F205" s="12"/>
      <c r="G205" s="12"/>
      <c r="I205" s="12"/>
    </row>
    <row r="206" spans="2:12" x14ac:dyDescent="0.25">
      <c r="C206" s="12" t="s">
        <v>135</v>
      </c>
      <c r="D206" s="12"/>
      <c r="E206" s="12"/>
      <c r="F206" s="12"/>
      <c r="G206" s="12"/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E208" s="12"/>
      <c r="F208" s="12"/>
      <c r="G208" s="12"/>
      <c r="I208" s="12"/>
    </row>
    <row r="209" spans="3:7" x14ac:dyDescent="0.25">
      <c r="C209" s="12"/>
      <c r="D209" s="12"/>
      <c r="E209" s="12"/>
      <c r="F209" s="12"/>
      <c r="G209" s="12"/>
    </row>
    <row r="210" spans="3:7" x14ac:dyDescent="0.25">
      <c r="C210" s="12"/>
      <c r="D210" s="12"/>
      <c r="E210" s="12"/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/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D197:E197"/>
    <mergeCell ref="A65:A66"/>
    <mergeCell ref="B65:B66"/>
    <mergeCell ref="C65:C66"/>
    <mergeCell ref="D65:D66"/>
    <mergeCell ref="E65:E66"/>
    <mergeCell ref="A125:A126"/>
    <mergeCell ref="B125:B126"/>
    <mergeCell ref="C125:C126"/>
    <mergeCell ref="D125:D126"/>
    <mergeCell ref="E125:E126"/>
    <mergeCell ref="A163:A164"/>
    <mergeCell ref="B163:B164"/>
    <mergeCell ref="C163:C164"/>
    <mergeCell ref="D163:D164"/>
    <mergeCell ref="E163:E164"/>
    <mergeCell ref="A6:A7"/>
    <mergeCell ref="B6:B7"/>
    <mergeCell ref="C6:C7"/>
    <mergeCell ref="D6:D7"/>
    <mergeCell ref="E6:E7"/>
  </mergeCells>
  <pageMargins left="0.18" right="0.12" top="0.45" bottom="0.12" header="0.3" footer="0.3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A161" zoomScale="140" zoomScaleNormal="140" workbookViewId="0">
      <selection activeCell="C177" sqref="C177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5" style="13" customWidth="1"/>
    <col min="6" max="6" width="16.28515625" style="13" customWidth="1"/>
    <col min="7" max="7" width="15.71093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237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/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f>C11/2</f>
        <v>869193.52</v>
      </c>
      <c r="E11" s="2">
        <f>137223.36+167223.36+137223.36+157223.36+189811.36</f>
        <v>788704.79999999993</v>
      </c>
      <c r="F11" s="2">
        <f>C11-E11</f>
        <v>949682.24000000011</v>
      </c>
      <c r="G11" s="2">
        <f>D11-E11</f>
        <v>80488.720000000088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f t="shared" ref="D12:D13" si="0">C12/2</f>
        <v>607561.63500000001</v>
      </c>
      <c r="E12" s="2">
        <f>68133.9+66346.33+10000+43240.91+52836.91</f>
        <v>240558.05</v>
      </c>
      <c r="F12" s="2">
        <f t="shared" ref="F12:F13" si="1">C12-E12</f>
        <v>974565.22</v>
      </c>
      <c r="G12" s="2">
        <f t="shared" ref="G12:G13" si="2">D12-E12</f>
        <v>367003.58500000002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f t="shared" si="0"/>
        <v>75000</v>
      </c>
      <c r="E13" s="2"/>
      <c r="F13" s="2">
        <f t="shared" si="1"/>
        <v>150000</v>
      </c>
      <c r="G13" s="2">
        <f t="shared" si="2"/>
        <v>75000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1551755.155</v>
      </c>
      <c r="E15" s="8">
        <f>SUM(E11:E14)</f>
        <v>1029262.8499999999</v>
      </c>
      <c r="F15" s="8">
        <f>SUM(F11:F14)</f>
        <v>2074247.46</v>
      </c>
      <c r="G15" s="8">
        <f>SUM(G11:G14)</f>
        <v>522492.30500000011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f t="shared" ref="D18:D20" si="3">C18/2</f>
        <v>4292546.58</v>
      </c>
      <c r="E18" s="2">
        <f>603278.41+936306.35+603278.41+623357.41+843407.41</f>
        <v>3609627.99</v>
      </c>
      <c r="F18" s="2">
        <f>C18-E18</f>
        <v>4975465.17</v>
      </c>
      <c r="G18" s="2">
        <f>D18-E18</f>
        <v>682918.58999999985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f t="shared" si="3"/>
        <v>590468.18000000005</v>
      </c>
      <c r="E19" s="2">
        <f>119020+28460+11000+12060</f>
        <v>170540</v>
      </c>
      <c r="F19" s="2">
        <f>C19-E19</f>
        <v>1010396.3600000001</v>
      </c>
      <c r="G19" s="2">
        <f>D19-E19</f>
        <v>419928.18000000005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f t="shared" si="3"/>
        <v>60000</v>
      </c>
      <c r="E20" s="2"/>
      <c r="F20" s="2">
        <f>C20-E20</f>
        <v>120000</v>
      </c>
      <c r="G20" s="2">
        <f>D20-E20</f>
        <v>60000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4943014.76</v>
      </c>
      <c r="E22" s="8">
        <f>SUM(E18:E21)</f>
        <v>3780167.99</v>
      </c>
      <c r="F22" s="8">
        <f>SUM(F18:F21)</f>
        <v>6105861.5300000003</v>
      </c>
      <c r="G22" s="8">
        <f>SUM(G18:G21)</f>
        <v>1162846.77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f t="shared" ref="D25:D27" si="4">C25/2</f>
        <v>540034.16</v>
      </c>
      <c r="E25" s="2">
        <f>81375.15+96375.15+81375.15+96524.11+117488.61</f>
        <v>473138.17</v>
      </c>
      <c r="F25" s="2">
        <f>C25-E25</f>
        <v>606930.15000000014</v>
      </c>
      <c r="G25" s="2">
        <f>D25-E25</f>
        <v>66895.990000000049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f t="shared" si="4"/>
        <v>75642.725000000006</v>
      </c>
      <c r="E26" s="2"/>
      <c r="F26" s="2">
        <f>C26-E26</f>
        <v>151285.45000000001</v>
      </c>
      <c r="G26" s="2">
        <f>D26-E26</f>
        <v>75642.725000000006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f t="shared" si="4"/>
        <v>15000</v>
      </c>
      <c r="E27" s="2"/>
      <c r="F27" s="2">
        <f>C27-E27</f>
        <v>30000</v>
      </c>
      <c r="G27" s="2">
        <f>D27-E27</f>
        <v>15000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630676.88500000001</v>
      </c>
      <c r="E29" s="8">
        <f>SUM(E25:E28)</f>
        <v>473138.17</v>
      </c>
      <c r="F29" s="8">
        <f>SUM(F25:F28)</f>
        <v>788215.60000000009</v>
      </c>
      <c r="G29" s="8">
        <f>SUM(G25:G28)</f>
        <v>157538.71500000005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f t="shared" ref="D32:D34" si="5">C32/2</f>
        <v>416805.98</v>
      </c>
      <c r="E32" s="2">
        <f>63327.47+73327.47+63327.47+73327.47+89719.47</f>
        <v>363029.35</v>
      </c>
      <c r="F32" s="2">
        <f>C32-E32</f>
        <v>470582.61</v>
      </c>
      <c r="G32" s="2">
        <f>D32-E32</f>
        <v>53776.630000000005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f t="shared" si="5"/>
        <v>59483.1</v>
      </c>
      <c r="E33" s="2">
        <f>2000+2930+6487</f>
        <v>11417</v>
      </c>
      <c r="F33" s="2">
        <f>C33-E33</f>
        <v>107549.2</v>
      </c>
      <c r="G33" s="2">
        <f>D33-E33</f>
        <v>48066.1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f t="shared" si="5"/>
        <v>12500</v>
      </c>
      <c r="E34" s="2"/>
      <c r="F34" s="2">
        <f>C34-E34</f>
        <v>25000</v>
      </c>
      <c r="G34" s="2">
        <f>D34-E34</f>
        <v>12500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488789.07999999996</v>
      </c>
      <c r="E36" s="8">
        <f>SUM(E32:E35)</f>
        <v>374446.35</v>
      </c>
      <c r="F36" s="8">
        <f>SUM(F32:F35)</f>
        <v>603131.80999999994</v>
      </c>
      <c r="G36" s="8">
        <f>SUM(G32:G35)</f>
        <v>114342.73000000001</v>
      </c>
      <c r="L36" s="12"/>
    </row>
    <row r="37" spans="1:13" x14ac:dyDescent="0.25">
      <c r="A37" s="25"/>
      <c r="B37" s="18"/>
      <c r="C37" s="2"/>
      <c r="D37" s="2"/>
      <c r="E37" s="2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f t="shared" ref="D39:D41" si="6">C39/2</f>
        <v>343320.9</v>
      </c>
      <c r="E39" s="2">
        <f>53003.9+58003.9+53003.9+58003.9+73301.4</f>
        <v>295317</v>
      </c>
      <c r="F39" s="2">
        <f>C39-E39</f>
        <v>391324.80000000005</v>
      </c>
      <c r="G39" s="2">
        <f>D39-E39</f>
        <v>48003.900000000023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f t="shared" si="6"/>
        <v>57471.925000000003</v>
      </c>
      <c r="E40" s="2">
        <f>2000+5200</f>
        <v>7200</v>
      </c>
      <c r="F40" s="2">
        <f>C40-E40</f>
        <v>107743.85</v>
      </c>
      <c r="G40" s="2">
        <f>D40-E40</f>
        <v>50271.925000000003</v>
      </c>
    </row>
    <row r="41" spans="1:13" x14ac:dyDescent="0.25">
      <c r="A41" s="25"/>
      <c r="B41" s="27" t="s">
        <v>13</v>
      </c>
      <c r="C41" s="2">
        <v>35000</v>
      </c>
      <c r="D41" s="2">
        <f t="shared" si="6"/>
        <v>17500</v>
      </c>
      <c r="E41" s="2"/>
      <c r="F41" s="2">
        <f>C41-E41</f>
        <v>35000</v>
      </c>
      <c r="G41" s="2">
        <f>D41-E41</f>
        <v>17500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418292.82500000001</v>
      </c>
      <c r="E43" s="8">
        <f>SUM(E39:E42)</f>
        <v>302517</v>
      </c>
      <c r="F43" s="8">
        <f>SUM(F39:F42)</f>
        <v>534068.65</v>
      </c>
      <c r="G43" s="8">
        <f>SUM(G39:G42)</f>
        <v>115775.82500000003</v>
      </c>
    </row>
    <row r="44" spans="1:13" x14ac:dyDescent="0.25">
      <c r="A44" s="25"/>
      <c r="B44" s="18"/>
      <c r="C44" s="2"/>
      <c r="D44" s="2"/>
      <c r="E44" s="2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f t="shared" ref="D46:D48" si="7">C46/2</f>
        <v>585266.02</v>
      </c>
      <c r="E46" s="2">
        <f>46303.17+61303.17+46303.17+61303.17+66713.67</f>
        <v>281926.34999999998</v>
      </c>
      <c r="F46" s="2">
        <f>C46-E46</f>
        <v>888605.69000000006</v>
      </c>
      <c r="G46" s="2">
        <f>D46-E46</f>
        <v>303339.67000000004</v>
      </c>
    </row>
    <row r="47" spans="1:13" x14ac:dyDescent="0.25">
      <c r="A47" s="25"/>
      <c r="B47" s="27" t="s">
        <v>12</v>
      </c>
      <c r="C47" s="2">
        <v>225508</v>
      </c>
      <c r="D47" s="2">
        <f t="shared" si="7"/>
        <v>112754</v>
      </c>
      <c r="E47" s="2">
        <f>9700+1000+1000+1000</f>
        <v>12700</v>
      </c>
      <c r="F47" s="2">
        <f>C47-E47</f>
        <v>212808</v>
      </c>
      <c r="G47" s="2">
        <f>D47-E47</f>
        <v>100054</v>
      </c>
    </row>
    <row r="48" spans="1:13" x14ac:dyDescent="0.25">
      <c r="A48" s="25"/>
      <c r="B48" s="27" t="s">
        <v>13</v>
      </c>
      <c r="C48" s="2">
        <v>25000</v>
      </c>
      <c r="D48" s="2">
        <f t="shared" si="7"/>
        <v>12500</v>
      </c>
      <c r="E48" s="2"/>
      <c r="F48" s="2">
        <f>C48-E48</f>
        <v>25000</v>
      </c>
      <c r="G48" s="2">
        <f>D48-E48</f>
        <v>12500</v>
      </c>
      <c r="H48" s="12"/>
    </row>
    <row r="49" spans="1:8" x14ac:dyDescent="0.25">
      <c r="A49" s="25"/>
      <c r="B49" s="27" t="s">
        <v>14</v>
      </c>
      <c r="C49" s="2"/>
      <c r="D49" s="2"/>
      <c r="E49" s="2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710520.02</v>
      </c>
      <c r="E50" s="8">
        <f>SUM(E46:E49)</f>
        <v>294626.34999999998</v>
      </c>
      <c r="F50" s="8">
        <f>SUM(F46:F49)</f>
        <v>1126413.69</v>
      </c>
      <c r="G50" s="8">
        <f>SUM(G46:G49)</f>
        <v>415893.67000000004</v>
      </c>
      <c r="H50" s="12"/>
    </row>
    <row r="51" spans="1:8" x14ac:dyDescent="0.25">
      <c r="A51" s="25"/>
      <c r="B51" s="18"/>
      <c r="C51" s="2"/>
      <c r="D51" s="2"/>
      <c r="E51" s="2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2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f t="shared" ref="D53:D55" si="8">C53/2</f>
        <v>863281.48</v>
      </c>
      <c r="E53" s="2">
        <f>127589.33+162589.33+127589.33+162589.33+190014.83</f>
        <v>770372.14999999991</v>
      </c>
      <c r="F53" s="2">
        <f>C53-E53</f>
        <v>956190.81</v>
      </c>
      <c r="G53" s="2">
        <f>D53-E53</f>
        <v>92909.330000000075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f t="shared" si="8"/>
        <v>190436.02499999999</v>
      </c>
      <c r="E54" s="2">
        <f>7700+17777+1200+20827.9+18450</f>
        <v>65954.899999999994</v>
      </c>
      <c r="F54" s="2">
        <f>C54-E54</f>
        <v>314917.15000000002</v>
      </c>
      <c r="G54" s="2">
        <f>D54-E54</f>
        <v>124481.125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f t="shared" si="8"/>
        <v>30000</v>
      </c>
      <c r="E55" s="2"/>
      <c r="F55" s="2">
        <f>C55-E55</f>
        <v>60000</v>
      </c>
      <c r="G55" s="2">
        <f>D55-E55</f>
        <v>30000</v>
      </c>
      <c r="H55" s="12"/>
    </row>
    <row r="56" spans="1:8" x14ac:dyDescent="0.25">
      <c r="A56" s="25"/>
      <c r="B56" s="27" t="s">
        <v>14</v>
      </c>
      <c r="C56" s="2"/>
      <c r="D56" s="2"/>
      <c r="E56" s="2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1083717.5049999999</v>
      </c>
      <c r="E57" s="8">
        <f>SUM(E53:E56)</f>
        <v>836327.04999999993</v>
      </c>
      <c r="F57" s="8">
        <f>SUM(F53:F56)</f>
        <v>1331107.96</v>
      </c>
      <c r="G57" s="8">
        <f>SUM(G53:G56)</f>
        <v>247390.45500000007</v>
      </c>
      <c r="H57" s="12"/>
    </row>
    <row r="58" spans="1:8" ht="15.75" thickBot="1" x14ac:dyDescent="0.3">
      <c r="A58" s="30"/>
      <c r="B58" s="31"/>
      <c r="C58" s="9"/>
      <c r="D58" s="9"/>
      <c r="E58" s="9"/>
      <c r="F58" s="9"/>
      <c r="G58" s="32"/>
      <c r="H58" s="12"/>
    </row>
    <row r="59" spans="1:8" x14ac:dyDescent="0.25">
      <c r="A59" s="33"/>
      <c r="B59" s="34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10"/>
      <c r="F62" s="10"/>
      <c r="G62" s="10"/>
      <c r="H62" s="12"/>
    </row>
    <row r="63" spans="1:8" x14ac:dyDescent="0.25">
      <c r="A63" s="22" t="s">
        <v>237</v>
      </c>
      <c r="B63" s="34"/>
      <c r="C63" s="10"/>
      <c r="D63" s="10"/>
      <c r="E63" s="10"/>
      <c r="F63" s="10"/>
      <c r="G63" s="10"/>
      <c r="H63" s="12"/>
    </row>
    <row r="64" spans="1:8" x14ac:dyDescent="0.25">
      <c r="A64" s="33"/>
      <c r="B64" s="34"/>
      <c r="C64" s="10"/>
      <c r="D64" s="10"/>
      <c r="E64" s="10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5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6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9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2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f t="shared" ref="D69:D71" si="9">C69/2</f>
        <v>429192.96000000002</v>
      </c>
      <c r="E69" s="2">
        <f>65251.06+75251.06+65251.06+75251.06+92503.06</f>
        <v>373507.3</v>
      </c>
      <c r="F69" s="2">
        <f>C69-E69</f>
        <v>484878.62000000005</v>
      </c>
      <c r="G69" s="2">
        <f>D69-E69</f>
        <v>55685.660000000033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f t="shared" si="9"/>
        <v>61716.474999999999</v>
      </c>
      <c r="E70" s="2">
        <f>2000+5300+2000</f>
        <v>9300</v>
      </c>
      <c r="F70" s="2">
        <f>C70-E70</f>
        <v>114132.95</v>
      </c>
      <c r="G70" s="2">
        <f>D70-E70</f>
        <v>52416.474999999999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f t="shared" si="9"/>
        <v>15000</v>
      </c>
      <c r="E71" s="2"/>
      <c r="F71" s="2">
        <f>C71-E71</f>
        <v>30000</v>
      </c>
      <c r="G71" s="2">
        <f>D71-E71</f>
        <v>15000</v>
      </c>
      <c r="H71" s="12"/>
    </row>
    <row r="72" spans="1:8" x14ac:dyDescent="0.25">
      <c r="A72" s="25"/>
      <c r="B72" s="27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505909.435</v>
      </c>
      <c r="E73" s="8">
        <f>SUM(E69:E72)</f>
        <v>382807.3</v>
      </c>
      <c r="F73" s="8">
        <f>SUM(F69:F72)</f>
        <v>629011.57000000007</v>
      </c>
      <c r="G73" s="8">
        <f>SUM(G69:G72)</f>
        <v>123102.13500000004</v>
      </c>
      <c r="H73" s="12"/>
    </row>
    <row r="74" spans="1:8" x14ac:dyDescent="0.25">
      <c r="A74" s="25"/>
      <c r="B74" s="18"/>
      <c r="C74" s="2"/>
      <c r="D74" s="2"/>
      <c r="E74" s="2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2"/>
      <c r="E75" s="2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f t="shared" ref="D76:D77" si="10">C76/2</f>
        <v>599791.48</v>
      </c>
      <c r="E76" s="2">
        <f>43617.35+89117.35+43617.35+67471.91+52508.45</f>
        <v>296332.41000000003</v>
      </c>
      <c r="F76" s="2">
        <f>C76-E76</f>
        <v>903250.54999999993</v>
      </c>
      <c r="G76" s="2">
        <f>D76-E76</f>
        <v>303459.06999999995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f t="shared" si="10"/>
        <v>412004.39500000002</v>
      </c>
      <c r="E77" s="2">
        <f>65119.58+36394.25+745.65+23126.19</f>
        <v>125385.67</v>
      </c>
      <c r="F77" s="2">
        <f>C77-E77</f>
        <v>698623.12</v>
      </c>
      <c r="G77" s="2">
        <f>D77-E77</f>
        <v>286618.72500000003</v>
      </c>
      <c r="H77" s="12"/>
    </row>
    <row r="78" spans="1:8" x14ac:dyDescent="0.25">
      <c r="A78" s="25"/>
      <c r="B78" s="27" t="s">
        <v>13</v>
      </c>
      <c r="C78" s="2"/>
      <c r="D78" s="2"/>
      <c r="E78" s="2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2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1011795.875</v>
      </c>
      <c r="E80" s="8">
        <f>SUM(E76:E79)</f>
        <v>421718.08</v>
      </c>
      <c r="F80" s="8">
        <f>SUM(F76:F79)</f>
        <v>1601873.67</v>
      </c>
      <c r="G80" s="8">
        <f>SUM(G76:G79)</f>
        <v>590077.79499999993</v>
      </c>
      <c r="H80" s="12"/>
    </row>
    <row r="81" spans="1:8" x14ac:dyDescent="0.25">
      <c r="A81" s="25"/>
      <c r="B81" s="18"/>
      <c r="C81" s="2"/>
      <c r="D81" s="2"/>
      <c r="E81" s="2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2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f t="shared" ref="D83:D84" si="11">C83/2</f>
        <v>1584934.6</v>
      </c>
      <c r="E83" s="2">
        <f>238901.81+278901.81+238901.81+278901.81+344605.81</f>
        <v>1380213.05</v>
      </c>
      <c r="F83" s="2">
        <f>C83-E83</f>
        <v>1789656.1500000001</v>
      </c>
      <c r="G83" s="2">
        <f>D83-E83</f>
        <v>204721.55000000005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f t="shared" si="11"/>
        <v>96194</v>
      </c>
      <c r="E84" s="2">
        <f>23860+10876.16</f>
        <v>34736.160000000003</v>
      </c>
      <c r="F84" s="2">
        <f>C84-E84</f>
        <v>157651.84</v>
      </c>
      <c r="G84" s="2">
        <f>D84-E84</f>
        <v>61457.84</v>
      </c>
      <c r="H84" s="12"/>
    </row>
    <row r="85" spans="1:8" x14ac:dyDescent="0.25">
      <c r="A85" s="25"/>
      <c r="B85" s="27" t="s">
        <v>13</v>
      </c>
      <c r="C85" s="2"/>
      <c r="D85" s="2"/>
      <c r="E85" s="2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2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1681128.6</v>
      </c>
      <c r="E87" s="8">
        <f>SUM(E83:E86)</f>
        <v>1414949.21</v>
      </c>
      <c r="F87" s="8">
        <f>SUM(F83:F86)</f>
        <v>1947307.9900000002</v>
      </c>
      <c r="G87" s="8">
        <f>SUM(G83:G86)</f>
        <v>266179.39</v>
      </c>
      <c r="H87" s="12"/>
    </row>
    <row r="88" spans="1:8" x14ac:dyDescent="0.25">
      <c r="A88" s="25"/>
      <c r="B88" s="18"/>
      <c r="C88" s="2"/>
      <c r="D88" s="2"/>
      <c r="E88" s="2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2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f t="shared" ref="D90:D92" si="12">C90/2</f>
        <v>612446.84</v>
      </c>
      <c r="E90" s="2">
        <f>82617.57+102617.57+82617.57+102617.57+124557.57</f>
        <v>495027.85000000003</v>
      </c>
      <c r="F90" s="2">
        <f>C90-E90</f>
        <v>729865.82999999984</v>
      </c>
      <c r="G90" s="2">
        <f>D90-E90</f>
        <v>117418.98999999993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f t="shared" si="12"/>
        <v>104484</v>
      </c>
      <c r="E91" s="2">
        <f>6000+5454</f>
        <v>11454</v>
      </c>
      <c r="F91" s="2">
        <f>C91-E91</f>
        <v>197514</v>
      </c>
      <c r="G91" s="2">
        <f>D91-E91</f>
        <v>93030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f t="shared" si="12"/>
        <v>15000</v>
      </c>
      <c r="E92" s="2"/>
      <c r="F92" s="2">
        <f>C92-E92</f>
        <v>30000</v>
      </c>
      <c r="G92" s="2">
        <f>D92-E92</f>
        <v>15000</v>
      </c>
      <c r="H92" s="12"/>
    </row>
    <row r="93" spans="1:8" x14ac:dyDescent="0.25">
      <c r="A93" s="25"/>
      <c r="B93" s="27" t="s">
        <v>14</v>
      </c>
      <c r="C93" s="2"/>
      <c r="D93" s="2"/>
      <c r="E93" s="2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731930.84</v>
      </c>
      <c r="E94" s="8">
        <f>SUM(E90:E93)</f>
        <v>506481.85000000003</v>
      </c>
      <c r="F94" s="8">
        <f>SUM(F90:F93)</f>
        <v>957379.82999999984</v>
      </c>
      <c r="G94" s="8">
        <f>SUM(G90:G93)</f>
        <v>225448.98999999993</v>
      </c>
      <c r="H94" s="12"/>
    </row>
    <row r="95" spans="1:8" x14ac:dyDescent="0.25">
      <c r="A95" s="25"/>
      <c r="B95" s="18"/>
      <c r="C95" s="2"/>
      <c r="D95" s="2"/>
      <c r="E95" s="2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2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f t="shared" ref="D97:D98" si="13">C97/2</f>
        <v>463834.52</v>
      </c>
      <c r="E97" s="2">
        <f>63960.58+78960.58+123960.58+64700.76+121993.43</f>
        <v>453575.93</v>
      </c>
      <c r="F97" s="2">
        <f>C97-E97</f>
        <v>474093.11000000004</v>
      </c>
      <c r="G97" s="2">
        <f>D97-E97</f>
        <v>10258.590000000026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f t="shared" si="13"/>
        <v>51760</v>
      </c>
      <c r="E98" s="2">
        <v>3000</v>
      </c>
      <c r="F98" s="2">
        <f>C98-E98</f>
        <v>100520</v>
      </c>
      <c r="G98" s="2">
        <f>D98-E98</f>
        <v>48760</v>
      </c>
      <c r="H98" s="12"/>
    </row>
    <row r="99" spans="1:8" x14ac:dyDescent="0.25">
      <c r="A99" s="25"/>
      <c r="B99" s="27" t="s">
        <v>13</v>
      </c>
      <c r="C99" s="2"/>
      <c r="D99" s="2"/>
      <c r="E99" s="2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515594.52</v>
      </c>
      <c r="E101" s="8">
        <f>SUM(E97:E100)</f>
        <v>456575.93</v>
      </c>
      <c r="F101" s="8">
        <f>SUM(F97:F100)</f>
        <v>574613.1100000001</v>
      </c>
      <c r="G101" s="8">
        <f>SUM(G97:G100)</f>
        <v>59018.590000000026</v>
      </c>
      <c r="H101" s="12"/>
    </row>
    <row r="102" spans="1:8" x14ac:dyDescent="0.25">
      <c r="A102" s="25"/>
      <c r="B102" s="18"/>
      <c r="C102" s="2"/>
      <c r="D102" s="2"/>
      <c r="E102" s="2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f t="shared" ref="D104:D105" si="14">C104/2</f>
        <v>567360.24</v>
      </c>
      <c r="E104" s="2">
        <f>84930+99930+85263.57+99930+123055</f>
        <v>493108.57</v>
      </c>
      <c r="F104" s="2">
        <f>C104-E104</f>
        <v>641611.90999999992</v>
      </c>
      <c r="G104" s="2">
        <f>D104-E104</f>
        <v>74251.669999999984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f t="shared" si="14"/>
        <v>33701.525000000001</v>
      </c>
      <c r="E105" s="2">
        <v>515</v>
      </c>
      <c r="F105" s="2">
        <f>C105-E105</f>
        <v>66888.05</v>
      </c>
      <c r="G105" s="2">
        <f>D105-E105</f>
        <v>33186.525000000001</v>
      </c>
      <c r="H105" s="12"/>
    </row>
    <row r="106" spans="1:8" x14ac:dyDescent="0.25">
      <c r="A106" s="25"/>
      <c r="B106" s="27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601061.76500000001</v>
      </c>
      <c r="E108" s="8">
        <f>SUM(E104:E107)</f>
        <v>493623.57</v>
      </c>
      <c r="F108" s="8">
        <f>SUM(F104:F107)</f>
        <v>708499.96</v>
      </c>
      <c r="G108" s="8">
        <f>SUM(G104:G107)</f>
        <v>107438.19499999998</v>
      </c>
      <c r="H108" s="12"/>
    </row>
    <row r="109" spans="1:8" x14ac:dyDescent="0.25">
      <c r="A109" s="25"/>
      <c r="B109" s="18"/>
      <c r="C109" s="2"/>
      <c r="D109" s="2"/>
      <c r="E109" s="2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f>C112/2</f>
        <v>65000</v>
      </c>
      <c r="E112" s="2"/>
      <c r="F112" s="2">
        <f>C112-E112</f>
        <v>130000</v>
      </c>
      <c r="G112" s="2">
        <f>D112-E112</f>
        <v>65000</v>
      </c>
      <c r="H112" s="12"/>
    </row>
    <row r="113" spans="1:8" x14ac:dyDescent="0.25">
      <c r="A113" s="25"/>
      <c r="B113" s="27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65000</v>
      </c>
      <c r="E115" s="8">
        <f>SUM(E111:E114)</f>
        <v>0</v>
      </c>
      <c r="F115" s="8">
        <f>SUM(F111:F114)</f>
        <v>130000</v>
      </c>
      <c r="G115" s="8">
        <f>SUM(G111:G114)</f>
        <v>65000</v>
      </c>
      <c r="H115" s="12"/>
    </row>
    <row r="116" spans="1:8" ht="15.75" thickBot="1" x14ac:dyDescent="0.3">
      <c r="A116" s="35"/>
      <c r="B116" s="36"/>
      <c r="C116" s="9"/>
      <c r="D116" s="9"/>
      <c r="E116" s="9"/>
      <c r="F116" s="9"/>
      <c r="G116" s="3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E15+E22+E29+E36+E43+E50+E57+E73+E80+E87+E94+E101+E108+E115+E168+E169</f>
        <v>11385634.699999997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10"/>
      <c r="F122" s="10"/>
      <c r="G122" s="10"/>
      <c r="H122" s="12"/>
    </row>
    <row r="123" spans="1:8" x14ac:dyDescent="0.25">
      <c r="A123" s="22" t="s">
        <v>237</v>
      </c>
      <c r="B123" s="34"/>
      <c r="C123" s="10"/>
      <c r="D123" s="10"/>
      <c r="E123" s="10"/>
      <c r="F123" s="10"/>
      <c r="G123" s="10"/>
      <c r="H123" s="12"/>
    </row>
    <row r="124" spans="1:8" x14ac:dyDescent="0.25">
      <c r="A124" s="33"/>
      <c r="B124" s="34"/>
      <c r="C124" s="10"/>
      <c r="D124" s="10"/>
      <c r="E124" s="10"/>
      <c r="F124" s="10"/>
      <c r="G124" s="10"/>
      <c r="H124" s="12"/>
    </row>
    <row r="125" spans="1:8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5" t="s">
        <v>7</v>
      </c>
      <c r="F125" s="15" t="s">
        <v>8</v>
      </c>
      <c r="G125" s="15" t="s">
        <v>8</v>
      </c>
      <c r="H125" s="12"/>
    </row>
    <row r="126" spans="1:8" x14ac:dyDescent="0.25">
      <c r="A126" s="116"/>
      <c r="B126" s="116"/>
      <c r="C126" s="116"/>
      <c r="D126" s="116"/>
      <c r="E126" s="116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f t="shared" ref="D128:D151" si="15">C128/2</f>
        <v>19298</v>
      </c>
      <c r="E128" s="2"/>
      <c r="F128" s="2">
        <f t="shared" ref="F128:F151" si="16">C128-E128</f>
        <v>38596</v>
      </c>
      <c r="G128" s="2">
        <f t="shared" ref="G128:G152" si="17">D128-E128</f>
        <v>19298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f t="shared" si="15"/>
        <v>215000</v>
      </c>
      <c r="E129" s="2">
        <v>19047.59</v>
      </c>
      <c r="F129" s="2">
        <f t="shared" si="16"/>
        <v>410952.41</v>
      </c>
      <c r="G129" s="2">
        <f t="shared" si="17"/>
        <v>195952.41</v>
      </c>
      <c r="H129" s="12"/>
    </row>
    <row r="130" spans="1:10" x14ac:dyDescent="0.25">
      <c r="A130" s="18"/>
      <c r="B130" s="18" t="s">
        <v>88</v>
      </c>
      <c r="C130" s="2">
        <v>120000</v>
      </c>
      <c r="D130" s="2">
        <f t="shared" si="15"/>
        <v>60000</v>
      </c>
      <c r="E130" s="2">
        <v>30000</v>
      </c>
      <c r="F130" s="2">
        <f t="shared" si="16"/>
        <v>90000</v>
      </c>
      <c r="G130" s="2">
        <f t="shared" si="17"/>
        <v>30000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f t="shared" si="15"/>
        <v>150000</v>
      </c>
      <c r="E131" s="2"/>
      <c r="F131" s="2">
        <f t="shared" si="16"/>
        <v>300000</v>
      </c>
      <c r="G131" s="2">
        <f t="shared" si="17"/>
        <v>150000</v>
      </c>
      <c r="H131" s="12"/>
    </row>
    <row r="132" spans="1:10" x14ac:dyDescent="0.25">
      <c r="A132" s="18"/>
      <c r="B132" s="18" t="s">
        <v>166</v>
      </c>
      <c r="C132" s="2">
        <v>200000</v>
      </c>
      <c r="D132" s="2">
        <f t="shared" si="15"/>
        <v>100000</v>
      </c>
      <c r="E132" s="2"/>
      <c r="F132" s="2">
        <f t="shared" si="16"/>
        <v>200000</v>
      </c>
      <c r="G132" s="2">
        <f t="shared" si="17"/>
        <v>100000</v>
      </c>
      <c r="H132" s="12"/>
    </row>
    <row r="133" spans="1:10" x14ac:dyDescent="0.25">
      <c r="A133" s="18"/>
      <c r="B133" s="18" t="s">
        <v>143</v>
      </c>
      <c r="C133" s="2">
        <v>145000</v>
      </c>
      <c r="D133" s="2">
        <f t="shared" si="15"/>
        <v>72500</v>
      </c>
      <c r="E133" s="2">
        <v>3000</v>
      </c>
      <c r="F133" s="2">
        <f t="shared" si="16"/>
        <v>142000</v>
      </c>
      <c r="G133" s="2">
        <f t="shared" si="17"/>
        <v>69500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f t="shared" si="15"/>
        <v>60000</v>
      </c>
      <c r="E134" s="2">
        <v>3450</v>
      </c>
      <c r="F134" s="2">
        <f t="shared" si="16"/>
        <v>116550</v>
      </c>
      <c r="G134" s="2">
        <f t="shared" si="17"/>
        <v>56550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f t="shared" si="15"/>
        <v>37500</v>
      </c>
      <c r="E135" s="2"/>
      <c r="F135" s="2">
        <f t="shared" si="16"/>
        <v>75000</v>
      </c>
      <c r="G135" s="2">
        <f t="shared" si="17"/>
        <v>37500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f t="shared" si="15"/>
        <v>750000</v>
      </c>
      <c r="E136" s="2">
        <f>214375+103410+218450+95575+191615</f>
        <v>823425</v>
      </c>
      <c r="F136" s="2">
        <f t="shared" si="16"/>
        <v>676575</v>
      </c>
      <c r="G136" s="2">
        <f t="shared" si="17"/>
        <v>-73425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f t="shared" si="15"/>
        <v>50000</v>
      </c>
      <c r="E137" s="2"/>
      <c r="F137" s="2">
        <f t="shared" si="16"/>
        <v>100000</v>
      </c>
      <c r="G137" s="2">
        <f t="shared" si="17"/>
        <v>50000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v>150000</v>
      </c>
      <c r="D138" s="2">
        <f t="shared" si="15"/>
        <v>75000</v>
      </c>
      <c r="E138" s="2"/>
      <c r="F138" s="2">
        <f t="shared" si="16"/>
        <v>150000</v>
      </c>
      <c r="G138" s="2">
        <f t="shared" si="17"/>
        <v>75000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f t="shared" si="15"/>
        <v>35000</v>
      </c>
      <c r="E139" s="2"/>
      <c r="F139" s="2">
        <f t="shared" si="16"/>
        <v>70000</v>
      </c>
      <c r="G139" s="2">
        <f t="shared" si="17"/>
        <v>35000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f t="shared" si="15"/>
        <v>150000</v>
      </c>
      <c r="E140" s="2">
        <v>1160</v>
      </c>
      <c r="F140" s="2">
        <f t="shared" si="16"/>
        <v>298840</v>
      </c>
      <c r="G140" s="2">
        <f t="shared" si="17"/>
        <v>148840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f t="shared" si="15"/>
        <v>10000</v>
      </c>
      <c r="E141" s="2"/>
      <c r="F141" s="2">
        <f t="shared" si="16"/>
        <v>20000</v>
      </c>
      <c r="G141" s="2">
        <f t="shared" si="17"/>
        <v>10000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f t="shared" si="15"/>
        <v>7500</v>
      </c>
      <c r="E142" s="2"/>
      <c r="F142" s="2">
        <f t="shared" si="16"/>
        <v>15000</v>
      </c>
      <c r="G142" s="2">
        <f t="shared" si="17"/>
        <v>7500</v>
      </c>
      <c r="J142" s="12"/>
    </row>
    <row r="143" spans="1:10" x14ac:dyDescent="0.25">
      <c r="A143" s="18"/>
      <c r="B143" s="18" t="s">
        <v>51</v>
      </c>
      <c r="C143" s="2">
        <v>750000</v>
      </c>
      <c r="D143" s="2">
        <f t="shared" si="15"/>
        <v>375000</v>
      </c>
      <c r="E143" s="2">
        <v>14250</v>
      </c>
      <c r="F143" s="2">
        <f t="shared" si="16"/>
        <v>735750</v>
      </c>
      <c r="G143" s="2">
        <f t="shared" si="17"/>
        <v>360750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f t="shared" si="15"/>
        <v>25000</v>
      </c>
      <c r="E144" s="2"/>
      <c r="F144" s="2">
        <f t="shared" si="16"/>
        <v>50000</v>
      </c>
      <c r="G144" s="2">
        <f t="shared" si="17"/>
        <v>25000</v>
      </c>
    </row>
    <row r="145" spans="1:7" x14ac:dyDescent="0.25">
      <c r="A145" s="18"/>
      <c r="B145" s="18" t="s">
        <v>223</v>
      </c>
      <c r="C145" s="2">
        <v>455427.6</v>
      </c>
      <c r="D145" s="2">
        <f t="shared" si="15"/>
        <v>227713.8</v>
      </c>
      <c r="E145" s="2"/>
      <c r="F145" s="2">
        <f t="shared" si="16"/>
        <v>455427.6</v>
      </c>
      <c r="G145" s="2">
        <f t="shared" si="17"/>
        <v>227713.8</v>
      </c>
    </row>
    <row r="146" spans="1:7" x14ac:dyDescent="0.25">
      <c r="A146" s="18"/>
      <c r="B146" s="18" t="s">
        <v>210</v>
      </c>
      <c r="C146" s="2">
        <v>1200000</v>
      </c>
      <c r="D146" s="2">
        <f t="shared" si="15"/>
        <v>600000</v>
      </c>
      <c r="E146" s="2">
        <f>2200+25000+152824</f>
        <v>180024</v>
      </c>
      <c r="F146" s="2">
        <f t="shared" si="16"/>
        <v>1019976</v>
      </c>
      <c r="G146" s="2">
        <f t="shared" si="17"/>
        <v>419976</v>
      </c>
    </row>
    <row r="147" spans="1:7" x14ac:dyDescent="0.25">
      <c r="A147" s="18"/>
      <c r="B147" s="18" t="s">
        <v>211</v>
      </c>
      <c r="C147" s="2">
        <v>500000</v>
      </c>
      <c r="D147" s="2">
        <f t="shared" si="15"/>
        <v>250000</v>
      </c>
      <c r="E147" s="2"/>
      <c r="F147" s="2">
        <f t="shared" si="16"/>
        <v>500000</v>
      </c>
      <c r="G147" s="2">
        <f t="shared" si="17"/>
        <v>250000</v>
      </c>
    </row>
    <row r="148" spans="1:7" x14ac:dyDescent="0.25">
      <c r="A148" s="18"/>
      <c r="B148" s="18" t="s">
        <v>212</v>
      </c>
      <c r="C148" s="2">
        <v>300000</v>
      </c>
      <c r="D148" s="2">
        <f t="shared" si="15"/>
        <v>150000</v>
      </c>
      <c r="E148" s="2">
        <f>4116.65+40000</f>
        <v>44116.65</v>
      </c>
      <c r="F148" s="2">
        <f t="shared" si="16"/>
        <v>255883.35</v>
      </c>
      <c r="G148" s="2">
        <f t="shared" si="17"/>
        <v>105883.35</v>
      </c>
    </row>
    <row r="149" spans="1:7" x14ac:dyDescent="0.25">
      <c r="A149" s="18"/>
      <c r="B149" s="18" t="s">
        <v>213</v>
      </c>
      <c r="C149" s="2">
        <v>375000</v>
      </c>
      <c r="D149" s="2">
        <f t="shared" si="15"/>
        <v>187500</v>
      </c>
      <c r="E149" s="2"/>
      <c r="F149" s="2">
        <f t="shared" si="16"/>
        <v>375000</v>
      </c>
      <c r="G149" s="2">
        <f t="shared" si="17"/>
        <v>187500</v>
      </c>
    </row>
    <row r="150" spans="1:7" x14ac:dyDescent="0.25">
      <c r="A150" s="18"/>
      <c r="B150" s="18" t="s">
        <v>32</v>
      </c>
      <c r="C150" s="2">
        <v>250000</v>
      </c>
      <c r="D150" s="2">
        <f t="shared" si="15"/>
        <v>125000</v>
      </c>
      <c r="E150" s="2">
        <v>945.85</v>
      </c>
      <c r="F150" s="2">
        <f t="shared" si="16"/>
        <v>249054.15</v>
      </c>
      <c r="G150" s="2">
        <f t="shared" si="17"/>
        <v>124054.15</v>
      </c>
    </row>
    <row r="151" spans="1:7" x14ac:dyDescent="0.25">
      <c r="A151" s="18"/>
      <c r="B151" s="18" t="s">
        <v>96</v>
      </c>
      <c r="C151" s="2">
        <v>776404</v>
      </c>
      <c r="D151" s="2">
        <f t="shared" si="15"/>
        <v>388202</v>
      </c>
      <c r="E151" s="2">
        <f>194101+194101</f>
        <v>388202</v>
      </c>
      <c r="F151" s="2">
        <f t="shared" si="16"/>
        <v>388202</v>
      </c>
      <c r="G151" s="2">
        <f t="shared" si="17"/>
        <v>0</v>
      </c>
    </row>
    <row r="152" spans="1:7" x14ac:dyDescent="0.25">
      <c r="A152" s="37"/>
      <c r="B152" s="37"/>
      <c r="C152" s="6"/>
      <c r="D152" s="6"/>
      <c r="E152" s="6"/>
      <c r="F152" s="2"/>
      <c r="G152" s="2">
        <f t="shared" si="17"/>
        <v>0</v>
      </c>
    </row>
    <row r="153" spans="1:7" x14ac:dyDescent="0.25">
      <c r="A153" s="38"/>
      <c r="B153" s="28" t="s">
        <v>27</v>
      </c>
      <c r="C153" s="8">
        <f>SUM(C128:C152)</f>
        <v>8240427.5999999996</v>
      </c>
      <c r="D153" s="8">
        <f>SUM(D128:D152)</f>
        <v>4120213.8</v>
      </c>
      <c r="E153" s="8">
        <f>SUM(E128:E152)</f>
        <v>1507621.0899999999</v>
      </c>
      <c r="F153" s="8">
        <f>SUM(F128:F152)</f>
        <v>6732806.5099999998</v>
      </c>
      <c r="G153" s="8">
        <f>SUM(G128:G152)</f>
        <v>2612592.71</v>
      </c>
    </row>
    <row r="154" spans="1:7" x14ac:dyDescent="0.25">
      <c r="C154" s="7"/>
    </row>
    <row r="155" spans="1:7" x14ac:dyDescent="0.25">
      <c r="C155" s="14"/>
      <c r="E155" s="14"/>
    </row>
    <row r="156" spans="1:7" x14ac:dyDescent="0.25">
      <c r="C156" s="14"/>
    </row>
    <row r="158" spans="1:7" x14ac:dyDescent="0.25">
      <c r="A158" s="13" t="s">
        <v>0</v>
      </c>
      <c r="B158" s="34"/>
      <c r="C158" s="10"/>
      <c r="D158" s="10"/>
      <c r="E158" s="10">
        <f>E155-E157</f>
        <v>0</v>
      </c>
      <c r="F158" s="10"/>
      <c r="G158" s="10"/>
    </row>
    <row r="159" spans="1:7" x14ac:dyDescent="0.25">
      <c r="A159" s="13" t="s">
        <v>1</v>
      </c>
      <c r="B159" s="34"/>
      <c r="C159" s="10"/>
      <c r="D159" s="10"/>
      <c r="E159" s="10"/>
      <c r="F159" s="10"/>
      <c r="G159" s="10"/>
    </row>
    <row r="160" spans="1:7" x14ac:dyDescent="0.25">
      <c r="A160" s="13" t="s">
        <v>2</v>
      </c>
      <c r="B160" s="34"/>
      <c r="C160" s="10"/>
      <c r="D160" s="10"/>
      <c r="E160" s="10"/>
      <c r="F160" s="10"/>
      <c r="G160" s="10"/>
    </row>
    <row r="161" spans="1:9" x14ac:dyDescent="0.25">
      <c r="A161" s="22" t="s">
        <v>237</v>
      </c>
      <c r="B161" s="34"/>
      <c r="C161" s="10"/>
      <c r="D161" s="10"/>
      <c r="E161" s="10"/>
      <c r="F161" s="10"/>
      <c r="G161" s="10"/>
    </row>
    <row r="162" spans="1:9" x14ac:dyDescent="0.25">
      <c r="A162" s="33"/>
      <c r="B162" s="34"/>
      <c r="C162" s="10"/>
      <c r="D162" s="10"/>
      <c r="E162" s="10"/>
      <c r="F162" s="10"/>
      <c r="G162" s="10"/>
    </row>
    <row r="163" spans="1:9" x14ac:dyDescent="0.25">
      <c r="A163" s="115" t="s">
        <v>3</v>
      </c>
      <c r="B163" s="115" t="s">
        <v>4</v>
      </c>
      <c r="C163" s="115" t="s">
        <v>5</v>
      </c>
      <c r="D163" s="115" t="s">
        <v>6</v>
      </c>
      <c r="E163" s="115" t="s">
        <v>7</v>
      </c>
      <c r="F163" s="15" t="s">
        <v>8</v>
      </c>
      <c r="G163" s="15" t="s">
        <v>8</v>
      </c>
    </row>
    <row r="164" spans="1:9" x14ac:dyDescent="0.25">
      <c r="A164" s="116"/>
      <c r="B164" s="116"/>
      <c r="C164" s="116"/>
      <c r="D164" s="116"/>
      <c r="E164" s="116"/>
      <c r="F164" s="16" t="s">
        <v>5</v>
      </c>
      <c r="G164" s="16" t="s">
        <v>6</v>
      </c>
    </row>
    <row r="165" spans="1:9" x14ac:dyDescent="0.25">
      <c r="A165" s="17"/>
      <c r="B165" s="17"/>
      <c r="C165" s="17"/>
      <c r="D165" s="17"/>
      <c r="E165" s="17"/>
      <c r="F165" s="17"/>
      <c r="G165" s="17"/>
    </row>
    <row r="166" spans="1:9" x14ac:dyDescent="0.25">
      <c r="A166" s="18"/>
      <c r="B166" s="26" t="s">
        <v>53</v>
      </c>
      <c r="C166" s="18"/>
      <c r="D166" s="18"/>
      <c r="E166" s="18"/>
      <c r="F166" s="18"/>
      <c r="G166" s="18"/>
    </row>
    <row r="167" spans="1:9" x14ac:dyDescent="0.25">
      <c r="A167" s="18"/>
      <c r="B167" s="27" t="s">
        <v>11</v>
      </c>
      <c r="C167" s="2"/>
      <c r="D167" s="2"/>
      <c r="E167" s="2"/>
      <c r="F167" s="2"/>
      <c r="G167" s="2"/>
    </row>
    <row r="168" spans="1:9" x14ac:dyDescent="0.25">
      <c r="A168" s="18"/>
      <c r="B168" s="4" t="s">
        <v>58</v>
      </c>
      <c r="C168" s="2">
        <v>320000</v>
      </c>
      <c r="D168" s="2">
        <f t="shared" ref="D168:D169" si="18">C168/2</f>
        <v>160000</v>
      </c>
      <c r="E168" s="2">
        <v>16993</v>
      </c>
      <c r="F168" s="2">
        <f t="shared" ref="F168:F188" si="19">C168-E168</f>
        <v>303007</v>
      </c>
      <c r="G168" s="2">
        <f t="shared" ref="G168:G188" si="20">D168-E168</f>
        <v>143007</v>
      </c>
    </row>
    <row r="169" spans="1:9" x14ac:dyDescent="0.25">
      <c r="A169" s="18"/>
      <c r="B169" s="4" t="s">
        <v>59</v>
      </c>
      <c r="C169" s="2">
        <v>1000000</v>
      </c>
      <c r="D169" s="2">
        <f t="shared" si="18"/>
        <v>500000</v>
      </c>
      <c r="E169" s="2">
        <f>122000+120000+120000+120000+120000</f>
        <v>602000</v>
      </c>
      <c r="F169" s="2">
        <f t="shared" si="19"/>
        <v>398000</v>
      </c>
      <c r="G169" s="2">
        <f t="shared" si="20"/>
        <v>-102000</v>
      </c>
      <c r="I169" s="14">
        <f>E169*12</f>
        <v>7224000</v>
      </c>
    </row>
    <row r="170" spans="1:9" x14ac:dyDescent="0.25">
      <c r="A170" s="18"/>
      <c r="B170" s="27" t="s">
        <v>12</v>
      </c>
      <c r="C170" s="2"/>
      <c r="D170" s="2"/>
      <c r="E170" s="2"/>
      <c r="F170" s="2">
        <f t="shared" si="19"/>
        <v>0</v>
      </c>
      <c r="G170" s="2">
        <f t="shared" si="20"/>
        <v>0</v>
      </c>
    </row>
    <row r="171" spans="1:9" x14ac:dyDescent="0.25">
      <c r="A171" s="18"/>
      <c r="B171" s="4" t="s">
        <v>54</v>
      </c>
      <c r="C171" s="2">
        <v>2419990.09</v>
      </c>
      <c r="D171" s="2">
        <f t="shared" ref="D171:D176" si="21">C171/2</f>
        <v>1209995.0449999999</v>
      </c>
      <c r="E171" s="2">
        <v>78500</v>
      </c>
      <c r="F171" s="2">
        <f t="shared" si="19"/>
        <v>2341490.09</v>
      </c>
      <c r="G171" s="2">
        <f t="shared" si="20"/>
        <v>1131495.0449999999</v>
      </c>
      <c r="I171" s="14">
        <f>C171/4</f>
        <v>604997.52249999996</v>
      </c>
    </row>
    <row r="172" spans="1:9" x14ac:dyDescent="0.25">
      <c r="A172" s="18"/>
      <c r="B172" s="4" t="s">
        <v>55</v>
      </c>
      <c r="C172" s="2">
        <v>15000</v>
      </c>
      <c r="D172" s="2">
        <f t="shared" si="21"/>
        <v>7500</v>
      </c>
      <c r="E172" s="2"/>
      <c r="F172" s="2">
        <f t="shared" si="19"/>
        <v>15000</v>
      </c>
      <c r="G172" s="2">
        <f t="shared" si="20"/>
        <v>7500</v>
      </c>
    </row>
    <row r="173" spans="1:9" x14ac:dyDescent="0.25">
      <c r="A173" s="18"/>
      <c r="B173" s="4" t="s">
        <v>56</v>
      </c>
      <c r="C173" s="2">
        <v>20000</v>
      </c>
      <c r="D173" s="2">
        <f t="shared" si="21"/>
        <v>10000</v>
      </c>
      <c r="E173" s="2"/>
      <c r="F173" s="2">
        <f t="shared" si="19"/>
        <v>20000</v>
      </c>
      <c r="G173" s="2">
        <f t="shared" si="20"/>
        <v>10000</v>
      </c>
    </row>
    <row r="174" spans="1:9" x14ac:dyDescent="0.25">
      <c r="A174" s="18"/>
      <c r="B174" s="4" t="s">
        <v>160</v>
      </c>
      <c r="C174" s="2">
        <v>2419990.09</v>
      </c>
      <c r="D174" s="2">
        <f t="shared" si="21"/>
        <v>1209995.0449999999</v>
      </c>
      <c r="E174" s="2">
        <f>8000+8000+8000+8000</f>
        <v>32000</v>
      </c>
      <c r="F174" s="2">
        <f t="shared" si="19"/>
        <v>2387990.09</v>
      </c>
      <c r="G174" s="2">
        <f t="shared" si="20"/>
        <v>1177995.0449999999</v>
      </c>
    </row>
    <row r="175" spans="1:9" x14ac:dyDescent="0.25">
      <c r="A175" s="18"/>
      <c r="B175" s="4" t="s">
        <v>161</v>
      </c>
      <c r="C175" s="2">
        <v>483998.02</v>
      </c>
      <c r="D175" s="2">
        <f t="shared" si="21"/>
        <v>241999.01</v>
      </c>
      <c r="E175" s="2">
        <v>2000</v>
      </c>
      <c r="F175" s="2">
        <f t="shared" ref="F175" si="22">C175-E175</f>
        <v>481998.02</v>
      </c>
      <c r="G175" s="2">
        <f t="shared" ref="G175" si="23">D175-E175</f>
        <v>239999.01</v>
      </c>
    </row>
    <row r="176" spans="1:9" x14ac:dyDescent="0.25">
      <c r="A176" s="18"/>
      <c r="B176" s="55" t="s">
        <v>162</v>
      </c>
      <c r="C176" s="2">
        <v>412021.38</v>
      </c>
      <c r="D176" s="2">
        <f t="shared" si="21"/>
        <v>206010.69</v>
      </c>
      <c r="E176" s="2"/>
      <c r="F176" s="2">
        <f t="shared" si="19"/>
        <v>412021.38</v>
      </c>
      <c r="G176" s="2">
        <f t="shared" si="20"/>
        <v>206010.69</v>
      </c>
    </row>
    <row r="177" spans="1:7" x14ac:dyDescent="0.25">
      <c r="A177" s="18"/>
      <c r="B177" s="55" t="s">
        <v>225</v>
      </c>
      <c r="C177" s="2"/>
      <c r="D177" s="2"/>
      <c r="E177" s="2"/>
      <c r="F177" s="2"/>
      <c r="G177" s="2"/>
    </row>
    <row r="178" spans="1:7" x14ac:dyDescent="0.25">
      <c r="A178" s="18"/>
      <c r="B178" s="82" t="s">
        <v>226</v>
      </c>
      <c r="C178" s="2">
        <v>10000</v>
      </c>
      <c r="D178" s="2">
        <f t="shared" ref="D178:D182" si="24">C178/2</f>
        <v>5000</v>
      </c>
      <c r="E178" s="2"/>
      <c r="F178" s="2">
        <f t="shared" ref="F178:F179" si="25">C178-E178</f>
        <v>10000</v>
      </c>
      <c r="G178" s="2">
        <f t="shared" ref="G178:G179" si="26">D178-E178</f>
        <v>5000</v>
      </c>
    </row>
    <row r="179" spans="1:7" x14ac:dyDescent="0.25">
      <c r="A179" s="18"/>
      <c r="B179" s="55" t="s">
        <v>227</v>
      </c>
      <c r="C179" s="2">
        <v>10000</v>
      </c>
      <c r="D179" s="2">
        <f t="shared" si="24"/>
        <v>5000</v>
      </c>
      <c r="E179" s="2"/>
      <c r="F179" s="2">
        <f t="shared" si="25"/>
        <v>10000</v>
      </c>
      <c r="G179" s="2">
        <f t="shared" si="26"/>
        <v>5000</v>
      </c>
    </row>
    <row r="180" spans="1:7" x14ac:dyDescent="0.25">
      <c r="A180" s="18"/>
      <c r="B180" s="4" t="s">
        <v>228</v>
      </c>
      <c r="C180" s="2">
        <v>100000</v>
      </c>
      <c r="D180" s="2">
        <f t="shared" si="24"/>
        <v>50000</v>
      </c>
      <c r="E180" s="2"/>
      <c r="F180" s="2">
        <f t="shared" si="19"/>
        <v>100000</v>
      </c>
      <c r="G180" s="2">
        <f t="shared" si="20"/>
        <v>50000</v>
      </c>
    </row>
    <row r="181" spans="1:7" x14ac:dyDescent="0.25">
      <c r="A181" s="18"/>
      <c r="B181" s="4" t="s">
        <v>229</v>
      </c>
      <c r="C181" s="2">
        <v>300000</v>
      </c>
      <c r="D181" s="2">
        <f t="shared" si="24"/>
        <v>150000</v>
      </c>
      <c r="E181" s="2"/>
      <c r="F181" s="2">
        <f t="shared" ref="F181:F182" si="27">C181-E181</f>
        <v>300000</v>
      </c>
      <c r="G181" s="2">
        <f t="shared" ref="G181:G182" si="28">D181-E181</f>
        <v>150000</v>
      </c>
    </row>
    <row r="182" spans="1:7" x14ac:dyDescent="0.25">
      <c r="A182" s="18"/>
      <c r="B182" s="4" t="s">
        <v>105</v>
      </c>
      <c r="C182" s="2">
        <v>150000</v>
      </c>
      <c r="D182" s="2">
        <f t="shared" si="24"/>
        <v>75000</v>
      </c>
      <c r="E182" s="2"/>
      <c r="F182" s="2">
        <f t="shared" si="27"/>
        <v>150000</v>
      </c>
      <c r="G182" s="2">
        <f t="shared" si="28"/>
        <v>75000</v>
      </c>
    </row>
    <row r="183" spans="1:7" x14ac:dyDescent="0.25">
      <c r="A183" s="18"/>
      <c r="B183" s="27" t="s">
        <v>13</v>
      </c>
      <c r="C183" s="2"/>
      <c r="D183" s="2"/>
      <c r="E183" s="2"/>
      <c r="F183" s="2">
        <f t="shared" si="19"/>
        <v>0</v>
      </c>
      <c r="G183" s="2">
        <f t="shared" si="20"/>
        <v>0</v>
      </c>
    </row>
    <row r="184" spans="1:7" x14ac:dyDescent="0.25">
      <c r="A184" s="18"/>
      <c r="B184" s="4" t="s">
        <v>62</v>
      </c>
      <c r="C184" s="2"/>
      <c r="D184" s="2"/>
      <c r="E184" s="2"/>
      <c r="F184" s="2">
        <f t="shared" si="19"/>
        <v>0</v>
      </c>
      <c r="G184" s="2">
        <f t="shared" si="20"/>
        <v>0</v>
      </c>
    </row>
    <row r="185" spans="1:7" x14ac:dyDescent="0.25">
      <c r="A185" s="18"/>
      <c r="B185" s="83" t="s">
        <v>230</v>
      </c>
      <c r="C185" s="2">
        <v>500000</v>
      </c>
      <c r="D185" s="2">
        <f>C185/2</f>
        <v>250000</v>
      </c>
      <c r="E185" s="2"/>
      <c r="F185" s="2">
        <f t="shared" ref="F185" si="29">C185-E185</f>
        <v>500000</v>
      </c>
      <c r="G185" s="2">
        <f t="shared" ref="G185" si="30">D185-E185</f>
        <v>250000</v>
      </c>
    </row>
    <row r="186" spans="1:7" x14ac:dyDescent="0.25">
      <c r="A186" s="18"/>
      <c r="B186" s="4" t="s">
        <v>231</v>
      </c>
      <c r="C186" s="2"/>
      <c r="D186" s="2"/>
      <c r="E186" s="2"/>
      <c r="F186" s="2"/>
      <c r="G186" s="2"/>
    </row>
    <row r="187" spans="1:7" x14ac:dyDescent="0.25">
      <c r="A187" s="18"/>
      <c r="B187" s="83" t="s">
        <v>232</v>
      </c>
      <c r="C187" s="2">
        <v>2000000</v>
      </c>
      <c r="D187" s="2">
        <f t="shared" ref="D187:D188" si="31">C187/2</f>
        <v>1000000</v>
      </c>
      <c r="E187" s="2"/>
      <c r="F187" s="2">
        <f t="shared" si="19"/>
        <v>2000000</v>
      </c>
      <c r="G187" s="2">
        <f t="shared" si="20"/>
        <v>1000000</v>
      </c>
    </row>
    <row r="188" spans="1:7" x14ac:dyDescent="0.25">
      <c r="A188" s="18"/>
      <c r="B188" s="4" t="s">
        <v>233</v>
      </c>
      <c r="C188" s="2">
        <v>120000</v>
      </c>
      <c r="D188" s="2">
        <f t="shared" si="31"/>
        <v>60000</v>
      </c>
      <c r="E188" s="2"/>
      <c r="F188" s="2">
        <f t="shared" si="19"/>
        <v>120000</v>
      </c>
      <c r="G188" s="2">
        <f t="shared" si="20"/>
        <v>60000</v>
      </c>
    </row>
    <row r="189" spans="1:7" x14ac:dyDescent="0.25">
      <c r="A189" s="18"/>
      <c r="B189" s="4"/>
      <c r="C189" s="2"/>
      <c r="D189" s="2"/>
      <c r="E189" s="2"/>
      <c r="F189" s="2"/>
      <c r="G189" s="2"/>
    </row>
    <row r="190" spans="1:7" x14ac:dyDescent="0.25">
      <c r="A190" s="18"/>
      <c r="B190" s="39" t="s">
        <v>27</v>
      </c>
      <c r="C190" s="8">
        <f>SUM(C168:C189)</f>
        <v>10280999.579999998</v>
      </c>
      <c r="D190" s="8">
        <f>SUM(D168:D189)</f>
        <v>5140499.7899999991</v>
      </c>
      <c r="E190" s="8">
        <f>SUM(E168:E189)</f>
        <v>731493</v>
      </c>
      <c r="F190" s="8">
        <f>SUM(F168:F189)</f>
        <v>9549506.5799999982</v>
      </c>
      <c r="G190" s="8">
        <f>SUM(G168:G189)</f>
        <v>4409006.7899999991</v>
      </c>
    </row>
    <row r="191" spans="1:7" ht="15.75" thickBot="1" x14ac:dyDescent="0.3">
      <c r="A191" s="40"/>
      <c r="B191" s="41" t="s">
        <v>64</v>
      </c>
      <c r="C191" s="20">
        <f>C190+C153+C115+C108+C101+C94+C87+C80+C73+C57+C50+C43+C36+C29+C22+C15</f>
        <v>48399801.709999993</v>
      </c>
      <c r="D191" s="20">
        <f>D190+D153+D115+D108+D101+D94+D87+D80+D73+D57+D50+D43+D36+D29+D22+D15</f>
        <v>24199900.854999997</v>
      </c>
      <c r="E191" s="20">
        <f>E190+E153+E115+E108+E101+E94+E87+E80+E73+E57+E50+E43+E36+E29+E22+E15</f>
        <v>13005755.789999999</v>
      </c>
      <c r="F191" s="20">
        <f>F190+F153+F115+F108+F101+F94+F87+F80+F73+F57+F50+F43+F36+F29+F22+F15</f>
        <v>35394045.920000002</v>
      </c>
      <c r="G191" s="20">
        <f>G190+G153+G115+G108+G101+G94+G87+G80+G73+G57+G50+G43+G36+G29+G22+G15</f>
        <v>11194145.064999998</v>
      </c>
    </row>
    <row r="192" spans="1:7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2"/>
      <c r="F193" s="12"/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C195" s="12"/>
      <c r="D195" s="12"/>
      <c r="E195" s="12"/>
      <c r="F195" s="12"/>
      <c r="G195" s="12"/>
    </row>
    <row r="196" spans="2:12" x14ac:dyDescent="0.25">
      <c r="B196" s="42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114"/>
      <c r="E197" s="114"/>
      <c r="F197" s="12"/>
      <c r="G197" s="12"/>
    </row>
    <row r="198" spans="2:12" x14ac:dyDescent="0.25">
      <c r="C198" s="12"/>
      <c r="D198" s="12"/>
      <c r="E198" s="12"/>
      <c r="F198" s="12"/>
      <c r="G198" s="12"/>
      <c r="H198" s="54">
        <v>0.8</v>
      </c>
      <c r="I198" s="12">
        <v>2159415</v>
      </c>
      <c r="L198" s="13">
        <f>20*20</f>
        <v>400</v>
      </c>
    </row>
    <row r="199" spans="2:12" x14ac:dyDescent="0.25">
      <c r="C199" s="12"/>
      <c r="D199" s="12"/>
      <c r="E199" s="12"/>
      <c r="F199" s="12"/>
      <c r="G199" s="12"/>
      <c r="H199" s="54">
        <v>0.2</v>
      </c>
      <c r="I199" s="12">
        <v>539854</v>
      </c>
      <c r="L199" s="13">
        <f>15*20</f>
        <v>300</v>
      </c>
    </row>
    <row r="200" spans="2:12" x14ac:dyDescent="0.25">
      <c r="C200" s="12"/>
      <c r="D200" s="12"/>
      <c r="E200" s="12"/>
      <c r="F200" s="12"/>
      <c r="G200" s="12"/>
      <c r="I200" s="12"/>
    </row>
    <row r="201" spans="2:12" x14ac:dyDescent="0.25">
      <c r="C201" s="53"/>
      <c r="D201" s="12"/>
      <c r="E201" s="12"/>
      <c r="F201" s="12"/>
      <c r="G201" s="12"/>
      <c r="I201" s="12"/>
      <c r="L201" s="13">
        <f>SUM(L198:L200)</f>
        <v>700</v>
      </c>
    </row>
    <row r="202" spans="2:12" x14ac:dyDescent="0.25">
      <c r="C202" s="53"/>
      <c r="D202" s="12"/>
      <c r="E202" s="12"/>
      <c r="F202" s="12"/>
      <c r="G202" s="12"/>
      <c r="I202" s="12">
        <f>SUM(I198:I201)</f>
        <v>2699269</v>
      </c>
    </row>
    <row r="203" spans="2:12" x14ac:dyDescent="0.25">
      <c r="C203" s="12"/>
      <c r="D203" s="12"/>
      <c r="E203" s="12"/>
      <c r="F203" s="12"/>
      <c r="G203" s="12">
        <f>I202-E191</f>
        <v>-10306486.789999999</v>
      </c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E205" s="12"/>
      <c r="F205" s="12"/>
      <c r="G205" s="12"/>
      <c r="I205" s="12"/>
    </row>
    <row r="206" spans="2:12" x14ac:dyDescent="0.25">
      <c r="C206" s="12"/>
      <c r="D206" s="12"/>
      <c r="E206" s="12"/>
      <c r="F206" s="12"/>
      <c r="G206" s="12"/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E208" s="12"/>
      <c r="F208" s="12"/>
      <c r="G208" s="12"/>
      <c r="I208" s="12"/>
    </row>
    <row r="209" spans="3:7" x14ac:dyDescent="0.25">
      <c r="C209" s="12"/>
      <c r="D209" s="12"/>
      <c r="E209" s="12"/>
      <c r="F209" s="12"/>
      <c r="G209" s="12"/>
    </row>
    <row r="210" spans="3:7" x14ac:dyDescent="0.25">
      <c r="C210" s="12"/>
      <c r="D210" s="12"/>
      <c r="E210" s="12"/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>
        <f>E199+E200</f>
        <v>0</v>
      </c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D197:E197"/>
    <mergeCell ref="A125:A126"/>
    <mergeCell ref="B125:B126"/>
    <mergeCell ref="C125:C126"/>
    <mergeCell ref="D125:D126"/>
    <mergeCell ref="E125:E126"/>
    <mergeCell ref="A163:A164"/>
    <mergeCell ref="B163:B164"/>
    <mergeCell ref="C163:C164"/>
    <mergeCell ref="D163:D164"/>
    <mergeCell ref="E163:E164"/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</mergeCells>
  <pageMargins left="0.12" right="0.12" top="0.36" bottom="0.41" header="0.3" footer="0.3"/>
  <pageSetup scale="8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zoomScale="140" zoomScaleNormal="140" workbookViewId="0">
      <selection activeCell="C1" sqref="C1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5" style="13" customWidth="1"/>
    <col min="6" max="6" width="16.28515625" style="13" customWidth="1"/>
    <col min="7" max="7" width="15.71093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206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>
        <f>8428.54/6</f>
        <v>1404.7566666666669</v>
      </c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>
        <f>14568.64/9</f>
        <v>1618.7377777777776</v>
      </c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f>C11/2</f>
        <v>869193.52</v>
      </c>
      <c r="E11" s="2">
        <f>137223.36+167223.36+137223.36+157223.36+189811.36+137223.36</f>
        <v>925928.15999999992</v>
      </c>
      <c r="F11" s="2">
        <f>C11-E11</f>
        <v>812458.88000000012</v>
      </c>
      <c r="G11" s="2">
        <f>D11-E11</f>
        <v>-56734.639999999898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f t="shared" ref="D12:D13" si="0">C12/2</f>
        <v>607561.63500000001</v>
      </c>
      <c r="E12" s="2">
        <f>68133.9+66346.33+10000+43240.91+52836.91+112317.5</f>
        <v>352875.55</v>
      </c>
      <c r="F12" s="2">
        <f t="shared" ref="F12:F13" si="1">C12-E12</f>
        <v>862247.72</v>
      </c>
      <c r="G12" s="2">
        <f t="shared" ref="G12:G13" si="2">D12-E12</f>
        <v>254686.08500000002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f t="shared" si="0"/>
        <v>75000</v>
      </c>
      <c r="E13" s="2"/>
      <c r="F13" s="2">
        <f t="shared" si="1"/>
        <v>150000</v>
      </c>
      <c r="G13" s="2">
        <f t="shared" si="2"/>
        <v>75000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1551755.155</v>
      </c>
      <c r="E15" s="8">
        <f>SUM(E11:E14)</f>
        <v>1278803.71</v>
      </c>
      <c r="F15" s="8">
        <f>SUM(F11:F14)</f>
        <v>1824706.6</v>
      </c>
      <c r="G15" s="8">
        <f>SUM(G11:G14)</f>
        <v>272951.44500000012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f t="shared" ref="D18:D20" si="3">C18/2</f>
        <v>4292546.58</v>
      </c>
      <c r="E18" s="2">
        <f>603278.41+936306.35+603278.41+623357.41+843407.41+603357.41</f>
        <v>4212985.4000000004</v>
      </c>
      <c r="F18" s="2">
        <f>C18-E18</f>
        <v>4372107.76</v>
      </c>
      <c r="G18" s="2">
        <f>D18-E18</f>
        <v>79561.179999999702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f t="shared" si="3"/>
        <v>590468.18000000005</v>
      </c>
      <c r="E19" s="2">
        <f>119020+28460+11000+12060+116756</f>
        <v>287296</v>
      </c>
      <c r="F19" s="2">
        <f>C19-E19</f>
        <v>893640.3600000001</v>
      </c>
      <c r="G19" s="2">
        <f>D19-E19</f>
        <v>303172.18000000005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f t="shared" si="3"/>
        <v>60000</v>
      </c>
      <c r="E20" s="2"/>
      <c r="F20" s="2">
        <f>C20-E20</f>
        <v>120000</v>
      </c>
      <c r="G20" s="2">
        <f>D20-E20</f>
        <v>60000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4943014.76</v>
      </c>
      <c r="E22" s="8">
        <f>SUM(E18:E21)</f>
        <v>4500281.4000000004</v>
      </c>
      <c r="F22" s="8">
        <f>SUM(F18:F21)</f>
        <v>5385748.1200000001</v>
      </c>
      <c r="G22" s="8">
        <f>SUM(G18:G21)</f>
        <v>442733.35999999975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f t="shared" ref="D25:D27" si="4">C25/2</f>
        <v>540034.16</v>
      </c>
      <c r="E25" s="2">
        <f>81375.15+96375.15+81375.15+96524.11+117488.61+81524.11</f>
        <v>554662.28</v>
      </c>
      <c r="F25" s="2">
        <f>C25-E25</f>
        <v>525406.04</v>
      </c>
      <c r="G25" s="2">
        <f>D25-E25</f>
        <v>-14628.119999999995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f t="shared" si="4"/>
        <v>75642.725000000006</v>
      </c>
      <c r="E26" s="2">
        <v>4140</v>
      </c>
      <c r="F26" s="2">
        <f>C26-E26</f>
        <v>147145.45000000001</v>
      </c>
      <c r="G26" s="2">
        <f>D26-E26</f>
        <v>71502.725000000006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f t="shared" si="4"/>
        <v>15000</v>
      </c>
      <c r="E27" s="2"/>
      <c r="F27" s="2">
        <f>C27-E27</f>
        <v>30000</v>
      </c>
      <c r="G27" s="2">
        <f>D27-E27</f>
        <v>15000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630676.88500000001</v>
      </c>
      <c r="E29" s="8">
        <f>SUM(E25:E28)</f>
        <v>558802.28</v>
      </c>
      <c r="F29" s="8">
        <f>SUM(F25:F28)</f>
        <v>702551.49</v>
      </c>
      <c r="G29" s="8">
        <f>SUM(G25:G28)</f>
        <v>71874.60500000001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f t="shared" ref="D32:D34" si="5">C32/2</f>
        <v>416805.98</v>
      </c>
      <c r="E32" s="2">
        <f>63327.47+73327.47+63327.47+73327.47+89719.47+63374.55</f>
        <v>426403.89999999997</v>
      </c>
      <c r="F32" s="2">
        <f>C32-E32</f>
        <v>407208.06</v>
      </c>
      <c r="G32" s="2">
        <f>D32-E32</f>
        <v>-9597.9199999999837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f t="shared" si="5"/>
        <v>59483.1</v>
      </c>
      <c r="E33" s="2">
        <f>2000+2930+6487+4000</f>
        <v>15417</v>
      </c>
      <c r="F33" s="2">
        <f>C33-E33</f>
        <v>103549.2</v>
      </c>
      <c r="G33" s="2">
        <f>D33-E33</f>
        <v>44066.1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f t="shared" si="5"/>
        <v>12500</v>
      </c>
      <c r="E34" s="2"/>
      <c r="F34" s="2">
        <f>C34-E34</f>
        <v>25000</v>
      </c>
      <c r="G34" s="2">
        <f>D34-E34</f>
        <v>12500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488789.07999999996</v>
      </c>
      <c r="E36" s="8">
        <f>SUM(E32:E35)</f>
        <v>441820.89999999997</v>
      </c>
      <c r="F36" s="8">
        <f>SUM(F32:F35)</f>
        <v>535757.26</v>
      </c>
      <c r="G36" s="8">
        <f>SUM(G32:G35)</f>
        <v>46968.180000000015</v>
      </c>
      <c r="L36" s="12"/>
    </row>
    <row r="37" spans="1:13" x14ac:dyDescent="0.25">
      <c r="A37" s="25"/>
      <c r="B37" s="18"/>
      <c r="C37" s="2"/>
      <c r="D37" s="2"/>
      <c r="E37" s="2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f t="shared" ref="D39:D41" si="6">C39/2</f>
        <v>343320.9</v>
      </c>
      <c r="E39" s="2">
        <f>53003.9+58003.9+53003.9+58003.9+73301.4+53003.9</f>
        <v>348320.9</v>
      </c>
      <c r="F39" s="2">
        <f>C39-E39</f>
        <v>338320.9</v>
      </c>
      <c r="G39" s="2">
        <f>D39-E39</f>
        <v>-5000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f t="shared" si="6"/>
        <v>57471.925000000003</v>
      </c>
      <c r="E40" s="2">
        <f>2000+5200+4218</f>
        <v>11418</v>
      </c>
      <c r="F40" s="2">
        <f>C40-E40</f>
        <v>103525.85</v>
      </c>
      <c r="G40" s="2">
        <f>D40-E40</f>
        <v>46053.925000000003</v>
      </c>
    </row>
    <row r="41" spans="1:13" x14ac:dyDescent="0.25">
      <c r="A41" s="25"/>
      <c r="B41" s="27" t="s">
        <v>13</v>
      </c>
      <c r="C41" s="2">
        <v>35000</v>
      </c>
      <c r="D41" s="2">
        <f t="shared" si="6"/>
        <v>17500</v>
      </c>
      <c r="E41" s="2"/>
      <c r="F41" s="2">
        <f>C41-E41</f>
        <v>35000</v>
      </c>
      <c r="G41" s="2">
        <f>D41-E41</f>
        <v>17500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418292.82500000001</v>
      </c>
      <c r="E43" s="8">
        <f>SUM(E39:E42)</f>
        <v>359738.9</v>
      </c>
      <c r="F43" s="8">
        <f>SUM(F39:F42)</f>
        <v>476846.75</v>
      </c>
      <c r="G43" s="8">
        <f>SUM(G39:G42)</f>
        <v>58553.925000000003</v>
      </c>
    </row>
    <row r="44" spans="1:13" x14ac:dyDescent="0.25">
      <c r="A44" s="25"/>
      <c r="B44" s="18"/>
      <c r="C44" s="2"/>
      <c r="D44" s="2"/>
      <c r="E44" s="2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f t="shared" ref="D46:D48" si="7">C46/2</f>
        <v>585266.02</v>
      </c>
      <c r="E46" s="2">
        <f>46303.17+61303.17+46303.17+61303.17+66713.67+46303.17</f>
        <v>328229.51999999996</v>
      </c>
      <c r="F46" s="2">
        <f>C46-E46</f>
        <v>842302.52</v>
      </c>
      <c r="G46" s="2">
        <f>D46-E46</f>
        <v>257036.50000000006</v>
      </c>
    </row>
    <row r="47" spans="1:13" x14ac:dyDescent="0.25">
      <c r="A47" s="25"/>
      <c r="B47" s="27" t="s">
        <v>12</v>
      </c>
      <c r="C47" s="2">
        <v>225508</v>
      </c>
      <c r="D47" s="2">
        <f t="shared" si="7"/>
        <v>112754</v>
      </c>
      <c r="E47" s="2">
        <f>9700+1000+1000+1000+36061</f>
        <v>48761</v>
      </c>
      <c r="F47" s="2">
        <f>C47-E47</f>
        <v>176747</v>
      </c>
      <c r="G47" s="2">
        <f>D47-E47</f>
        <v>63993</v>
      </c>
    </row>
    <row r="48" spans="1:13" x14ac:dyDescent="0.25">
      <c r="A48" s="25"/>
      <c r="B48" s="27" t="s">
        <v>13</v>
      </c>
      <c r="C48" s="2">
        <v>25000</v>
      </c>
      <c r="D48" s="2">
        <f t="shared" si="7"/>
        <v>12500</v>
      </c>
      <c r="E48" s="2"/>
      <c r="F48" s="2">
        <f>C48-E48</f>
        <v>25000</v>
      </c>
      <c r="G48" s="2">
        <f>D48-E48</f>
        <v>12500</v>
      </c>
      <c r="H48" s="12"/>
    </row>
    <row r="49" spans="1:8" x14ac:dyDescent="0.25">
      <c r="A49" s="25"/>
      <c r="B49" s="27" t="s">
        <v>14</v>
      </c>
      <c r="C49" s="2"/>
      <c r="D49" s="2"/>
      <c r="E49" s="2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710520.02</v>
      </c>
      <c r="E50" s="8">
        <f>SUM(E46:E49)</f>
        <v>376990.51999999996</v>
      </c>
      <c r="F50" s="8">
        <f>SUM(F46:F49)</f>
        <v>1044049.52</v>
      </c>
      <c r="G50" s="8">
        <f>SUM(G46:G49)</f>
        <v>333529.50000000006</v>
      </c>
      <c r="H50" s="12"/>
    </row>
    <row r="51" spans="1:8" x14ac:dyDescent="0.25">
      <c r="A51" s="25"/>
      <c r="B51" s="18"/>
      <c r="C51" s="2"/>
      <c r="D51" s="2"/>
      <c r="E51" s="2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2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f t="shared" ref="D53:D55" si="8">C53/2</f>
        <v>863281.48</v>
      </c>
      <c r="E53" s="2">
        <f>127589.33+162589.33+127589.33+162589.33+190014.83+127589.33</f>
        <v>897961.47999999986</v>
      </c>
      <c r="F53" s="2">
        <f>C53-E53</f>
        <v>828601.4800000001</v>
      </c>
      <c r="G53" s="2">
        <f>D53-E53</f>
        <v>-34679.999999999884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f t="shared" si="8"/>
        <v>190436.02499999999</v>
      </c>
      <c r="E54" s="2">
        <f>7700+17777+1200+20827.9+18450+78025.44</f>
        <v>143980.34</v>
      </c>
      <c r="F54" s="2">
        <f>C54-E54</f>
        <v>236891.71</v>
      </c>
      <c r="G54" s="2">
        <f>D54-E54</f>
        <v>46455.684999999998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f t="shared" si="8"/>
        <v>30000</v>
      </c>
      <c r="E55" s="2"/>
      <c r="F55" s="2">
        <f>C55-E55</f>
        <v>60000</v>
      </c>
      <c r="G55" s="2">
        <f>D55-E55</f>
        <v>30000</v>
      </c>
      <c r="H55" s="12"/>
    </row>
    <row r="56" spans="1:8" x14ac:dyDescent="0.25">
      <c r="A56" s="25"/>
      <c r="B56" s="27" t="s">
        <v>14</v>
      </c>
      <c r="C56" s="2"/>
      <c r="D56" s="2"/>
      <c r="E56" s="2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1083717.5049999999</v>
      </c>
      <c r="E57" s="8">
        <f>SUM(E53:E56)</f>
        <v>1041941.8199999998</v>
      </c>
      <c r="F57" s="8">
        <f>SUM(F53:F56)</f>
        <v>1125493.1900000002</v>
      </c>
      <c r="G57" s="8">
        <f>SUM(G53:G56)</f>
        <v>41775.685000000114</v>
      </c>
      <c r="H57" s="12"/>
    </row>
    <row r="58" spans="1:8" ht="15.75" thickBot="1" x14ac:dyDescent="0.3">
      <c r="A58" s="30"/>
      <c r="B58" s="31"/>
      <c r="C58" s="9"/>
      <c r="D58" s="9"/>
      <c r="E58" s="9"/>
      <c r="F58" s="9"/>
      <c r="G58" s="32"/>
      <c r="H58" s="12"/>
    </row>
    <row r="59" spans="1:8" x14ac:dyDescent="0.25">
      <c r="A59" s="33"/>
      <c r="B59" s="34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10"/>
      <c r="F62" s="10"/>
      <c r="G62" s="10"/>
      <c r="H62" s="12"/>
    </row>
    <row r="63" spans="1:8" x14ac:dyDescent="0.25">
      <c r="A63" s="22" t="s">
        <v>206</v>
      </c>
      <c r="B63" s="34"/>
      <c r="C63" s="10"/>
      <c r="D63" s="10"/>
      <c r="E63" s="10"/>
      <c r="F63" s="10"/>
      <c r="G63" s="10"/>
      <c r="H63" s="12"/>
    </row>
    <row r="64" spans="1:8" x14ac:dyDescent="0.25">
      <c r="A64" s="33"/>
      <c r="B64" s="34"/>
      <c r="C64" s="10"/>
      <c r="D64" s="10"/>
      <c r="E64" s="10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5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6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9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2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f t="shared" ref="D69:D71" si="9">C69/2</f>
        <v>429192.96000000002</v>
      </c>
      <c r="E69" s="2">
        <f>65251.06+75251.06+65251.06+75251.06+92503.06+65251.06</f>
        <v>438758.36</v>
      </c>
      <c r="F69" s="2">
        <f>C69-E69</f>
        <v>419627.56000000006</v>
      </c>
      <c r="G69" s="2">
        <f>D69-E69</f>
        <v>-9565.3999999999651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f t="shared" si="9"/>
        <v>61716.474999999999</v>
      </c>
      <c r="E70" s="2">
        <f>2000+5300+2000+23853</f>
        <v>33153</v>
      </c>
      <c r="F70" s="2">
        <f>C70-E70</f>
        <v>90279.95</v>
      </c>
      <c r="G70" s="2">
        <f>D70-E70</f>
        <v>28563.474999999999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f t="shared" si="9"/>
        <v>15000</v>
      </c>
      <c r="E71" s="2"/>
      <c r="F71" s="2">
        <f>C71-E71</f>
        <v>30000</v>
      </c>
      <c r="G71" s="2">
        <f>D71-E71</f>
        <v>15000</v>
      </c>
      <c r="H71" s="12"/>
    </row>
    <row r="72" spans="1:8" x14ac:dyDescent="0.25">
      <c r="A72" s="25"/>
      <c r="B72" s="27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505909.435</v>
      </c>
      <c r="E73" s="8">
        <f>SUM(E69:E72)</f>
        <v>471911.36</v>
      </c>
      <c r="F73" s="8">
        <f>SUM(F69:F72)</f>
        <v>539907.51</v>
      </c>
      <c r="G73" s="8">
        <f>SUM(G69:G72)</f>
        <v>33998.075000000033</v>
      </c>
      <c r="H73" s="12"/>
    </row>
    <row r="74" spans="1:8" x14ac:dyDescent="0.25">
      <c r="A74" s="25"/>
      <c r="B74" s="18"/>
      <c r="C74" s="2"/>
      <c r="D74" s="2"/>
      <c r="E74" s="2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2"/>
      <c r="E75" s="2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f t="shared" ref="D76:D77" si="10">C76/2</f>
        <v>599791.48</v>
      </c>
      <c r="E76" s="2">
        <f>43617.35+89117.35+43617.35+67471.91+52508.45+55487.21</f>
        <v>351819.62000000005</v>
      </c>
      <c r="F76" s="2">
        <f>C76-E76</f>
        <v>847763.33999999985</v>
      </c>
      <c r="G76" s="2">
        <f>D76-E76</f>
        <v>247971.85999999993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f t="shared" si="10"/>
        <v>412004.39500000002</v>
      </c>
      <c r="E77" s="2">
        <f>65119.58+36394.25+745.65+23126.19+7219.48</f>
        <v>132605.15</v>
      </c>
      <c r="F77" s="2">
        <f>C77-E77</f>
        <v>691403.64</v>
      </c>
      <c r="G77" s="2">
        <f>D77-E77</f>
        <v>279399.245</v>
      </c>
      <c r="H77" s="12"/>
    </row>
    <row r="78" spans="1:8" x14ac:dyDescent="0.25">
      <c r="A78" s="25"/>
      <c r="B78" s="27" t="s">
        <v>13</v>
      </c>
      <c r="C78" s="2"/>
      <c r="D78" s="2"/>
      <c r="E78" s="2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2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1011795.875</v>
      </c>
      <c r="E80" s="8">
        <f>SUM(E76:E79)</f>
        <v>484424.77</v>
      </c>
      <c r="F80" s="8">
        <f>SUM(F76:F79)</f>
        <v>1539166.98</v>
      </c>
      <c r="G80" s="8">
        <f>SUM(G76:G79)</f>
        <v>527371.10499999998</v>
      </c>
      <c r="H80" s="12"/>
    </row>
    <row r="81" spans="1:8" x14ac:dyDescent="0.25">
      <c r="A81" s="25"/>
      <c r="B81" s="18"/>
      <c r="C81" s="2"/>
      <c r="D81" s="2"/>
      <c r="E81" s="2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2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f t="shared" ref="D83:D84" si="11">C83/2</f>
        <v>1584934.6</v>
      </c>
      <c r="E83" s="2">
        <f>238901.81+278901.81+238901.81+278901.81+344605.81+237251.81</f>
        <v>1617464.86</v>
      </c>
      <c r="F83" s="2">
        <f>C83-E83</f>
        <v>1552404.34</v>
      </c>
      <c r="G83" s="2">
        <f>D83-E83</f>
        <v>-32530.260000000009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f t="shared" si="11"/>
        <v>96194</v>
      </c>
      <c r="E84" s="2">
        <f>23860+10876.16+18548.32</f>
        <v>53284.480000000003</v>
      </c>
      <c r="F84" s="2">
        <f>C84-E84</f>
        <v>139103.51999999999</v>
      </c>
      <c r="G84" s="2">
        <f>D84-E84</f>
        <v>42909.52</v>
      </c>
      <c r="H84" s="12"/>
    </row>
    <row r="85" spans="1:8" x14ac:dyDescent="0.25">
      <c r="A85" s="25"/>
      <c r="B85" s="27" t="s">
        <v>13</v>
      </c>
      <c r="C85" s="2"/>
      <c r="D85" s="2"/>
      <c r="E85" s="2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2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1681128.6</v>
      </c>
      <c r="E87" s="8">
        <f>SUM(E83:E86)</f>
        <v>1670749.34</v>
      </c>
      <c r="F87" s="8">
        <f>SUM(F83:F86)</f>
        <v>1691507.86</v>
      </c>
      <c r="G87" s="8">
        <f>SUM(G83:G86)</f>
        <v>10379.259999999987</v>
      </c>
      <c r="H87" s="12"/>
    </row>
    <row r="88" spans="1:8" x14ac:dyDescent="0.25">
      <c r="A88" s="25"/>
      <c r="B88" s="18"/>
      <c r="C88" s="2"/>
      <c r="D88" s="2"/>
      <c r="E88" s="2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2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f t="shared" ref="D90:D92" si="12">C90/2</f>
        <v>612446.84</v>
      </c>
      <c r="E90" s="2">
        <f>82617.57+102617.57+82617.57+102617.57+124557.57+82617.57</f>
        <v>577645.42000000004</v>
      </c>
      <c r="F90" s="2">
        <f>C90-E90</f>
        <v>647248.25999999989</v>
      </c>
      <c r="G90" s="2">
        <f>D90-E90</f>
        <v>34801.419999999925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f t="shared" si="12"/>
        <v>104484</v>
      </c>
      <c r="E91" s="2">
        <f>6000+5454+2500</f>
        <v>13954</v>
      </c>
      <c r="F91" s="2">
        <f>C91-E91</f>
        <v>195014</v>
      </c>
      <c r="G91" s="2">
        <f>D91-E91</f>
        <v>90530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f t="shared" si="12"/>
        <v>15000</v>
      </c>
      <c r="E92" s="2"/>
      <c r="F92" s="2">
        <f>C92-E92</f>
        <v>30000</v>
      </c>
      <c r="G92" s="2">
        <f>D92-E92</f>
        <v>15000</v>
      </c>
      <c r="H92" s="12"/>
    </row>
    <row r="93" spans="1:8" x14ac:dyDescent="0.25">
      <c r="A93" s="25"/>
      <c r="B93" s="27" t="s">
        <v>14</v>
      </c>
      <c r="C93" s="2"/>
      <c r="D93" s="2"/>
      <c r="E93" s="2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731930.84</v>
      </c>
      <c r="E94" s="8">
        <f>SUM(E90:E93)</f>
        <v>591599.42000000004</v>
      </c>
      <c r="F94" s="8">
        <f>SUM(F90:F93)</f>
        <v>872262.25999999989</v>
      </c>
      <c r="G94" s="8">
        <f>SUM(G90:G93)</f>
        <v>140331.41999999993</v>
      </c>
      <c r="H94" s="12"/>
    </row>
    <row r="95" spans="1:8" x14ac:dyDescent="0.25">
      <c r="A95" s="25"/>
      <c r="B95" s="18"/>
      <c r="C95" s="2"/>
      <c r="D95" s="2"/>
      <c r="E95" s="2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2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f t="shared" ref="D97:D98" si="13">C97/2</f>
        <v>463834.52</v>
      </c>
      <c r="E97" s="2">
        <f>63960.58+78960.58+123960.58+64700.76+121993.43+54700.76</f>
        <v>508276.69</v>
      </c>
      <c r="F97" s="2">
        <f>C97-E97</f>
        <v>419392.35000000003</v>
      </c>
      <c r="G97" s="2">
        <f>D97-E97</f>
        <v>-44442.169999999984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f t="shared" si="13"/>
        <v>51760</v>
      </c>
      <c r="E98" s="2">
        <f>3000+9240</f>
        <v>12240</v>
      </c>
      <c r="F98" s="2">
        <f>C98-E98</f>
        <v>91280</v>
      </c>
      <c r="G98" s="2">
        <f>D98-E98</f>
        <v>39520</v>
      </c>
      <c r="H98" s="12"/>
    </row>
    <row r="99" spans="1:8" x14ac:dyDescent="0.25">
      <c r="A99" s="25"/>
      <c r="B99" s="27" t="s">
        <v>13</v>
      </c>
      <c r="C99" s="2"/>
      <c r="D99" s="2"/>
      <c r="E99" s="2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515594.52</v>
      </c>
      <c r="E101" s="8">
        <f>SUM(E97:E100)</f>
        <v>520516.69</v>
      </c>
      <c r="F101" s="8">
        <f>SUM(F97:F100)</f>
        <v>510672.35000000003</v>
      </c>
      <c r="G101" s="8">
        <f>SUM(G97:G100)</f>
        <v>-4922.1699999999837</v>
      </c>
      <c r="H101" s="12"/>
    </row>
    <row r="102" spans="1:8" x14ac:dyDescent="0.25">
      <c r="A102" s="25"/>
      <c r="B102" s="18"/>
      <c r="C102" s="2"/>
      <c r="D102" s="2"/>
      <c r="E102" s="2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f t="shared" ref="D104:D105" si="14">C104/2</f>
        <v>567360.24</v>
      </c>
      <c r="E104" s="2">
        <f>84930+99930+85263.57+99930+123055+84930</f>
        <v>578038.57000000007</v>
      </c>
      <c r="F104" s="2">
        <f>C104-E104</f>
        <v>556681.90999999992</v>
      </c>
      <c r="G104" s="2">
        <f>D104-E104</f>
        <v>-10678.330000000075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f t="shared" si="14"/>
        <v>33701.525000000001</v>
      </c>
      <c r="E105" s="2">
        <f>515+12069</f>
        <v>12584</v>
      </c>
      <c r="F105" s="2">
        <f>C105-E105</f>
        <v>54819.05</v>
      </c>
      <c r="G105" s="2">
        <f>D105-E105</f>
        <v>21117.525000000001</v>
      </c>
      <c r="H105" s="12"/>
    </row>
    <row r="106" spans="1:8" x14ac:dyDescent="0.25">
      <c r="A106" s="25"/>
      <c r="B106" s="27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601061.76500000001</v>
      </c>
      <c r="E108" s="8">
        <f>SUM(E104:E107)</f>
        <v>590622.57000000007</v>
      </c>
      <c r="F108" s="8">
        <f>SUM(F104:F107)</f>
        <v>611500.96</v>
      </c>
      <c r="G108" s="8">
        <f>SUM(G104:G107)</f>
        <v>10439.194999999927</v>
      </c>
      <c r="H108" s="12"/>
    </row>
    <row r="109" spans="1:8" x14ac:dyDescent="0.25">
      <c r="A109" s="25"/>
      <c r="B109" s="18"/>
      <c r="C109" s="2"/>
      <c r="D109" s="2"/>
      <c r="E109" s="2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f>C112/2</f>
        <v>65000</v>
      </c>
      <c r="E112" s="2"/>
      <c r="F112" s="2">
        <f>C112-E112</f>
        <v>130000</v>
      </c>
      <c r="G112" s="2">
        <f>D112-E112</f>
        <v>65000</v>
      </c>
      <c r="H112" s="12"/>
    </row>
    <row r="113" spans="1:8" x14ac:dyDescent="0.25">
      <c r="A113" s="25"/>
      <c r="B113" s="27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65000</v>
      </c>
      <c r="E115" s="8">
        <f>SUM(E111:E114)</f>
        <v>0</v>
      </c>
      <c r="F115" s="8">
        <f>SUM(F111:F114)</f>
        <v>130000</v>
      </c>
      <c r="G115" s="8">
        <f>SUM(G111:G114)</f>
        <v>65000</v>
      </c>
      <c r="H115" s="12"/>
    </row>
    <row r="116" spans="1:8" ht="15.75" thickBot="1" x14ac:dyDescent="0.3">
      <c r="A116" s="35"/>
      <c r="B116" s="36"/>
      <c r="C116" s="9"/>
      <c r="D116" s="9"/>
      <c r="E116" s="9"/>
      <c r="F116" s="9"/>
      <c r="G116" s="3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E15+E22+E29+E36+E43+E50+E57+E73+E80+E87+E94+E101+E108+E115+E168+E169</f>
        <v>13702022.17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10"/>
      <c r="F122" s="10"/>
      <c r="G122" s="10"/>
      <c r="H122" s="12"/>
    </row>
    <row r="123" spans="1:8" x14ac:dyDescent="0.25">
      <c r="A123" s="22" t="s">
        <v>206</v>
      </c>
      <c r="B123" s="34"/>
      <c r="C123" s="10"/>
      <c r="D123" s="10"/>
      <c r="E123" s="10"/>
      <c r="F123" s="10"/>
      <c r="G123" s="10"/>
      <c r="H123" s="12"/>
    </row>
    <row r="124" spans="1:8" x14ac:dyDescent="0.25">
      <c r="A124" s="33"/>
      <c r="B124" s="34"/>
      <c r="C124" s="10"/>
      <c r="D124" s="10"/>
      <c r="E124" s="10"/>
      <c r="F124" s="10"/>
      <c r="G124" s="10"/>
      <c r="H124" s="12"/>
    </row>
    <row r="125" spans="1:8" ht="15" customHeight="1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5" t="s">
        <v>7</v>
      </c>
      <c r="F125" s="15" t="s">
        <v>8</v>
      </c>
      <c r="G125" s="15" t="s">
        <v>8</v>
      </c>
      <c r="H125" s="12"/>
    </row>
    <row r="126" spans="1:8" ht="15" customHeight="1" x14ac:dyDescent="0.25">
      <c r="A126" s="116"/>
      <c r="B126" s="116"/>
      <c r="C126" s="116"/>
      <c r="D126" s="116"/>
      <c r="E126" s="116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f t="shared" ref="D128:D151" si="15">C128/2</f>
        <v>19298</v>
      </c>
      <c r="E128" s="2"/>
      <c r="F128" s="2">
        <f t="shared" ref="F128:F145" si="16">C128-E128</f>
        <v>38596</v>
      </c>
      <c r="G128" s="2">
        <f t="shared" ref="G128:G152" si="17">D128-E128</f>
        <v>19298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f t="shared" si="15"/>
        <v>215000</v>
      </c>
      <c r="E129" s="2">
        <f>19047.59+5400</f>
        <v>24447.59</v>
      </c>
      <c r="F129" s="2">
        <f t="shared" si="16"/>
        <v>405552.41</v>
      </c>
      <c r="G129" s="2">
        <f t="shared" si="17"/>
        <v>190552.41</v>
      </c>
      <c r="H129" s="12"/>
    </row>
    <row r="130" spans="1:10" x14ac:dyDescent="0.25">
      <c r="A130" s="18"/>
      <c r="B130" s="18" t="s">
        <v>88</v>
      </c>
      <c r="C130" s="2">
        <v>120000</v>
      </c>
      <c r="D130" s="2">
        <f t="shared" si="15"/>
        <v>60000</v>
      </c>
      <c r="E130" s="2">
        <v>30000</v>
      </c>
      <c r="F130" s="2">
        <f t="shared" si="16"/>
        <v>90000</v>
      </c>
      <c r="G130" s="2">
        <f t="shared" si="17"/>
        <v>30000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f t="shared" si="15"/>
        <v>150000</v>
      </c>
      <c r="E131" s="2"/>
      <c r="F131" s="2">
        <f t="shared" si="16"/>
        <v>300000</v>
      </c>
      <c r="G131" s="2">
        <f t="shared" si="17"/>
        <v>150000</v>
      </c>
      <c r="H131" s="12"/>
    </row>
    <row r="132" spans="1:10" x14ac:dyDescent="0.25">
      <c r="A132" s="18"/>
      <c r="B132" s="18" t="s">
        <v>166</v>
      </c>
      <c r="C132" s="2">
        <v>200000</v>
      </c>
      <c r="D132" s="2">
        <f t="shared" si="15"/>
        <v>100000</v>
      </c>
      <c r="E132" s="2"/>
      <c r="F132" s="2">
        <f t="shared" si="16"/>
        <v>200000</v>
      </c>
      <c r="G132" s="2">
        <f t="shared" si="17"/>
        <v>100000</v>
      </c>
      <c r="H132" s="12"/>
    </row>
    <row r="133" spans="1:10" x14ac:dyDescent="0.25">
      <c r="A133" s="18"/>
      <c r="B133" s="18" t="s">
        <v>143</v>
      </c>
      <c r="C133" s="2">
        <v>145000</v>
      </c>
      <c r="D133" s="2">
        <f t="shared" si="15"/>
        <v>72500</v>
      </c>
      <c r="E133" s="2">
        <v>3000</v>
      </c>
      <c r="F133" s="2">
        <f t="shared" si="16"/>
        <v>142000</v>
      </c>
      <c r="G133" s="2">
        <f t="shared" si="17"/>
        <v>69500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f t="shared" si="15"/>
        <v>60000</v>
      </c>
      <c r="E134" s="2">
        <v>3450</v>
      </c>
      <c r="F134" s="2">
        <f t="shared" si="16"/>
        <v>116550</v>
      </c>
      <c r="G134" s="2">
        <f t="shared" si="17"/>
        <v>56550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f t="shared" si="15"/>
        <v>37500</v>
      </c>
      <c r="E135" s="2"/>
      <c r="F135" s="2">
        <f t="shared" si="16"/>
        <v>75000</v>
      </c>
      <c r="G135" s="2">
        <f t="shared" si="17"/>
        <v>37500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f t="shared" si="15"/>
        <v>750000</v>
      </c>
      <c r="E136" s="2">
        <f>214375+103410+218450+95575+191615+108890</f>
        <v>932315</v>
      </c>
      <c r="F136" s="2">
        <f t="shared" si="16"/>
        <v>567685</v>
      </c>
      <c r="G136" s="2">
        <f t="shared" si="17"/>
        <v>-182315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f t="shared" si="15"/>
        <v>50000</v>
      </c>
      <c r="E137" s="2"/>
      <c r="F137" s="2">
        <f t="shared" si="16"/>
        <v>100000</v>
      </c>
      <c r="G137" s="2">
        <f t="shared" si="17"/>
        <v>50000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v>150000</v>
      </c>
      <c r="D138" s="2">
        <f t="shared" si="15"/>
        <v>75000</v>
      </c>
      <c r="E138" s="2"/>
      <c r="F138" s="2">
        <f t="shared" si="16"/>
        <v>150000</v>
      </c>
      <c r="G138" s="2">
        <f t="shared" si="17"/>
        <v>75000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f t="shared" si="15"/>
        <v>35000</v>
      </c>
      <c r="E139" s="2"/>
      <c r="F139" s="2">
        <f t="shared" si="16"/>
        <v>70000</v>
      </c>
      <c r="G139" s="2">
        <f t="shared" si="17"/>
        <v>35000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f t="shared" si="15"/>
        <v>150000</v>
      </c>
      <c r="E140" s="2">
        <v>1160</v>
      </c>
      <c r="F140" s="2">
        <f t="shared" si="16"/>
        <v>298840</v>
      </c>
      <c r="G140" s="2">
        <f t="shared" si="17"/>
        <v>148840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f t="shared" si="15"/>
        <v>10000</v>
      </c>
      <c r="E141" s="2">
        <v>3550</v>
      </c>
      <c r="F141" s="2">
        <f t="shared" si="16"/>
        <v>16450</v>
      </c>
      <c r="G141" s="2">
        <f t="shared" si="17"/>
        <v>6450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f t="shared" si="15"/>
        <v>7500</v>
      </c>
      <c r="E142" s="2"/>
      <c r="F142" s="2">
        <f t="shared" si="16"/>
        <v>15000</v>
      </c>
      <c r="G142" s="2">
        <f t="shared" si="17"/>
        <v>7500</v>
      </c>
      <c r="J142" s="12"/>
    </row>
    <row r="143" spans="1:10" x14ac:dyDescent="0.25">
      <c r="A143" s="18"/>
      <c r="B143" s="18" t="s">
        <v>51</v>
      </c>
      <c r="C143" s="2">
        <v>750000</v>
      </c>
      <c r="D143" s="2">
        <f t="shared" si="15"/>
        <v>375000</v>
      </c>
      <c r="E143" s="2">
        <f>14250+40863.89</f>
        <v>55113.89</v>
      </c>
      <c r="F143" s="2">
        <f t="shared" si="16"/>
        <v>694886.11</v>
      </c>
      <c r="G143" s="2">
        <f t="shared" si="17"/>
        <v>319886.11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f t="shared" si="15"/>
        <v>25000</v>
      </c>
      <c r="E144" s="2"/>
      <c r="F144" s="2">
        <f t="shared" si="16"/>
        <v>50000</v>
      </c>
      <c r="G144" s="2">
        <f t="shared" si="17"/>
        <v>25000</v>
      </c>
    </row>
    <row r="145" spans="1:7" x14ac:dyDescent="0.25">
      <c r="A145" s="18"/>
      <c r="B145" s="18" t="s">
        <v>223</v>
      </c>
      <c r="C145" s="2">
        <v>455427.6</v>
      </c>
      <c r="D145" s="2">
        <f t="shared" si="15"/>
        <v>227713.8</v>
      </c>
      <c r="E145" s="2"/>
      <c r="F145" s="2">
        <f t="shared" si="16"/>
        <v>455427.6</v>
      </c>
      <c r="G145" s="2">
        <f t="shared" si="17"/>
        <v>227713.8</v>
      </c>
    </row>
    <row r="146" spans="1:7" x14ac:dyDescent="0.25">
      <c r="A146" s="18"/>
      <c r="B146" s="18" t="s">
        <v>210</v>
      </c>
      <c r="C146" s="2">
        <v>1200000</v>
      </c>
      <c r="D146" s="2">
        <f t="shared" si="15"/>
        <v>600000</v>
      </c>
      <c r="E146" s="2">
        <f>2200+25000+152824</f>
        <v>180024</v>
      </c>
      <c r="F146" s="2">
        <f t="shared" ref="F146:F151" si="18">C146-E146</f>
        <v>1019976</v>
      </c>
      <c r="G146" s="2">
        <f t="shared" ref="G146:G151" si="19">D146-E146</f>
        <v>419976</v>
      </c>
    </row>
    <row r="147" spans="1:7" x14ac:dyDescent="0.25">
      <c r="A147" s="18"/>
      <c r="B147" s="18" t="s">
        <v>211</v>
      </c>
      <c r="C147" s="2">
        <v>500000</v>
      </c>
      <c r="D147" s="2">
        <f t="shared" si="15"/>
        <v>250000</v>
      </c>
      <c r="E147" s="2"/>
      <c r="F147" s="2">
        <f t="shared" si="18"/>
        <v>500000</v>
      </c>
      <c r="G147" s="2">
        <f t="shared" si="19"/>
        <v>250000</v>
      </c>
    </row>
    <row r="148" spans="1:7" x14ac:dyDescent="0.25">
      <c r="A148" s="18"/>
      <c r="B148" s="18" t="s">
        <v>212</v>
      </c>
      <c r="C148" s="2">
        <v>300000</v>
      </c>
      <c r="D148" s="2">
        <f t="shared" si="15"/>
        <v>150000</v>
      </c>
      <c r="E148" s="2">
        <f>4116.65+40000</f>
        <v>44116.65</v>
      </c>
      <c r="F148" s="2">
        <f t="shared" si="18"/>
        <v>255883.35</v>
      </c>
      <c r="G148" s="2">
        <f t="shared" si="19"/>
        <v>105883.35</v>
      </c>
    </row>
    <row r="149" spans="1:7" x14ac:dyDescent="0.25">
      <c r="A149" s="18"/>
      <c r="B149" s="18" t="s">
        <v>213</v>
      </c>
      <c r="C149" s="2">
        <v>375000</v>
      </c>
      <c r="D149" s="2">
        <f t="shared" si="15"/>
        <v>187500</v>
      </c>
      <c r="E149" s="2"/>
      <c r="F149" s="2">
        <f t="shared" si="18"/>
        <v>375000</v>
      </c>
      <c r="G149" s="2">
        <f t="shared" si="19"/>
        <v>187500</v>
      </c>
    </row>
    <row r="150" spans="1:7" x14ac:dyDescent="0.25">
      <c r="A150" s="18"/>
      <c r="B150" s="18" t="s">
        <v>32</v>
      </c>
      <c r="C150" s="2">
        <v>250000</v>
      </c>
      <c r="D150" s="2">
        <f t="shared" si="15"/>
        <v>125000</v>
      </c>
      <c r="E150" s="2">
        <f>945.85+400</f>
        <v>1345.85</v>
      </c>
      <c r="F150" s="2">
        <f t="shared" si="18"/>
        <v>248654.15</v>
      </c>
      <c r="G150" s="2">
        <f t="shared" si="19"/>
        <v>123654.15</v>
      </c>
    </row>
    <row r="151" spans="1:7" x14ac:dyDescent="0.25">
      <c r="A151" s="18"/>
      <c r="B151" s="18" t="s">
        <v>96</v>
      </c>
      <c r="C151" s="2">
        <v>776404</v>
      </c>
      <c r="D151" s="2">
        <f t="shared" si="15"/>
        <v>388202</v>
      </c>
      <c r="E151" s="2">
        <f>194101+194101</f>
        <v>388202</v>
      </c>
      <c r="F151" s="2">
        <f t="shared" si="18"/>
        <v>388202</v>
      </c>
      <c r="G151" s="2">
        <f t="shared" si="19"/>
        <v>0</v>
      </c>
    </row>
    <row r="152" spans="1:7" x14ac:dyDescent="0.25">
      <c r="A152" s="37"/>
      <c r="B152" s="37"/>
      <c r="C152" s="6"/>
      <c r="D152" s="6"/>
      <c r="E152" s="6"/>
      <c r="F152" s="2"/>
      <c r="G152" s="2">
        <f t="shared" si="17"/>
        <v>0</v>
      </c>
    </row>
    <row r="153" spans="1:7" x14ac:dyDescent="0.25">
      <c r="A153" s="38"/>
      <c r="B153" s="28" t="s">
        <v>27</v>
      </c>
      <c r="C153" s="8">
        <f>SUM(C128:C152)</f>
        <v>8240427.5999999996</v>
      </c>
      <c r="D153" s="8">
        <f>SUM(D128:D152)</f>
        <v>4120213.8</v>
      </c>
      <c r="E153" s="8">
        <f>SUM(E128:E152)</f>
        <v>1666724.98</v>
      </c>
      <c r="F153" s="8">
        <f>SUM(F128:F152)</f>
        <v>6573702.6200000001</v>
      </c>
      <c r="G153" s="8">
        <f>SUM(G128:G152)</f>
        <v>2453488.8199999998</v>
      </c>
    </row>
    <row r="154" spans="1:7" x14ac:dyDescent="0.25">
      <c r="C154" s="7"/>
    </row>
    <row r="155" spans="1:7" x14ac:dyDescent="0.25">
      <c r="C155" s="14"/>
      <c r="E155" s="14"/>
    </row>
    <row r="156" spans="1:7" x14ac:dyDescent="0.25">
      <c r="C156" s="14"/>
    </row>
    <row r="158" spans="1:7" x14ac:dyDescent="0.25">
      <c r="A158" s="13" t="s">
        <v>0</v>
      </c>
      <c r="B158" s="34"/>
      <c r="C158" s="10"/>
      <c r="D158" s="10"/>
      <c r="E158" s="10">
        <f>E155-E157</f>
        <v>0</v>
      </c>
      <c r="F158" s="10"/>
      <c r="G158" s="10"/>
    </row>
    <row r="159" spans="1:7" x14ac:dyDescent="0.25">
      <c r="A159" s="13" t="s">
        <v>1</v>
      </c>
      <c r="B159" s="34"/>
      <c r="C159" s="10"/>
      <c r="D159" s="10"/>
      <c r="E159" s="10"/>
      <c r="F159" s="10"/>
      <c r="G159" s="10"/>
    </row>
    <row r="160" spans="1:7" x14ac:dyDescent="0.25">
      <c r="A160" s="13" t="s">
        <v>2</v>
      </c>
      <c r="B160" s="34"/>
      <c r="C160" s="10"/>
      <c r="D160" s="10"/>
      <c r="E160" s="10"/>
      <c r="F160" s="10"/>
      <c r="G160" s="10"/>
    </row>
    <row r="161" spans="1:9" x14ac:dyDescent="0.25">
      <c r="A161" s="22" t="s">
        <v>206</v>
      </c>
      <c r="B161" s="34"/>
      <c r="C161" s="10"/>
      <c r="D161" s="10"/>
      <c r="E161" s="10"/>
      <c r="F161" s="10"/>
      <c r="G161" s="10"/>
    </row>
    <row r="162" spans="1:9" x14ac:dyDescent="0.25">
      <c r="A162" s="33"/>
      <c r="B162" s="34"/>
      <c r="C162" s="10"/>
      <c r="D162" s="10"/>
      <c r="E162" s="10"/>
      <c r="F162" s="10"/>
      <c r="G162" s="10"/>
    </row>
    <row r="163" spans="1:9" x14ac:dyDescent="0.25">
      <c r="A163" s="115" t="s">
        <v>3</v>
      </c>
      <c r="B163" s="115" t="s">
        <v>4</v>
      </c>
      <c r="C163" s="115" t="s">
        <v>5</v>
      </c>
      <c r="D163" s="115" t="s">
        <v>6</v>
      </c>
      <c r="E163" s="115" t="s">
        <v>7</v>
      </c>
      <c r="F163" s="15" t="s">
        <v>8</v>
      </c>
      <c r="G163" s="15" t="s">
        <v>8</v>
      </c>
    </row>
    <row r="164" spans="1:9" x14ac:dyDescent="0.25">
      <c r="A164" s="116"/>
      <c r="B164" s="116"/>
      <c r="C164" s="116"/>
      <c r="D164" s="116"/>
      <c r="E164" s="116"/>
      <c r="F164" s="16" t="s">
        <v>5</v>
      </c>
      <c r="G164" s="16" t="s">
        <v>6</v>
      </c>
    </row>
    <row r="165" spans="1:9" x14ac:dyDescent="0.25">
      <c r="A165" s="17"/>
      <c r="B165" s="17"/>
      <c r="C165" s="17"/>
      <c r="D165" s="17"/>
      <c r="E165" s="17"/>
      <c r="F165" s="17"/>
      <c r="G165" s="17"/>
    </row>
    <row r="166" spans="1:9" x14ac:dyDescent="0.25">
      <c r="A166" s="18"/>
      <c r="B166" s="26" t="s">
        <v>53</v>
      </c>
      <c r="C166" s="18"/>
      <c r="D166" s="18"/>
      <c r="E166" s="18"/>
      <c r="F166" s="18"/>
      <c r="G166" s="18"/>
    </row>
    <row r="167" spans="1:9" x14ac:dyDescent="0.25">
      <c r="A167" s="18"/>
      <c r="B167" s="27" t="s">
        <v>11</v>
      </c>
      <c r="C167" s="2"/>
      <c r="D167" s="2"/>
      <c r="E167" s="2"/>
      <c r="F167" s="2"/>
      <c r="G167" s="2"/>
    </row>
    <row r="168" spans="1:9" x14ac:dyDescent="0.25">
      <c r="A168" s="18"/>
      <c r="B168" s="4" t="s">
        <v>58</v>
      </c>
      <c r="C168" s="2">
        <v>320000</v>
      </c>
      <c r="D168" s="2">
        <f t="shared" ref="D168:D169" si="20">C168/2</f>
        <v>160000</v>
      </c>
      <c r="E168" s="2">
        <f>16993+74825.49</f>
        <v>91818.49</v>
      </c>
      <c r="F168" s="2">
        <f t="shared" ref="F168:F188" si="21">C168-E168</f>
        <v>228181.51</v>
      </c>
      <c r="G168" s="2">
        <f t="shared" ref="G168:G188" si="22">D168-E168</f>
        <v>68181.509999999995</v>
      </c>
    </row>
    <row r="169" spans="1:9" x14ac:dyDescent="0.25">
      <c r="A169" s="18"/>
      <c r="B169" s="4" t="s">
        <v>59</v>
      </c>
      <c r="C169" s="2">
        <v>1000000</v>
      </c>
      <c r="D169" s="2">
        <f t="shared" si="20"/>
        <v>500000</v>
      </c>
      <c r="E169" s="2">
        <f>122000+120000+120000+120000+120000+120000</f>
        <v>722000</v>
      </c>
      <c r="F169" s="2">
        <f t="shared" si="21"/>
        <v>278000</v>
      </c>
      <c r="G169" s="2">
        <f t="shared" si="22"/>
        <v>-222000</v>
      </c>
      <c r="I169" s="14">
        <f>E169*12</f>
        <v>8664000</v>
      </c>
    </row>
    <row r="170" spans="1:9" x14ac:dyDescent="0.25">
      <c r="A170" s="18"/>
      <c r="B170" s="27" t="s">
        <v>12</v>
      </c>
      <c r="C170" s="2"/>
      <c r="D170" s="2"/>
      <c r="E170" s="2"/>
      <c r="F170" s="2">
        <f t="shared" si="21"/>
        <v>0</v>
      </c>
      <c r="G170" s="2">
        <f t="shared" si="22"/>
        <v>0</v>
      </c>
    </row>
    <row r="171" spans="1:9" x14ac:dyDescent="0.25">
      <c r="A171" s="18"/>
      <c r="B171" s="4" t="s">
        <v>54</v>
      </c>
      <c r="C171" s="2">
        <v>2419990.09</v>
      </c>
      <c r="D171" s="2">
        <f t="shared" ref="D171:D176" si="23">C171/2</f>
        <v>1209995.0449999999</v>
      </c>
      <c r="E171" s="2">
        <f>78500+434768.95</f>
        <v>513268.95</v>
      </c>
      <c r="F171" s="2">
        <f t="shared" si="21"/>
        <v>1906721.14</v>
      </c>
      <c r="G171" s="2">
        <f t="shared" si="22"/>
        <v>696726.09499999997</v>
      </c>
      <c r="I171" s="14">
        <f>C171/4</f>
        <v>604997.52249999996</v>
      </c>
    </row>
    <row r="172" spans="1:9" x14ac:dyDescent="0.25">
      <c r="A172" s="18"/>
      <c r="B172" s="4" t="s">
        <v>55</v>
      </c>
      <c r="C172" s="2">
        <v>15000</v>
      </c>
      <c r="D172" s="2">
        <f t="shared" si="23"/>
        <v>7500</v>
      </c>
      <c r="E172" s="2"/>
      <c r="F172" s="2">
        <f t="shared" si="21"/>
        <v>15000</v>
      </c>
      <c r="G172" s="2">
        <f t="shared" si="22"/>
        <v>7500</v>
      </c>
    </row>
    <row r="173" spans="1:9" x14ac:dyDescent="0.25">
      <c r="A173" s="18"/>
      <c r="B173" s="4" t="s">
        <v>56</v>
      </c>
      <c r="C173" s="2">
        <v>20000</v>
      </c>
      <c r="D173" s="2">
        <f t="shared" si="23"/>
        <v>10000</v>
      </c>
      <c r="E173" s="2"/>
      <c r="F173" s="2">
        <f t="shared" si="21"/>
        <v>20000</v>
      </c>
      <c r="G173" s="2">
        <f t="shared" si="22"/>
        <v>10000</v>
      </c>
    </row>
    <row r="174" spans="1:9" x14ac:dyDescent="0.25">
      <c r="A174" s="18"/>
      <c r="B174" s="4" t="s">
        <v>160</v>
      </c>
      <c r="C174" s="2">
        <v>2419990.09</v>
      </c>
      <c r="D174" s="2">
        <f t="shared" si="23"/>
        <v>1209995.0449999999</v>
      </c>
      <c r="E174" s="2">
        <f>8000+8000+8000+8000</f>
        <v>32000</v>
      </c>
      <c r="F174" s="2">
        <f t="shared" si="21"/>
        <v>2387990.09</v>
      </c>
      <c r="G174" s="2">
        <f t="shared" si="22"/>
        <v>1177995.0449999999</v>
      </c>
    </row>
    <row r="175" spans="1:9" x14ac:dyDescent="0.25">
      <c r="A175" s="18"/>
      <c r="B175" s="4" t="s">
        <v>161</v>
      </c>
      <c r="C175" s="2">
        <v>483998.02</v>
      </c>
      <c r="D175" s="2">
        <f t="shared" si="23"/>
        <v>241999.01</v>
      </c>
      <c r="E175" s="2">
        <f>2000+23750</f>
        <v>25750</v>
      </c>
      <c r="F175" s="2">
        <f t="shared" si="21"/>
        <v>458248.02</v>
      </c>
      <c r="G175" s="2">
        <f t="shared" si="22"/>
        <v>216249.01</v>
      </c>
    </row>
    <row r="176" spans="1:9" x14ac:dyDescent="0.25">
      <c r="A176" s="18"/>
      <c r="B176" s="55" t="s">
        <v>162</v>
      </c>
      <c r="C176" s="2">
        <v>412021.38</v>
      </c>
      <c r="D176" s="2">
        <f t="shared" si="23"/>
        <v>206010.69</v>
      </c>
      <c r="E176" s="2"/>
      <c r="F176" s="2">
        <f t="shared" si="21"/>
        <v>412021.38</v>
      </c>
      <c r="G176" s="2">
        <f t="shared" si="22"/>
        <v>206010.69</v>
      </c>
    </row>
    <row r="177" spans="1:7" x14ac:dyDescent="0.25">
      <c r="A177" s="18"/>
      <c r="B177" s="55" t="s">
        <v>225</v>
      </c>
      <c r="C177" s="2"/>
      <c r="D177" s="2"/>
      <c r="E177" s="2"/>
      <c r="F177" s="2"/>
      <c r="G177" s="2"/>
    </row>
    <row r="178" spans="1:7" x14ac:dyDescent="0.25">
      <c r="A178" s="18"/>
      <c r="B178" s="82" t="s">
        <v>226</v>
      </c>
      <c r="C178" s="2">
        <v>10000</v>
      </c>
      <c r="D178" s="2">
        <f t="shared" ref="D178:D182" si="24">C178/2</f>
        <v>5000</v>
      </c>
      <c r="E178" s="2"/>
      <c r="F178" s="2">
        <f t="shared" ref="F178:F179" si="25">C178-E178</f>
        <v>10000</v>
      </c>
      <c r="G178" s="2">
        <f t="shared" ref="G178:G179" si="26">D178-E178</f>
        <v>5000</v>
      </c>
    </row>
    <row r="179" spans="1:7" x14ac:dyDescent="0.25">
      <c r="A179" s="18"/>
      <c r="B179" s="55" t="s">
        <v>227</v>
      </c>
      <c r="C179" s="2">
        <v>10000</v>
      </c>
      <c r="D179" s="2">
        <f t="shared" si="24"/>
        <v>5000</v>
      </c>
      <c r="E179" s="2"/>
      <c r="F179" s="2">
        <f t="shared" si="25"/>
        <v>10000</v>
      </c>
      <c r="G179" s="2">
        <f t="shared" si="26"/>
        <v>5000</v>
      </c>
    </row>
    <row r="180" spans="1:7" x14ac:dyDescent="0.25">
      <c r="A180" s="18"/>
      <c r="B180" s="4" t="s">
        <v>228</v>
      </c>
      <c r="C180" s="2">
        <v>100000</v>
      </c>
      <c r="D180" s="2">
        <f t="shared" si="24"/>
        <v>50000</v>
      </c>
      <c r="E180" s="2"/>
      <c r="F180" s="2">
        <f t="shared" si="21"/>
        <v>100000</v>
      </c>
      <c r="G180" s="2">
        <f t="shared" si="22"/>
        <v>50000</v>
      </c>
    </row>
    <row r="181" spans="1:7" x14ac:dyDescent="0.25">
      <c r="A181" s="18"/>
      <c r="B181" s="4" t="s">
        <v>229</v>
      </c>
      <c r="C181" s="2">
        <v>300000</v>
      </c>
      <c r="D181" s="2">
        <f t="shared" si="24"/>
        <v>150000</v>
      </c>
      <c r="E181" s="2">
        <v>74000</v>
      </c>
      <c r="F181" s="2">
        <f t="shared" si="21"/>
        <v>226000</v>
      </c>
      <c r="G181" s="2">
        <f t="shared" si="22"/>
        <v>76000</v>
      </c>
    </row>
    <row r="182" spans="1:7" x14ac:dyDescent="0.25">
      <c r="A182" s="18"/>
      <c r="B182" s="4" t="s">
        <v>105</v>
      </c>
      <c r="C182" s="2">
        <v>150000</v>
      </c>
      <c r="D182" s="2">
        <f t="shared" si="24"/>
        <v>75000</v>
      </c>
      <c r="E182" s="2"/>
      <c r="F182" s="2">
        <f t="shared" si="21"/>
        <v>150000</v>
      </c>
      <c r="G182" s="2">
        <f t="shared" si="22"/>
        <v>75000</v>
      </c>
    </row>
    <row r="183" spans="1:7" x14ac:dyDescent="0.25">
      <c r="A183" s="18"/>
      <c r="B183" s="27" t="s">
        <v>13</v>
      </c>
      <c r="C183" s="2"/>
      <c r="D183" s="2"/>
      <c r="E183" s="2"/>
      <c r="F183" s="2">
        <f t="shared" si="21"/>
        <v>0</v>
      </c>
      <c r="G183" s="2">
        <f t="shared" si="22"/>
        <v>0</v>
      </c>
    </row>
    <row r="184" spans="1:7" x14ac:dyDescent="0.25">
      <c r="A184" s="18"/>
      <c r="B184" s="4" t="s">
        <v>62</v>
      </c>
      <c r="C184" s="2"/>
      <c r="D184" s="2"/>
      <c r="E184" s="2"/>
      <c r="F184" s="2">
        <f t="shared" si="21"/>
        <v>0</v>
      </c>
      <c r="G184" s="2">
        <f t="shared" si="22"/>
        <v>0</v>
      </c>
    </row>
    <row r="185" spans="1:7" x14ac:dyDescent="0.25">
      <c r="A185" s="18"/>
      <c r="B185" s="83" t="s">
        <v>230</v>
      </c>
      <c r="C185" s="2">
        <v>500000</v>
      </c>
      <c r="D185" s="2">
        <f>C185/2</f>
        <v>250000</v>
      </c>
      <c r="E185" s="2"/>
      <c r="F185" s="2">
        <f t="shared" si="21"/>
        <v>500000</v>
      </c>
      <c r="G185" s="2">
        <f t="shared" si="22"/>
        <v>250000</v>
      </c>
    </row>
    <row r="186" spans="1:7" x14ac:dyDescent="0.25">
      <c r="A186" s="18"/>
      <c r="B186" s="4" t="s">
        <v>231</v>
      </c>
      <c r="C186" s="2"/>
      <c r="D186" s="2"/>
      <c r="E186" s="2"/>
      <c r="F186" s="2"/>
      <c r="G186" s="2"/>
    </row>
    <row r="187" spans="1:7" x14ac:dyDescent="0.25">
      <c r="A187" s="18"/>
      <c r="B187" s="83" t="s">
        <v>232</v>
      </c>
      <c r="C187" s="2">
        <v>2000000</v>
      </c>
      <c r="D187" s="2">
        <f t="shared" ref="D187:D188" si="27">C187/2</f>
        <v>1000000</v>
      </c>
      <c r="E187" s="2"/>
      <c r="F187" s="2">
        <f t="shared" si="21"/>
        <v>2000000</v>
      </c>
      <c r="G187" s="2">
        <f t="shared" si="22"/>
        <v>1000000</v>
      </c>
    </row>
    <row r="188" spans="1:7" x14ac:dyDescent="0.25">
      <c r="A188" s="18"/>
      <c r="B188" s="4" t="s">
        <v>233</v>
      </c>
      <c r="C188" s="2">
        <v>120000</v>
      </c>
      <c r="D188" s="2">
        <f t="shared" si="27"/>
        <v>60000</v>
      </c>
      <c r="E188" s="2"/>
      <c r="F188" s="2">
        <f t="shared" si="21"/>
        <v>120000</v>
      </c>
      <c r="G188" s="2">
        <f t="shared" si="22"/>
        <v>60000</v>
      </c>
    </row>
    <row r="189" spans="1:7" x14ac:dyDescent="0.25">
      <c r="A189" s="18"/>
      <c r="B189" s="4"/>
      <c r="C189" s="2"/>
      <c r="D189" s="2"/>
      <c r="E189" s="2"/>
      <c r="F189" s="2"/>
      <c r="G189" s="2"/>
    </row>
    <row r="190" spans="1:7" x14ac:dyDescent="0.25">
      <c r="A190" s="18"/>
      <c r="B190" s="39" t="s">
        <v>27</v>
      </c>
      <c r="C190" s="8">
        <f>SUM(C168:C189)</f>
        <v>10280999.579999998</v>
      </c>
      <c r="D190" s="8">
        <f>SUM(D168:D189)</f>
        <v>5140499.7899999991</v>
      </c>
      <c r="E190" s="8">
        <f>SUM(E168:E189)</f>
        <v>1458837.44</v>
      </c>
      <c r="F190" s="8">
        <f>SUM(F168:F189)</f>
        <v>8822162.1400000006</v>
      </c>
      <c r="G190" s="8">
        <f>SUM(G168:G189)</f>
        <v>3681662.35</v>
      </c>
    </row>
    <row r="191" spans="1:7" ht="15.75" thickBot="1" x14ac:dyDescent="0.3">
      <c r="A191" s="40"/>
      <c r="B191" s="41" t="s">
        <v>64</v>
      </c>
      <c r="C191" s="20">
        <f>C190+C153+C115+C108+C101+C94+C87+C80+C73+C57+C50+C43+C36+C29+C22+C15</f>
        <v>48399801.709999993</v>
      </c>
      <c r="D191" s="20">
        <f>D190+D153+D115+D108+D101+D94+D87+D80+D73+D57+D50+D43+D36+D29+D22+D15</f>
        <v>24199900.854999997</v>
      </c>
      <c r="E191" s="20">
        <f>E190+E153+E115+E108+E101+E94+E87+E80+E73+E57+E50+E43+E36+E29+E22+E15</f>
        <v>16013766.100000001</v>
      </c>
      <c r="F191" s="20">
        <f>F190+F153+F115+F108+F101+F94+F87+F80+F73+F57+F50+F43+F36+F29+F22+F15</f>
        <v>32386035.610000007</v>
      </c>
      <c r="G191" s="20">
        <f>G190+G153+G115+G108+G101+G94+G87+G80+G73+G57+G50+G43+G36+G29+G22+G15</f>
        <v>8186134.7550000008</v>
      </c>
    </row>
    <row r="192" spans="1:7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2"/>
      <c r="F193" s="12"/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C195" s="12"/>
      <c r="D195" s="12"/>
      <c r="E195" s="12"/>
      <c r="F195" s="12"/>
      <c r="G195" s="12"/>
    </row>
    <row r="196" spans="2:12" x14ac:dyDescent="0.25">
      <c r="B196" s="42" t="s">
        <v>66</v>
      </c>
      <c r="C196" s="12"/>
      <c r="D196" s="12"/>
      <c r="E196" s="12"/>
      <c r="F196" s="12" t="s">
        <v>148</v>
      </c>
      <c r="G196" s="12"/>
    </row>
    <row r="197" spans="2:12" x14ac:dyDescent="0.25">
      <c r="B197" s="13" t="s">
        <v>67</v>
      </c>
      <c r="C197" s="12"/>
      <c r="D197" s="114"/>
      <c r="E197" s="114"/>
      <c r="F197" s="12"/>
      <c r="G197" s="12"/>
    </row>
    <row r="198" spans="2:12" x14ac:dyDescent="0.25">
      <c r="C198" s="12"/>
      <c r="D198" s="12"/>
      <c r="E198" s="12"/>
      <c r="F198" s="12"/>
      <c r="G198" s="12"/>
      <c r="H198" s="54">
        <v>0.8</v>
      </c>
      <c r="I198" s="12">
        <v>2159415</v>
      </c>
      <c r="L198" s="13">
        <f>20*20</f>
        <v>400</v>
      </c>
    </row>
    <row r="199" spans="2:12" x14ac:dyDescent="0.25">
      <c r="C199" s="12"/>
      <c r="D199" s="12"/>
      <c r="E199" s="12"/>
      <c r="F199" s="12"/>
      <c r="G199" s="12"/>
      <c r="H199" s="54">
        <v>0.2</v>
      </c>
      <c r="I199" s="12">
        <v>539854</v>
      </c>
      <c r="L199" s="13">
        <f>15*20</f>
        <v>300</v>
      </c>
    </row>
    <row r="200" spans="2:12" x14ac:dyDescent="0.25">
      <c r="C200" s="12"/>
      <c r="D200" s="12"/>
      <c r="E200" s="12"/>
      <c r="F200" s="12"/>
      <c r="G200" s="12"/>
      <c r="I200" s="12"/>
    </row>
    <row r="201" spans="2:12" x14ac:dyDescent="0.25">
      <c r="C201" s="53"/>
      <c r="D201" s="12"/>
      <c r="E201" s="12"/>
      <c r="F201" s="12"/>
      <c r="G201" s="12"/>
      <c r="I201" s="12"/>
      <c r="L201" s="13">
        <f>SUM(L198:L200)</f>
        <v>700</v>
      </c>
    </row>
    <row r="202" spans="2:12" x14ac:dyDescent="0.25">
      <c r="C202" s="53"/>
      <c r="D202" s="12"/>
      <c r="E202" s="12"/>
      <c r="F202" s="12"/>
      <c r="G202" s="12"/>
      <c r="I202" s="12">
        <f>SUM(I198:I201)</f>
        <v>2699269</v>
      </c>
    </row>
    <row r="203" spans="2:12" x14ac:dyDescent="0.25">
      <c r="C203" s="12"/>
      <c r="D203" s="12"/>
      <c r="E203" s="12"/>
      <c r="F203" s="12"/>
      <c r="G203" s="12">
        <f>I202-E191</f>
        <v>-13314497.100000001</v>
      </c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E205" s="12"/>
      <c r="F205" s="12"/>
      <c r="G205" s="12"/>
      <c r="I205" s="12"/>
    </row>
    <row r="206" spans="2:12" x14ac:dyDescent="0.25">
      <c r="C206" s="12"/>
      <c r="D206" s="12"/>
      <c r="E206" s="12"/>
      <c r="F206" s="12"/>
      <c r="G206" s="12"/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E208" s="12"/>
      <c r="F208" s="12"/>
      <c r="G208" s="12"/>
      <c r="I208" s="12"/>
    </row>
    <row r="209" spans="3:7" x14ac:dyDescent="0.25">
      <c r="C209" s="12"/>
      <c r="D209" s="12"/>
      <c r="E209" s="12"/>
      <c r="F209" s="12"/>
      <c r="G209" s="12"/>
    </row>
    <row r="210" spans="3:7" x14ac:dyDescent="0.25">
      <c r="C210" s="12"/>
      <c r="D210" s="12"/>
      <c r="E210" s="12"/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/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  <mergeCell ref="D197:E197"/>
    <mergeCell ref="A125:A126"/>
    <mergeCell ref="B125:B126"/>
    <mergeCell ref="C125:C126"/>
    <mergeCell ref="D125:D126"/>
    <mergeCell ref="E125:E126"/>
    <mergeCell ref="A163:A164"/>
    <mergeCell ref="B163:B164"/>
    <mergeCell ref="C163:C164"/>
    <mergeCell ref="D163:D164"/>
    <mergeCell ref="E163:E164"/>
  </mergeCells>
  <pageMargins left="0.12" right="0.12" top="0.24" bottom="0.41" header="0.3" footer="0.3"/>
  <pageSetup scale="8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A149" zoomScale="130" zoomScaleNormal="130" workbookViewId="0">
      <selection activeCell="A156" sqref="A156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5" style="13" customWidth="1"/>
    <col min="6" max="6" width="16.28515625" style="13" customWidth="1"/>
    <col min="7" max="7" width="15.71093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238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>
        <f>8428.54/6</f>
        <v>1404.7566666666669</v>
      </c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>
        <f>14568.64/9</f>
        <v>1618.7377777777776</v>
      </c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f>C11/4*3</f>
        <v>1303790.28</v>
      </c>
      <c r="E11" s="2">
        <f>137223.36+167223.36+137223.36+157223.36+189811.36+137223.36+137223.36</f>
        <v>1063151.52</v>
      </c>
      <c r="F11" s="2">
        <f>C11-E11</f>
        <v>675235.52</v>
      </c>
      <c r="G11" s="2">
        <f>D11-E11</f>
        <v>240638.76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f>C12/4*3</f>
        <v>911342.45250000001</v>
      </c>
      <c r="E12" s="2">
        <f>68133.9+66346.33+10000+43240.91+52836.91+112317.5+214312</f>
        <v>567187.55000000005</v>
      </c>
      <c r="F12" s="2">
        <f t="shared" ref="F12:F13" si="0">C12-E12</f>
        <v>647935.72</v>
      </c>
      <c r="G12" s="2">
        <f t="shared" ref="G12:G13" si="1">D12-E12</f>
        <v>344154.90249999997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/>
      <c r="E13" s="2"/>
      <c r="F13" s="2">
        <f t="shared" si="0"/>
        <v>150000</v>
      </c>
      <c r="G13" s="2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2215132.7324999999</v>
      </c>
      <c r="E15" s="8">
        <f>SUM(E11:E14)</f>
        <v>1630339.07</v>
      </c>
      <c r="F15" s="8">
        <f>SUM(F11:F14)</f>
        <v>1473171.24</v>
      </c>
      <c r="G15" s="8">
        <f>SUM(G11:G14)</f>
        <v>584793.66249999998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f t="shared" ref="D18:D19" si="2">C18/4*3</f>
        <v>6438819.8700000001</v>
      </c>
      <c r="E18" s="2">
        <f>603278.41+936306.35+603278.41+623357.41+843407.41+603357.41+603357.41</f>
        <v>4816342.8100000005</v>
      </c>
      <c r="F18" s="2">
        <f>C18-E18</f>
        <v>3768750.3499999996</v>
      </c>
      <c r="G18" s="2">
        <f>D18-E18</f>
        <v>1622477.0599999996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f t="shared" si="2"/>
        <v>885702.27</v>
      </c>
      <c r="E19" s="2">
        <f>119020+28460+11000+12060+116756+32818</f>
        <v>320114</v>
      </c>
      <c r="F19" s="2">
        <f>C19-E19</f>
        <v>860822.3600000001</v>
      </c>
      <c r="G19" s="2">
        <f>D19-E19</f>
        <v>565588.27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/>
      <c r="E20" s="2"/>
      <c r="F20" s="2">
        <f>C20-E20</f>
        <v>120000</v>
      </c>
      <c r="G20" s="2">
        <f>D20-E20</f>
        <v>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7324522.1400000006</v>
      </c>
      <c r="E22" s="8">
        <f>SUM(E18:E21)</f>
        <v>5136456.8100000005</v>
      </c>
      <c r="F22" s="8">
        <f>SUM(F18:F21)</f>
        <v>4749572.71</v>
      </c>
      <c r="G22" s="8">
        <f>SUM(G18:G21)</f>
        <v>2188065.3299999996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f t="shared" ref="D25:D26" si="3">C25/4*3</f>
        <v>810051.24</v>
      </c>
      <c r="E25" s="2">
        <f>81375.15+96375.15+81375.15+96524.11+117488.61+81524.11+81524.11</f>
        <v>636186.39</v>
      </c>
      <c r="F25" s="2">
        <f>C25-E25</f>
        <v>443881.93000000005</v>
      </c>
      <c r="G25" s="2">
        <f>D25-E25</f>
        <v>173864.84999999998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f t="shared" si="3"/>
        <v>113464.08750000001</v>
      </c>
      <c r="E26" s="2">
        <f>4140+6862</f>
        <v>11002</v>
      </c>
      <c r="F26" s="2">
        <f>C26-E26</f>
        <v>140283.45000000001</v>
      </c>
      <c r="G26" s="2">
        <f>D26-E26</f>
        <v>102462.08750000001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/>
      <c r="E27" s="2"/>
      <c r="F27" s="2">
        <f>C27-E27</f>
        <v>30000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923515.32750000001</v>
      </c>
      <c r="E29" s="8">
        <f>SUM(E25:E28)</f>
        <v>647188.39</v>
      </c>
      <c r="F29" s="8">
        <f>SUM(F25:F28)</f>
        <v>614165.38000000012</v>
      </c>
      <c r="G29" s="8">
        <f>SUM(G25:G28)</f>
        <v>276326.9375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f t="shared" ref="D32:D33" si="4">C32/4*3</f>
        <v>625208.97</v>
      </c>
      <c r="E32" s="2">
        <f>63327.47+73327.47+63327.47+73327.47+89719.47+63374.55+63327.47</f>
        <v>489731.37</v>
      </c>
      <c r="F32" s="2">
        <f>C32-E32</f>
        <v>343880.58999999997</v>
      </c>
      <c r="G32" s="2">
        <f>D32-E32</f>
        <v>135477.59999999998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f t="shared" si="4"/>
        <v>89224.65</v>
      </c>
      <c r="E33" s="2">
        <f>2000+2930+6487+4000+46007</f>
        <v>61424</v>
      </c>
      <c r="F33" s="2">
        <f>C33-E33</f>
        <v>57542.2</v>
      </c>
      <c r="G33" s="2">
        <f>D33-E33</f>
        <v>27800.649999999994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/>
      <c r="E34" s="2"/>
      <c r="F34" s="2">
        <f>C34-E34</f>
        <v>25000</v>
      </c>
      <c r="G34" s="2">
        <f>D34-E34</f>
        <v>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2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714433.62</v>
      </c>
      <c r="E36" s="8">
        <f>SUM(E32:E35)</f>
        <v>551155.37</v>
      </c>
      <c r="F36" s="8">
        <f>SUM(F32:F35)</f>
        <v>426422.79</v>
      </c>
      <c r="G36" s="8">
        <f>SUM(G32:G35)</f>
        <v>163278.24999999997</v>
      </c>
      <c r="L36" s="12"/>
    </row>
    <row r="37" spans="1:13" x14ac:dyDescent="0.25">
      <c r="A37" s="25"/>
      <c r="B37" s="18"/>
      <c r="C37" s="2"/>
      <c r="D37" s="2"/>
      <c r="E37" s="2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2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f t="shared" ref="D39:D40" si="5">C39/4*3</f>
        <v>514981.35000000003</v>
      </c>
      <c r="E39" s="2">
        <f>53003.9+58003.9+53003.9+58003.9+73301.4+53003.9+53003.9</f>
        <v>401324.80000000005</v>
      </c>
      <c r="F39" s="2">
        <f>C39-E39</f>
        <v>285317</v>
      </c>
      <c r="G39" s="2">
        <f>D39-E39</f>
        <v>113656.54999999999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f t="shared" si="5"/>
        <v>86207.887500000012</v>
      </c>
      <c r="E40" s="2">
        <f>2000+5200+4218+24350</f>
        <v>35768</v>
      </c>
      <c r="F40" s="2">
        <f>C40-E40</f>
        <v>79175.850000000006</v>
      </c>
      <c r="G40" s="2">
        <f>D40-E40</f>
        <v>50439.887500000012</v>
      </c>
    </row>
    <row r="41" spans="1:13" x14ac:dyDescent="0.25">
      <c r="A41" s="25"/>
      <c r="B41" s="27" t="s">
        <v>13</v>
      </c>
      <c r="C41" s="2">
        <v>35000</v>
      </c>
      <c r="D41" s="2"/>
      <c r="E41" s="2"/>
      <c r="F41" s="2">
        <f>C41-E41</f>
        <v>35000</v>
      </c>
      <c r="G41" s="2">
        <f>D41-E41</f>
        <v>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2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601189.23750000005</v>
      </c>
      <c r="E43" s="8">
        <f>SUM(E39:E42)</f>
        <v>437092.80000000005</v>
      </c>
      <c r="F43" s="8">
        <f>SUM(F39:F42)</f>
        <v>399492.85</v>
      </c>
      <c r="G43" s="8">
        <f>SUM(G39:G42)</f>
        <v>164096.4375</v>
      </c>
    </row>
    <row r="44" spans="1:13" x14ac:dyDescent="0.25">
      <c r="A44" s="25"/>
      <c r="B44" s="18"/>
      <c r="C44" s="2"/>
      <c r="D44" s="2"/>
      <c r="E44" s="2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2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f t="shared" ref="D46:D47" si="6">C46/4*3</f>
        <v>877899.03</v>
      </c>
      <c r="E46" s="2">
        <f>46303.17+61303.17+46303.17+61303.17+66713.67+46303.17+46303.17</f>
        <v>374532.68999999994</v>
      </c>
      <c r="F46" s="2">
        <f>C46-E46</f>
        <v>795999.35000000009</v>
      </c>
      <c r="G46" s="2">
        <f>D46-E46</f>
        <v>503366.34000000008</v>
      </c>
    </row>
    <row r="47" spans="1:13" x14ac:dyDescent="0.25">
      <c r="A47" s="25"/>
      <c r="B47" s="27" t="s">
        <v>12</v>
      </c>
      <c r="C47" s="2">
        <v>225508</v>
      </c>
      <c r="D47" s="2">
        <f t="shared" si="6"/>
        <v>169131</v>
      </c>
      <c r="E47" s="2">
        <f>9700+1000+1000+1000+36061+41748.75</f>
        <v>90509.75</v>
      </c>
      <c r="F47" s="2">
        <f>C47-E47</f>
        <v>134998.25</v>
      </c>
      <c r="G47" s="2">
        <f>D47-E47</f>
        <v>78621.25</v>
      </c>
    </row>
    <row r="48" spans="1:13" x14ac:dyDescent="0.25">
      <c r="A48" s="25"/>
      <c r="B48" s="27" t="s">
        <v>13</v>
      </c>
      <c r="C48" s="2">
        <v>25000</v>
      </c>
      <c r="D48" s="2"/>
      <c r="E48" s="2"/>
      <c r="F48" s="2">
        <f>C48-E48</f>
        <v>25000</v>
      </c>
      <c r="G48" s="2">
        <f>D48-E48</f>
        <v>0</v>
      </c>
      <c r="H48" s="12"/>
    </row>
    <row r="49" spans="1:8" x14ac:dyDescent="0.25">
      <c r="A49" s="25"/>
      <c r="B49" s="27" t="s">
        <v>14</v>
      </c>
      <c r="C49" s="2"/>
      <c r="D49" s="2"/>
      <c r="E49" s="2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1047030.03</v>
      </c>
      <c r="E50" s="8">
        <f>SUM(E46:E49)</f>
        <v>465042.43999999994</v>
      </c>
      <c r="F50" s="8">
        <f>SUM(F46:F49)</f>
        <v>955997.60000000009</v>
      </c>
      <c r="G50" s="8">
        <f>SUM(G46:G49)</f>
        <v>581987.59000000008</v>
      </c>
      <c r="H50" s="12"/>
    </row>
    <row r="51" spans="1:8" x14ac:dyDescent="0.25">
      <c r="A51" s="25"/>
      <c r="B51" s="18"/>
      <c r="C51" s="2"/>
      <c r="D51" s="2"/>
      <c r="E51" s="2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2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f t="shared" ref="D53:D54" si="7">C53/4*3</f>
        <v>1294922.22</v>
      </c>
      <c r="E53" s="2">
        <f>127589.33+162589.33+127589.33+162589.33+190014.83+127589.33+127589.33</f>
        <v>1025550.8099999998</v>
      </c>
      <c r="F53" s="2">
        <f>C53-E53</f>
        <v>701012.15000000014</v>
      </c>
      <c r="G53" s="2">
        <f>D53-E53</f>
        <v>269371.41000000015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f t="shared" si="7"/>
        <v>285654.03749999998</v>
      </c>
      <c r="E54" s="2">
        <f>7700+17777+1200+20827.9+18450+78025.44+62720.5</f>
        <v>206700.84</v>
      </c>
      <c r="F54" s="2">
        <f>C54-E54</f>
        <v>174171.21</v>
      </c>
      <c r="G54" s="2">
        <f>D54-E54</f>
        <v>78953.19749999998</v>
      </c>
      <c r="H54" s="12"/>
    </row>
    <row r="55" spans="1:8" x14ac:dyDescent="0.25">
      <c r="A55" s="25"/>
      <c r="B55" s="27" t="s">
        <v>13</v>
      </c>
      <c r="C55" s="2">
        <v>60000</v>
      </c>
      <c r="D55" s="2"/>
      <c r="E55" s="2"/>
      <c r="F55" s="2">
        <f>C55-E55</f>
        <v>60000</v>
      </c>
      <c r="G55" s="2">
        <f>D55-E55</f>
        <v>0</v>
      </c>
      <c r="H55" s="12"/>
    </row>
    <row r="56" spans="1:8" x14ac:dyDescent="0.25">
      <c r="A56" s="25"/>
      <c r="B56" s="27" t="s">
        <v>14</v>
      </c>
      <c r="C56" s="2"/>
      <c r="D56" s="2"/>
      <c r="E56" s="2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1580576.2574999998</v>
      </c>
      <c r="E57" s="8">
        <f>SUM(E53:E56)</f>
        <v>1232251.6499999999</v>
      </c>
      <c r="F57" s="8">
        <f>SUM(F53:F56)</f>
        <v>935183.3600000001</v>
      </c>
      <c r="G57" s="8">
        <f>SUM(G53:G56)</f>
        <v>348324.60750000016</v>
      </c>
      <c r="H57" s="12"/>
    </row>
    <row r="58" spans="1:8" ht="15.75" thickBot="1" x14ac:dyDescent="0.3">
      <c r="A58" s="30"/>
      <c r="B58" s="31"/>
      <c r="C58" s="9"/>
      <c r="D58" s="9"/>
      <c r="E58" s="9"/>
      <c r="F58" s="9"/>
      <c r="G58" s="32"/>
      <c r="H58" s="12"/>
    </row>
    <row r="59" spans="1:8" x14ac:dyDescent="0.25">
      <c r="A59" s="33"/>
      <c r="B59" s="34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10"/>
      <c r="F62" s="10"/>
      <c r="G62" s="10"/>
      <c r="H62" s="12"/>
    </row>
    <row r="63" spans="1:8" x14ac:dyDescent="0.25">
      <c r="A63" s="22" t="s">
        <v>238</v>
      </c>
      <c r="B63" s="34"/>
      <c r="C63" s="10"/>
      <c r="D63" s="10"/>
      <c r="E63" s="10"/>
      <c r="F63" s="10"/>
      <c r="G63" s="10"/>
      <c r="H63" s="12"/>
    </row>
    <row r="64" spans="1:8" x14ac:dyDescent="0.25">
      <c r="A64" s="33"/>
      <c r="B64" s="34"/>
      <c r="C64" s="10"/>
      <c r="D64" s="10"/>
      <c r="E64" s="10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5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6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9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2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f>C69/4*3</f>
        <v>643789.44000000006</v>
      </c>
      <c r="E69" s="2">
        <f>65251.06+75251.06+65251.06+75251.06+92503.06+65251.06+65314.76</f>
        <v>504073.12</v>
      </c>
      <c r="F69" s="2">
        <f>C69-E69</f>
        <v>354312.80000000005</v>
      </c>
      <c r="G69" s="2">
        <f>D69-E69</f>
        <v>139716.32000000007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f>C70/4*3</f>
        <v>92574.712499999994</v>
      </c>
      <c r="E70" s="2">
        <f>2000+5300+2000+23853+34197</f>
        <v>67350</v>
      </c>
      <c r="F70" s="2">
        <f>C70-E70</f>
        <v>56082.95</v>
      </c>
      <c r="G70" s="2">
        <f>D70-E70</f>
        <v>25224.712499999994</v>
      </c>
      <c r="H70" s="12"/>
    </row>
    <row r="71" spans="1:8" x14ac:dyDescent="0.25">
      <c r="A71" s="25"/>
      <c r="B71" s="27" t="s">
        <v>13</v>
      </c>
      <c r="C71" s="2">
        <v>30000</v>
      </c>
      <c r="D71" s="2"/>
      <c r="E71" s="2"/>
      <c r="F71" s="2">
        <f>C71-E71</f>
        <v>30000</v>
      </c>
      <c r="G71" s="2">
        <f>D71-E71</f>
        <v>0</v>
      </c>
      <c r="H71" s="12"/>
    </row>
    <row r="72" spans="1:8" x14ac:dyDescent="0.25">
      <c r="A72" s="25"/>
      <c r="B72" s="27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736364.15250000008</v>
      </c>
      <c r="E73" s="8">
        <f>SUM(E69:E72)</f>
        <v>571423.12</v>
      </c>
      <c r="F73" s="8">
        <f>SUM(F69:F72)</f>
        <v>440395.75000000006</v>
      </c>
      <c r="G73" s="8">
        <f>SUM(G69:G72)</f>
        <v>164941.03250000006</v>
      </c>
      <c r="H73" s="12"/>
    </row>
    <row r="74" spans="1:8" x14ac:dyDescent="0.25">
      <c r="A74" s="25"/>
      <c r="B74" s="18"/>
      <c r="C74" s="2"/>
      <c r="D74" s="2"/>
      <c r="E74" s="2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2"/>
      <c r="E75" s="2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f t="shared" ref="D76:D77" si="8">C76/4*3</f>
        <v>899687.22</v>
      </c>
      <c r="E76" s="2">
        <f>43617.35+89117.35+43617.35+67471.91+52508.45+55487.21+44524.59</f>
        <v>396344.21000000008</v>
      </c>
      <c r="F76" s="2">
        <f>C76-E76</f>
        <v>803238.74999999988</v>
      </c>
      <c r="G76" s="2">
        <f>D76-E76</f>
        <v>503343.00999999989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f t="shared" si="8"/>
        <v>618006.59250000003</v>
      </c>
      <c r="E77" s="2">
        <f>65119.58+36394.25+745.65+23126.19+7219.48+320382.17</f>
        <v>452987.31999999995</v>
      </c>
      <c r="F77" s="2">
        <f>C77-E77</f>
        <v>371021.47000000009</v>
      </c>
      <c r="G77" s="2">
        <f>D77-E77</f>
        <v>165019.27250000008</v>
      </c>
      <c r="H77" s="12"/>
    </row>
    <row r="78" spans="1:8" x14ac:dyDescent="0.25">
      <c r="A78" s="25"/>
      <c r="B78" s="27" t="s">
        <v>13</v>
      </c>
      <c r="C78" s="2"/>
      <c r="D78" s="2"/>
      <c r="E78" s="2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2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1517693.8125</v>
      </c>
      <c r="E80" s="8">
        <f>SUM(E76:E79)</f>
        <v>849331.53</v>
      </c>
      <c r="F80" s="8">
        <f>SUM(F76:F79)</f>
        <v>1174260.22</v>
      </c>
      <c r="G80" s="8">
        <f>SUM(G76:G79)</f>
        <v>668362.28249999997</v>
      </c>
      <c r="H80" s="12"/>
    </row>
    <row r="81" spans="1:8" x14ac:dyDescent="0.25">
      <c r="A81" s="25"/>
      <c r="B81" s="18"/>
      <c r="C81" s="2"/>
      <c r="D81" s="2"/>
      <c r="E81" s="2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2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f t="shared" ref="D83:D84" si="9">C83/4*3</f>
        <v>2377401.9000000004</v>
      </c>
      <c r="E83" s="2">
        <f>238901.81+278901.81+238901.81+278901.81+344605.81+237251.81+237251.81</f>
        <v>1854716.6700000002</v>
      </c>
      <c r="F83" s="2">
        <f>C83-E83</f>
        <v>1315152.53</v>
      </c>
      <c r="G83" s="2">
        <f>D83-E83</f>
        <v>522685.23000000021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f t="shared" si="9"/>
        <v>144291</v>
      </c>
      <c r="E84" s="2">
        <f>23860+10876.16+18548.32+55650</f>
        <v>108934.48000000001</v>
      </c>
      <c r="F84" s="2">
        <f>C84-E84</f>
        <v>83453.51999999999</v>
      </c>
      <c r="G84" s="2">
        <f>D84-E84</f>
        <v>35356.51999999999</v>
      </c>
      <c r="H84" s="12"/>
    </row>
    <row r="85" spans="1:8" x14ac:dyDescent="0.25">
      <c r="A85" s="25"/>
      <c r="B85" s="27" t="s">
        <v>13</v>
      </c>
      <c r="C85" s="2"/>
      <c r="D85" s="2"/>
      <c r="E85" s="2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2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2521692.9000000004</v>
      </c>
      <c r="E87" s="8">
        <f>SUM(E83:E86)</f>
        <v>1963651.1500000001</v>
      </c>
      <c r="F87" s="8">
        <f>SUM(F83:F86)</f>
        <v>1398606.05</v>
      </c>
      <c r="G87" s="8">
        <f>SUM(G83:G86)</f>
        <v>558041.75000000023</v>
      </c>
      <c r="H87" s="12"/>
    </row>
    <row r="88" spans="1:8" x14ac:dyDescent="0.25">
      <c r="A88" s="25"/>
      <c r="B88" s="18"/>
      <c r="C88" s="2"/>
      <c r="D88" s="2"/>
      <c r="E88" s="2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2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f t="shared" ref="D90:D91" si="10">C90/4*3</f>
        <v>918670.26</v>
      </c>
      <c r="E90" s="2">
        <f>82617.57+102617.57+82617.57+102617.57+124557.57+82617.57+82617.57</f>
        <v>660262.99</v>
      </c>
      <c r="F90" s="2">
        <f>C90-E90</f>
        <v>564630.68999999994</v>
      </c>
      <c r="G90" s="2">
        <f>D90-E90</f>
        <v>258407.27000000002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f t="shared" si="10"/>
        <v>156726</v>
      </c>
      <c r="E91" s="2">
        <f>6000+5454+2500+36480</f>
        <v>50434</v>
      </c>
      <c r="F91" s="2">
        <f>C91-E91</f>
        <v>158534</v>
      </c>
      <c r="G91" s="2">
        <f>D91-E91</f>
        <v>106292</v>
      </c>
      <c r="H91" s="12"/>
    </row>
    <row r="92" spans="1:8" x14ac:dyDescent="0.25">
      <c r="A92" s="25"/>
      <c r="B92" s="27" t="s">
        <v>13</v>
      </c>
      <c r="C92" s="2">
        <v>30000</v>
      </c>
      <c r="D92" s="2"/>
      <c r="E92" s="2"/>
      <c r="F92" s="2">
        <f>C92-E92</f>
        <v>30000</v>
      </c>
      <c r="G92" s="2">
        <f>D92-E92</f>
        <v>0</v>
      </c>
      <c r="H92" s="12"/>
    </row>
    <row r="93" spans="1:8" x14ac:dyDescent="0.25">
      <c r="A93" s="25"/>
      <c r="B93" s="27" t="s">
        <v>14</v>
      </c>
      <c r="C93" s="2"/>
      <c r="D93" s="2"/>
      <c r="E93" s="2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1075396.26</v>
      </c>
      <c r="E94" s="8">
        <f>SUM(E90:E93)</f>
        <v>710696.99</v>
      </c>
      <c r="F94" s="8">
        <f>SUM(F90:F93)</f>
        <v>753164.69</v>
      </c>
      <c r="G94" s="8">
        <f>SUM(G90:G93)</f>
        <v>364699.27</v>
      </c>
      <c r="H94" s="12"/>
    </row>
    <row r="95" spans="1:8" x14ac:dyDescent="0.25">
      <c r="A95" s="25"/>
      <c r="B95" s="18"/>
      <c r="C95" s="2"/>
      <c r="D95" s="2"/>
      <c r="E95" s="2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2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f t="shared" ref="D97:D98" si="11">C97/4*3</f>
        <v>695751.78</v>
      </c>
      <c r="E97" s="2">
        <f>63960.58+78960.58+123960.58+64700.76+121993.43+54700.76+52700.76</f>
        <v>560977.44999999995</v>
      </c>
      <c r="F97" s="2">
        <f>C97-E97</f>
        <v>366691.59000000008</v>
      </c>
      <c r="G97" s="2">
        <f>D97-E97</f>
        <v>134774.33000000007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f t="shared" si="11"/>
        <v>77640</v>
      </c>
      <c r="E98" s="2">
        <f>3000+9240+27855</f>
        <v>40095</v>
      </c>
      <c r="F98" s="2">
        <f>C98-E98</f>
        <v>63425</v>
      </c>
      <c r="G98" s="2">
        <f>D98-E98</f>
        <v>37545</v>
      </c>
      <c r="H98" s="12"/>
    </row>
    <row r="99" spans="1:8" x14ac:dyDescent="0.25">
      <c r="A99" s="25"/>
      <c r="B99" s="27" t="s">
        <v>13</v>
      </c>
      <c r="C99" s="2"/>
      <c r="D99" s="2"/>
      <c r="E99" s="2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773391.78</v>
      </c>
      <c r="E101" s="8">
        <f>SUM(E97:E100)</f>
        <v>601072.44999999995</v>
      </c>
      <c r="F101" s="8">
        <f>SUM(F97:F100)</f>
        <v>430116.59000000008</v>
      </c>
      <c r="G101" s="8">
        <f>SUM(G97:G100)</f>
        <v>172319.33000000007</v>
      </c>
      <c r="H101" s="12"/>
    </row>
    <row r="102" spans="1:8" x14ac:dyDescent="0.25">
      <c r="A102" s="25"/>
      <c r="B102" s="18"/>
      <c r="C102" s="2"/>
      <c r="D102" s="2"/>
      <c r="E102" s="2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f t="shared" ref="D104:D105" si="12">C104/4*3</f>
        <v>851040.36</v>
      </c>
      <c r="E104" s="2">
        <f>84930+99930+85263.57+99930+123055+84930+84930</f>
        <v>662968.57000000007</v>
      </c>
      <c r="F104" s="2">
        <f>C104-E104</f>
        <v>471751.90999999992</v>
      </c>
      <c r="G104" s="2">
        <f>D104-E104</f>
        <v>188071.78999999992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f t="shared" si="12"/>
        <v>50552.287500000006</v>
      </c>
      <c r="E105" s="2">
        <f>515+12069+23850</f>
        <v>36434</v>
      </c>
      <c r="F105" s="2">
        <f>C105-E105</f>
        <v>30969.050000000003</v>
      </c>
      <c r="G105" s="2">
        <f>D105-E105</f>
        <v>14118.287500000006</v>
      </c>
      <c r="H105" s="12"/>
    </row>
    <row r="106" spans="1:8" x14ac:dyDescent="0.25">
      <c r="A106" s="25"/>
      <c r="B106" s="27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901592.64749999996</v>
      </c>
      <c r="E108" s="8">
        <f>SUM(E104:E107)</f>
        <v>699402.57000000007</v>
      </c>
      <c r="F108" s="8">
        <f>SUM(F104:F107)</f>
        <v>502720.9599999999</v>
      </c>
      <c r="G108" s="8">
        <f>SUM(G104:G107)</f>
        <v>202190.07749999993</v>
      </c>
      <c r="H108" s="12"/>
    </row>
    <row r="109" spans="1:8" x14ac:dyDescent="0.25">
      <c r="A109" s="25"/>
      <c r="B109" s="18"/>
      <c r="C109" s="2"/>
      <c r="D109" s="2"/>
      <c r="E109" s="2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f>C112/4*3</f>
        <v>97500</v>
      </c>
      <c r="E112" s="2"/>
      <c r="F112" s="2">
        <f>C112-E112</f>
        <v>130000</v>
      </c>
      <c r="G112" s="2">
        <f>D112-E112</f>
        <v>97500</v>
      </c>
      <c r="H112" s="12"/>
    </row>
    <row r="113" spans="1:8" x14ac:dyDescent="0.25">
      <c r="A113" s="25"/>
      <c r="B113" s="27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97500</v>
      </c>
      <c r="E115" s="8">
        <f>SUM(E111:E114)</f>
        <v>0</v>
      </c>
      <c r="F115" s="8">
        <f>SUM(F111:F114)</f>
        <v>130000</v>
      </c>
      <c r="G115" s="8">
        <f>SUM(G111:G114)</f>
        <v>97500</v>
      </c>
      <c r="H115" s="12"/>
    </row>
    <row r="116" spans="1:8" ht="15.75" thickBot="1" x14ac:dyDescent="0.3">
      <c r="A116" s="35"/>
      <c r="B116" s="36"/>
      <c r="C116" s="9"/>
      <c r="D116" s="9"/>
      <c r="E116" s="9"/>
      <c r="F116" s="9"/>
      <c r="G116" s="3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E15+E22+E29+E36+E43+E50+E57+E73+E80+E87+E94+E101+E108+E115+E168+E169</f>
        <v>16492412.99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10"/>
      <c r="F122" s="10"/>
      <c r="G122" s="10"/>
      <c r="H122" s="12"/>
    </row>
    <row r="123" spans="1:8" x14ac:dyDescent="0.25">
      <c r="A123" s="22" t="s">
        <v>238</v>
      </c>
      <c r="B123" s="34"/>
      <c r="C123" s="10"/>
      <c r="D123" s="10"/>
      <c r="E123" s="10"/>
      <c r="F123" s="10"/>
      <c r="G123" s="10"/>
      <c r="H123" s="12"/>
    </row>
    <row r="124" spans="1:8" x14ac:dyDescent="0.25">
      <c r="A124" s="33"/>
      <c r="B124" s="34"/>
      <c r="C124" s="10"/>
      <c r="D124" s="10"/>
      <c r="E124" s="10"/>
      <c r="F124" s="10"/>
      <c r="G124" s="10"/>
      <c r="H124" s="12"/>
    </row>
    <row r="125" spans="1:8" ht="15" customHeight="1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5" t="s">
        <v>7</v>
      </c>
      <c r="F125" s="15" t="s">
        <v>8</v>
      </c>
      <c r="G125" s="15" t="s">
        <v>8</v>
      </c>
      <c r="H125" s="12"/>
    </row>
    <row r="126" spans="1:8" ht="15" customHeight="1" x14ac:dyDescent="0.25">
      <c r="A126" s="116"/>
      <c r="B126" s="116"/>
      <c r="C126" s="116"/>
      <c r="D126" s="116"/>
      <c r="E126" s="116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f t="shared" ref="D128:D151" si="13">C128/4*3</f>
        <v>28947</v>
      </c>
      <c r="E128" s="2"/>
      <c r="F128" s="2">
        <f t="shared" ref="F128:F151" si="14">C128-E128</f>
        <v>38596</v>
      </c>
      <c r="G128" s="2">
        <f t="shared" ref="G128:G152" si="15">D128-E128</f>
        <v>28947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f t="shared" si="13"/>
        <v>322500</v>
      </c>
      <c r="E129" s="2">
        <f>19047.59+5400+3600</f>
        <v>28047.59</v>
      </c>
      <c r="F129" s="2">
        <f t="shared" ref="F129:F132" si="16">C129-E129</f>
        <v>401952.41</v>
      </c>
      <c r="G129" s="2">
        <f t="shared" ref="G129:G132" si="17">D129-E129</f>
        <v>294452.40999999997</v>
      </c>
      <c r="H129" s="12"/>
    </row>
    <row r="130" spans="1:10" x14ac:dyDescent="0.25">
      <c r="A130" s="18"/>
      <c r="B130" s="18" t="s">
        <v>88</v>
      </c>
      <c r="C130" s="2">
        <v>120000</v>
      </c>
      <c r="D130" s="2">
        <f t="shared" si="13"/>
        <v>90000</v>
      </c>
      <c r="E130" s="2">
        <v>30000</v>
      </c>
      <c r="F130" s="2">
        <f t="shared" si="16"/>
        <v>90000</v>
      </c>
      <c r="G130" s="2">
        <f t="shared" si="17"/>
        <v>60000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f t="shared" si="13"/>
        <v>225000</v>
      </c>
      <c r="E131" s="2"/>
      <c r="F131" s="2">
        <f t="shared" si="16"/>
        <v>300000</v>
      </c>
      <c r="G131" s="2">
        <f t="shared" si="17"/>
        <v>225000</v>
      </c>
      <c r="H131" s="12"/>
    </row>
    <row r="132" spans="1:10" x14ac:dyDescent="0.25">
      <c r="A132" s="18"/>
      <c r="B132" s="18" t="s">
        <v>166</v>
      </c>
      <c r="C132" s="2">
        <v>200000</v>
      </c>
      <c r="D132" s="2">
        <f t="shared" si="13"/>
        <v>150000</v>
      </c>
      <c r="E132" s="2"/>
      <c r="F132" s="2">
        <f t="shared" si="16"/>
        <v>200000</v>
      </c>
      <c r="G132" s="2">
        <f t="shared" si="17"/>
        <v>150000</v>
      </c>
      <c r="H132" s="12"/>
    </row>
    <row r="133" spans="1:10" x14ac:dyDescent="0.25">
      <c r="A133" s="18"/>
      <c r="B133" s="18" t="s">
        <v>143</v>
      </c>
      <c r="C133" s="2">
        <v>145000</v>
      </c>
      <c r="D133" s="2">
        <f t="shared" si="13"/>
        <v>108750</v>
      </c>
      <c r="E133" s="2">
        <v>3000</v>
      </c>
      <c r="F133" s="2">
        <f t="shared" si="14"/>
        <v>142000</v>
      </c>
      <c r="G133" s="2">
        <f t="shared" si="15"/>
        <v>105750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f t="shared" si="13"/>
        <v>90000</v>
      </c>
      <c r="E134" s="2">
        <v>3450</v>
      </c>
      <c r="F134" s="2">
        <f t="shared" ref="F134:F135" si="18">C134-E134</f>
        <v>116550</v>
      </c>
      <c r="G134" s="2">
        <f t="shared" ref="G134:G135" si="19">D134-E134</f>
        <v>86550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f t="shared" si="13"/>
        <v>56250</v>
      </c>
      <c r="E135" s="2">
        <v>1775</v>
      </c>
      <c r="F135" s="2">
        <f t="shared" si="18"/>
        <v>73225</v>
      </c>
      <c r="G135" s="2">
        <f t="shared" si="19"/>
        <v>54475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f t="shared" si="13"/>
        <v>1125000</v>
      </c>
      <c r="E136" s="2">
        <f>214375+103410+218450+95575+191615+108890+193970</f>
        <v>1126285</v>
      </c>
      <c r="F136" s="2">
        <f t="shared" si="14"/>
        <v>373715</v>
      </c>
      <c r="G136" s="2">
        <f t="shared" si="15"/>
        <v>-1285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f t="shared" si="13"/>
        <v>75000</v>
      </c>
      <c r="E137" s="2"/>
      <c r="F137" s="2">
        <f t="shared" si="14"/>
        <v>100000</v>
      </c>
      <c r="G137" s="2">
        <f t="shared" si="15"/>
        <v>75000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v>150000</v>
      </c>
      <c r="D138" s="2">
        <f t="shared" si="13"/>
        <v>112500</v>
      </c>
      <c r="E138" s="2"/>
      <c r="F138" s="2">
        <f t="shared" ref="F138:F139" si="20">C138-E138</f>
        <v>150000</v>
      </c>
      <c r="G138" s="2">
        <f t="shared" ref="G138:G139" si="21">D138-E138</f>
        <v>112500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f t="shared" si="13"/>
        <v>52500</v>
      </c>
      <c r="E139" s="2"/>
      <c r="F139" s="2">
        <f t="shared" si="20"/>
        <v>70000</v>
      </c>
      <c r="G139" s="2">
        <f t="shared" si="21"/>
        <v>52500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f t="shared" si="13"/>
        <v>225000</v>
      </c>
      <c r="E140" s="2">
        <f>1160+28831</f>
        <v>29991</v>
      </c>
      <c r="F140" s="2">
        <f t="shared" si="14"/>
        <v>270009</v>
      </c>
      <c r="G140" s="2">
        <f t="shared" si="15"/>
        <v>195009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f t="shared" si="13"/>
        <v>15000</v>
      </c>
      <c r="E141" s="2">
        <f>3550+900</f>
        <v>4450</v>
      </c>
      <c r="F141" s="2">
        <f t="shared" ref="F141" si="22">C141-E141</f>
        <v>15550</v>
      </c>
      <c r="G141" s="2">
        <f t="shared" ref="G141" si="23">D141-E141</f>
        <v>10550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f t="shared" si="13"/>
        <v>11250</v>
      </c>
      <c r="E142" s="2"/>
      <c r="F142" s="2">
        <f t="shared" si="14"/>
        <v>15000</v>
      </c>
      <c r="G142" s="2">
        <f t="shared" si="15"/>
        <v>11250</v>
      </c>
      <c r="J142" s="12"/>
    </row>
    <row r="143" spans="1:10" x14ac:dyDescent="0.25">
      <c r="A143" s="18"/>
      <c r="B143" s="18" t="s">
        <v>51</v>
      </c>
      <c r="C143" s="2">
        <v>750000</v>
      </c>
      <c r="D143" s="2">
        <f t="shared" si="13"/>
        <v>562500</v>
      </c>
      <c r="E143" s="2">
        <f>14250+40863.89+16600</f>
        <v>71713.89</v>
      </c>
      <c r="F143" s="2">
        <f t="shared" si="14"/>
        <v>678286.11</v>
      </c>
      <c r="G143" s="2">
        <f t="shared" si="15"/>
        <v>490786.11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f t="shared" si="13"/>
        <v>37500</v>
      </c>
      <c r="E144" s="2"/>
      <c r="F144" s="2">
        <f t="shared" si="14"/>
        <v>50000</v>
      </c>
      <c r="G144" s="2">
        <f t="shared" si="15"/>
        <v>37500</v>
      </c>
    </row>
    <row r="145" spans="1:7" x14ac:dyDescent="0.25">
      <c r="A145" s="18"/>
      <c r="B145" s="18" t="s">
        <v>223</v>
      </c>
      <c r="C145" s="2">
        <v>455427.6</v>
      </c>
      <c r="D145" s="2">
        <f t="shared" si="13"/>
        <v>341570.69999999995</v>
      </c>
      <c r="E145" s="2"/>
      <c r="F145" s="2">
        <f t="shared" si="14"/>
        <v>455427.6</v>
      </c>
      <c r="G145" s="2">
        <f t="shared" si="15"/>
        <v>341570.69999999995</v>
      </c>
    </row>
    <row r="146" spans="1:7" x14ac:dyDescent="0.25">
      <c r="A146" s="18"/>
      <c r="B146" s="18" t="s">
        <v>210</v>
      </c>
      <c r="C146" s="2">
        <v>1200000</v>
      </c>
      <c r="D146" s="2">
        <f t="shared" si="13"/>
        <v>900000</v>
      </c>
      <c r="E146" s="2">
        <f>2200+25000+152824+30000</f>
        <v>210024</v>
      </c>
      <c r="F146" s="2">
        <f t="shared" ref="F146:F150" si="24">C146-E146</f>
        <v>989976</v>
      </c>
      <c r="G146" s="2">
        <f t="shared" ref="G146:G150" si="25">D146-E146</f>
        <v>689976</v>
      </c>
    </row>
    <row r="147" spans="1:7" x14ac:dyDescent="0.25">
      <c r="A147" s="18"/>
      <c r="B147" s="18" t="s">
        <v>211</v>
      </c>
      <c r="C147" s="2">
        <v>500000</v>
      </c>
      <c r="D147" s="2">
        <f t="shared" si="13"/>
        <v>375000</v>
      </c>
      <c r="E147" s="2"/>
      <c r="F147" s="2">
        <f t="shared" si="24"/>
        <v>500000</v>
      </c>
      <c r="G147" s="2">
        <f t="shared" si="25"/>
        <v>375000</v>
      </c>
    </row>
    <row r="148" spans="1:7" x14ac:dyDescent="0.25">
      <c r="A148" s="18"/>
      <c r="B148" s="18" t="s">
        <v>212</v>
      </c>
      <c r="C148" s="2">
        <v>300000</v>
      </c>
      <c r="D148" s="2">
        <f t="shared" si="13"/>
        <v>225000</v>
      </c>
      <c r="E148" s="2">
        <f>4116.65+40000</f>
        <v>44116.65</v>
      </c>
      <c r="F148" s="2">
        <f t="shared" si="24"/>
        <v>255883.35</v>
      </c>
      <c r="G148" s="2">
        <f t="shared" si="25"/>
        <v>180883.35</v>
      </c>
    </row>
    <row r="149" spans="1:7" x14ac:dyDescent="0.25">
      <c r="A149" s="18"/>
      <c r="B149" s="18" t="s">
        <v>213</v>
      </c>
      <c r="C149" s="2">
        <v>375000</v>
      </c>
      <c r="D149" s="2">
        <f t="shared" si="13"/>
        <v>281250</v>
      </c>
      <c r="E149" s="2"/>
      <c r="F149" s="2">
        <f t="shared" si="24"/>
        <v>375000</v>
      </c>
      <c r="G149" s="2">
        <f t="shared" si="25"/>
        <v>281250</v>
      </c>
    </row>
    <row r="150" spans="1:7" x14ac:dyDescent="0.25">
      <c r="A150" s="18"/>
      <c r="B150" s="18" t="s">
        <v>32</v>
      </c>
      <c r="C150" s="2">
        <v>250000</v>
      </c>
      <c r="D150" s="2">
        <f t="shared" si="13"/>
        <v>187500</v>
      </c>
      <c r="E150" s="2">
        <f>945.85+400+15186</f>
        <v>16531.849999999999</v>
      </c>
      <c r="F150" s="2">
        <f t="shared" si="24"/>
        <v>233468.15</v>
      </c>
      <c r="G150" s="2">
        <f t="shared" si="25"/>
        <v>170968.15</v>
      </c>
    </row>
    <row r="151" spans="1:7" x14ac:dyDescent="0.25">
      <c r="A151" s="18"/>
      <c r="B151" s="18" t="s">
        <v>96</v>
      </c>
      <c r="C151" s="2">
        <v>776404</v>
      </c>
      <c r="D151" s="2">
        <f t="shared" si="13"/>
        <v>582303</v>
      </c>
      <c r="E151" s="2">
        <f>194101+194101</f>
        <v>388202</v>
      </c>
      <c r="F151" s="2">
        <f t="shared" si="14"/>
        <v>388202</v>
      </c>
      <c r="G151" s="2">
        <f t="shared" si="15"/>
        <v>194101</v>
      </c>
    </row>
    <row r="152" spans="1:7" x14ac:dyDescent="0.25">
      <c r="A152" s="37"/>
      <c r="B152" s="37"/>
      <c r="C152" s="6"/>
      <c r="D152" s="6"/>
      <c r="E152" s="6"/>
      <c r="F152" s="2"/>
      <c r="G152" s="2">
        <f t="shared" si="15"/>
        <v>0</v>
      </c>
    </row>
    <row r="153" spans="1:7" x14ac:dyDescent="0.25">
      <c r="A153" s="38"/>
      <c r="B153" s="28" t="s">
        <v>27</v>
      </c>
      <c r="C153" s="8">
        <f>SUM(C128:C152)</f>
        <v>8240427.5999999996</v>
      </c>
      <c r="D153" s="8">
        <f>SUM(D128:D152)</f>
        <v>6180320.7000000002</v>
      </c>
      <c r="E153" s="8">
        <f>SUM(E128:E152)</f>
        <v>1957586.98</v>
      </c>
      <c r="F153" s="8">
        <f>SUM(F128:F152)</f>
        <v>6282840.6200000001</v>
      </c>
      <c r="G153" s="8">
        <f>SUM(G128:G152)</f>
        <v>4222733.72</v>
      </c>
    </row>
    <row r="154" spans="1:7" x14ac:dyDescent="0.25">
      <c r="C154" s="7"/>
    </row>
    <row r="155" spans="1:7" x14ac:dyDescent="0.25">
      <c r="C155" s="14"/>
      <c r="E155" s="14"/>
    </row>
    <row r="156" spans="1:7" x14ac:dyDescent="0.25">
      <c r="C156" s="14"/>
    </row>
    <row r="158" spans="1:7" x14ac:dyDescent="0.25">
      <c r="A158" s="13" t="s">
        <v>0</v>
      </c>
      <c r="B158" s="34"/>
      <c r="C158" s="10"/>
      <c r="D158" s="10"/>
      <c r="E158" s="10">
        <f>E155-E157</f>
        <v>0</v>
      </c>
      <c r="F158" s="10"/>
      <c r="G158" s="10"/>
    </row>
    <row r="159" spans="1:7" x14ac:dyDescent="0.25">
      <c r="A159" s="13" t="s">
        <v>1</v>
      </c>
      <c r="B159" s="34"/>
      <c r="C159" s="10"/>
      <c r="D159" s="10"/>
      <c r="E159" s="10"/>
      <c r="F159" s="10"/>
      <c r="G159" s="10"/>
    </row>
    <row r="160" spans="1:7" x14ac:dyDescent="0.25">
      <c r="A160" s="13" t="s">
        <v>2</v>
      </c>
      <c r="B160" s="34"/>
      <c r="C160" s="10"/>
      <c r="D160" s="10"/>
      <c r="E160" s="10"/>
      <c r="F160" s="10"/>
      <c r="G160" s="10"/>
    </row>
    <row r="161" spans="1:9" x14ac:dyDescent="0.25">
      <c r="A161" s="22" t="s">
        <v>238</v>
      </c>
      <c r="B161" s="34"/>
      <c r="C161" s="10"/>
      <c r="D161" s="10"/>
      <c r="E161" s="10"/>
      <c r="F161" s="10"/>
      <c r="G161" s="10"/>
    </row>
    <row r="162" spans="1:9" x14ac:dyDescent="0.25">
      <c r="A162" s="33"/>
      <c r="B162" s="34"/>
      <c r="C162" s="10"/>
      <c r="D162" s="10"/>
      <c r="E162" s="10"/>
      <c r="F162" s="10"/>
      <c r="G162" s="10"/>
    </row>
    <row r="163" spans="1:9" x14ac:dyDescent="0.25">
      <c r="A163" s="115" t="s">
        <v>3</v>
      </c>
      <c r="B163" s="115" t="s">
        <v>4</v>
      </c>
      <c r="C163" s="115" t="s">
        <v>5</v>
      </c>
      <c r="D163" s="115" t="s">
        <v>6</v>
      </c>
      <c r="E163" s="115" t="s">
        <v>7</v>
      </c>
      <c r="F163" s="15" t="s">
        <v>8</v>
      </c>
      <c r="G163" s="15" t="s">
        <v>8</v>
      </c>
    </row>
    <row r="164" spans="1:9" x14ac:dyDescent="0.25">
      <c r="A164" s="116"/>
      <c r="B164" s="116"/>
      <c r="C164" s="116"/>
      <c r="D164" s="116"/>
      <c r="E164" s="116"/>
      <c r="F164" s="16" t="s">
        <v>5</v>
      </c>
      <c r="G164" s="16" t="s">
        <v>6</v>
      </c>
    </row>
    <row r="165" spans="1:9" x14ac:dyDescent="0.25">
      <c r="A165" s="17"/>
      <c r="B165" s="17"/>
      <c r="C165" s="17"/>
      <c r="D165" s="17"/>
      <c r="E165" s="17"/>
      <c r="F165" s="17"/>
      <c r="G165" s="17"/>
    </row>
    <row r="166" spans="1:9" x14ac:dyDescent="0.25">
      <c r="A166" s="18"/>
      <c r="B166" s="26" t="s">
        <v>53</v>
      </c>
      <c r="C166" s="18"/>
      <c r="D166" s="18"/>
      <c r="E166" s="18"/>
      <c r="F166" s="18"/>
      <c r="G166" s="18"/>
    </row>
    <row r="167" spans="1:9" x14ac:dyDescent="0.25">
      <c r="A167" s="18"/>
      <c r="B167" s="27" t="s">
        <v>11</v>
      </c>
      <c r="C167" s="2"/>
      <c r="D167" s="2"/>
      <c r="E167" s="2"/>
      <c r="F167" s="2"/>
      <c r="G167" s="2"/>
    </row>
    <row r="168" spans="1:9" x14ac:dyDescent="0.25">
      <c r="A168" s="18"/>
      <c r="B168" s="4" t="s">
        <v>58</v>
      </c>
      <c r="C168" s="2">
        <v>320000</v>
      </c>
      <c r="D168" s="2">
        <f t="shared" ref="D168:D169" si="26">C168/4*3</f>
        <v>240000</v>
      </c>
      <c r="E168" s="2">
        <f>16993+74825.49+65490.16</f>
        <v>157308.65000000002</v>
      </c>
      <c r="F168" s="2">
        <f t="shared" ref="F168:F188" si="27">C168-E168</f>
        <v>162691.34999999998</v>
      </c>
      <c r="G168" s="2">
        <f t="shared" ref="G168:G188" si="28">D168-E168</f>
        <v>82691.349999999977</v>
      </c>
    </row>
    <row r="169" spans="1:9" x14ac:dyDescent="0.25">
      <c r="A169" s="18"/>
      <c r="B169" s="4" t="s">
        <v>59</v>
      </c>
      <c r="C169" s="2">
        <v>1000000</v>
      </c>
      <c r="D169" s="2">
        <f t="shared" si="26"/>
        <v>750000</v>
      </c>
      <c r="E169" s="2">
        <f>122000+120000+120000+120000+120000+120000+118000</f>
        <v>840000</v>
      </c>
      <c r="F169" s="2">
        <f t="shared" si="27"/>
        <v>160000</v>
      </c>
      <c r="G169" s="2">
        <f t="shared" si="28"/>
        <v>-90000</v>
      </c>
      <c r="I169" s="14">
        <f>E169*12</f>
        <v>10080000</v>
      </c>
    </row>
    <row r="170" spans="1:9" x14ac:dyDescent="0.25">
      <c r="A170" s="18"/>
      <c r="B170" s="27" t="s">
        <v>12</v>
      </c>
      <c r="C170" s="2"/>
      <c r="D170" s="2"/>
      <c r="E170" s="2"/>
      <c r="F170" s="2">
        <f t="shared" si="27"/>
        <v>0</v>
      </c>
      <c r="G170" s="2">
        <f t="shared" si="28"/>
        <v>0</v>
      </c>
    </row>
    <row r="171" spans="1:9" x14ac:dyDescent="0.25">
      <c r="A171" s="18"/>
      <c r="B171" s="4" t="s">
        <v>54</v>
      </c>
      <c r="C171" s="2">
        <v>2419990.09</v>
      </c>
      <c r="D171" s="2">
        <f t="shared" ref="D171:D176" si="29">C171/4*3</f>
        <v>1814992.5674999999</v>
      </c>
      <c r="E171" s="2">
        <v>518150</v>
      </c>
      <c r="F171" s="2">
        <f t="shared" si="27"/>
        <v>1901840.0899999999</v>
      </c>
      <c r="G171" s="2">
        <f t="shared" si="28"/>
        <v>1296842.5674999999</v>
      </c>
      <c r="I171" s="14">
        <f>C171/4</f>
        <v>604997.52249999996</v>
      </c>
    </row>
    <row r="172" spans="1:9" x14ac:dyDescent="0.25">
      <c r="A172" s="18"/>
      <c r="B172" s="4" t="s">
        <v>55</v>
      </c>
      <c r="C172" s="2">
        <v>15000</v>
      </c>
      <c r="D172" s="2">
        <f t="shared" si="29"/>
        <v>11250</v>
      </c>
      <c r="E172" s="2"/>
      <c r="F172" s="2">
        <f t="shared" si="27"/>
        <v>15000</v>
      </c>
      <c r="G172" s="2">
        <f t="shared" si="28"/>
        <v>11250</v>
      </c>
    </row>
    <row r="173" spans="1:9" x14ac:dyDescent="0.25">
      <c r="A173" s="18"/>
      <c r="B173" s="4" t="s">
        <v>56</v>
      </c>
      <c r="C173" s="2">
        <v>20000</v>
      </c>
      <c r="D173" s="2">
        <f t="shared" si="29"/>
        <v>15000</v>
      </c>
      <c r="E173" s="2"/>
      <c r="F173" s="2">
        <f t="shared" si="27"/>
        <v>20000</v>
      </c>
      <c r="G173" s="2">
        <f t="shared" si="28"/>
        <v>15000</v>
      </c>
    </row>
    <row r="174" spans="1:9" x14ac:dyDescent="0.25">
      <c r="A174" s="18"/>
      <c r="B174" s="4" t="s">
        <v>160</v>
      </c>
      <c r="C174" s="2">
        <v>2419990.09</v>
      </c>
      <c r="D174" s="2">
        <f t="shared" si="29"/>
        <v>1814992.5674999999</v>
      </c>
      <c r="E174" s="2">
        <f>8000+8000+16000+8000+486150</f>
        <v>526150</v>
      </c>
      <c r="F174" s="2">
        <f t="shared" si="27"/>
        <v>1893840.0899999999</v>
      </c>
      <c r="G174" s="2">
        <f t="shared" si="28"/>
        <v>1288842.5674999999</v>
      </c>
    </row>
    <row r="175" spans="1:9" x14ac:dyDescent="0.25">
      <c r="A175" s="18"/>
      <c r="B175" s="4" t="s">
        <v>161</v>
      </c>
      <c r="C175" s="2">
        <v>483998.02</v>
      </c>
      <c r="D175" s="2">
        <f t="shared" si="29"/>
        <v>362998.51500000001</v>
      </c>
      <c r="E175" s="2">
        <f>2000+23750+4000</f>
        <v>29750</v>
      </c>
      <c r="F175" s="2">
        <f t="shared" ref="F175" si="30">C175-E175</f>
        <v>454248.02</v>
      </c>
      <c r="G175" s="2">
        <f t="shared" ref="G175" si="31">D175-E175</f>
        <v>333248.51500000001</v>
      </c>
    </row>
    <row r="176" spans="1:9" x14ac:dyDescent="0.25">
      <c r="A176" s="18"/>
      <c r="B176" s="55" t="s">
        <v>162</v>
      </c>
      <c r="C176" s="2">
        <v>412021.38</v>
      </c>
      <c r="D176" s="2">
        <f t="shared" si="29"/>
        <v>309016.03500000003</v>
      </c>
      <c r="E176" s="2"/>
      <c r="F176" s="2">
        <f t="shared" si="27"/>
        <v>412021.38</v>
      </c>
      <c r="G176" s="2">
        <f t="shared" si="28"/>
        <v>309016.03500000003</v>
      </c>
    </row>
    <row r="177" spans="1:7" x14ac:dyDescent="0.25">
      <c r="A177" s="18"/>
      <c r="B177" s="55" t="s">
        <v>225</v>
      </c>
      <c r="C177" s="2"/>
      <c r="D177" s="2"/>
      <c r="E177" s="2"/>
      <c r="F177" s="2"/>
      <c r="G177" s="2"/>
    </row>
    <row r="178" spans="1:7" x14ac:dyDescent="0.25">
      <c r="A178" s="18"/>
      <c r="B178" s="82" t="s">
        <v>226</v>
      </c>
      <c r="C178" s="2">
        <v>10000</v>
      </c>
      <c r="D178" s="2">
        <f t="shared" ref="D178:D182" si="32">C178/4*3</f>
        <v>7500</v>
      </c>
      <c r="E178" s="2"/>
      <c r="F178" s="2">
        <f t="shared" ref="F178:F179" si="33">C178-E178</f>
        <v>10000</v>
      </c>
      <c r="G178" s="2">
        <f t="shared" ref="G178:G179" si="34">D178-E178</f>
        <v>7500</v>
      </c>
    </row>
    <row r="179" spans="1:7" x14ac:dyDescent="0.25">
      <c r="A179" s="18"/>
      <c r="B179" s="55" t="s">
        <v>227</v>
      </c>
      <c r="C179" s="2">
        <v>10000</v>
      </c>
      <c r="D179" s="2">
        <f t="shared" si="32"/>
        <v>7500</v>
      </c>
      <c r="E179" s="2"/>
      <c r="F179" s="2">
        <f t="shared" si="33"/>
        <v>10000</v>
      </c>
      <c r="G179" s="2">
        <f t="shared" si="34"/>
        <v>7500</v>
      </c>
    </row>
    <row r="180" spans="1:7" x14ac:dyDescent="0.25">
      <c r="A180" s="18"/>
      <c r="B180" s="4" t="s">
        <v>228</v>
      </c>
      <c r="C180" s="2">
        <v>100000</v>
      </c>
      <c r="D180" s="2">
        <f t="shared" si="32"/>
        <v>75000</v>
      </c>
      <c r="E180" s="2"/>
      <c r="F180" s="2">
        <f t="shared" si="27"/>
        <v>100000</v>
      </c>
      <c r="G180" s="2">
        <f t="shared" si="28"/>
        <v>75000</v>
      </c>
    </row>
    <row r="181" spans="1:7" x14ac:dyDescent="0.25">
      <c r="A181" s="18"/>
      <c r="B181" s="4" t="s">
        <v>229</v>
      </c>
      <c r="C181" s="2">
        <v>300000</v>
      </c>
      <c r="D181" s="2">
        <f t="shared" si="32"/>
        <v>225000</v>
      </c>
      <c r="E181" s="2">
        <f>74000+13819</f>
        <v>87819</v>
      </c>
      <c r="F181" s="2">
        <f t="shared" ref="F181:F182" si="35">C181-E181</f>
        <v>212181</v>
      </c>
      <c r="G181" s="2">
        <f t="shared" ref="G181:G182" si="36">D181-E181</f>
        <v>137181</v>
      </c>
    </row>
    <row r="182" spans="1:7" x14ac:dyDescent="0.25">
      <c r="A182" s="18"/>
      <c r="B182" s="4" t="s">
        <v>105</v>
      </c>
      <c r="C182" s="2">
        <v>150000</v>
      </c>
      <c r="D182" s="2">
        <f t="shared" si="32"/>
        <v>112500</v>
      </c>
      <c r="E182" s="2"/>
      <c r="F182" s="2">
        <f t="shared" si="35"/>
        <v>150000</v>
      </c>
      <c r="G182" s="2">
        <f t="shared" si="36"/>
        <v>112500</v>
      </c>
    </row>
    <row r="183" spans="1:7" x14ac:dyDescent="0.25">
      <c r="A183" s="18"/>
      <c r="B183" s="27" t="s">
        <v>13</v>
      </c>
      <c r="C183" s="2"/>
      <c r="D183" s="2"/>
      <c r="E183" s="2"/>
      <c r="F183" s="2">
        <f t="shared" si="27"/>
        <v>0</v>
      </c>
      <c r="G183" s="2">
        <f t="shared" si="28"/>
        <v>0</v>
      </c>
    </row>
    <row r="184" spans="1:7" x14ac:dyDescent="0.25">
      <c r="A184" s="18"/>
      <c r="B184" s="4" t="s">
        <v>62</v>
      </c>
      <c r="C184" s="2"/>
      <c r="D184" s="2"/>
      <c r="E184" s="2"/>
      <c r="F184" s="2">
        <f t="shared" si="27"/>
        <v>0</v>
      </c>
      <c r="G184" s="2">
        <f t="shared" si="28"/>
        <v>0</v>
      </c>
    </row>
    <row r="185" spans="1:7" x14ac:dyDescent="0.25">
      <c r="A185" s="18"/>
      <c r="B185" s="83" t="s">
        <v>230</v>
      </c>
      <c r="C185" s="2">
        <v>500000</v>
      </c>
      <c r="D185" s="2">
        <f>C185/4*3</f>
        <v>375000</v>
      </c>
      <c r="E185" s="2"/>
      <c r="F185" s="2">
        <f t="shared" ref="F185" si="37">C185-E185</f>
        <v>500000</v>
      </c>
      <c r="G185" s="2">
        <f t="shared" ref="G185" si="38">D185-E185</f>
        <v>375000</v>
      </c>
    </row>
    <row r="186" spans="1:7" x14ac:dyDescent="0.25">
      <c r="A186" s="18"/>
      <c r="B186" s="4" t="s">
        <v>231</v>
      </c>
      <c r="C186" s="2"/>
      <c r="D186" s="2"/>
      <c r="E186" s="2"/>
      <c r="F186" s="2"/>
      <c r="G186" s="2"/>
    </row>
    <row r="187" spans="1:7" x14ac:dyDescent="0.25">
      <c r="A187" s="18"/>
      <c r="B187" s="83" t="s">
        <v>232</v>
      </c>
      <c r="C187" s="2">
        <v>2000000</v>
      </c>
      <c r="D187" s="2">
        <f t="shared" ref="D187:D188" si="39">C187/4*3</f>
        <v>1500000</v>
      </c>
      <c r="E187" s="2">
        <v>644135</v>
      </c>
      <c r="F187" s="2">
        <f t="shared" si="27"/>
        <v>1355865</v>
      </c>
      <c r="G187" s="2">
        <f t="shared" si="28"/>
        <v>855865</v>
      </c>
    </row>
    <row r="188" spans="1:7" x14ac:dyDescent="0.25">
      <c r="A188" s="18"/>
      <c r="B188" s="4" t="s">
        <v>233</v>
      </c>
      <c r="C188" s="2">
        <v>120000</v>
      </c>
      <c r="D188" s="2">
        <f t="shared" si="39"/>
        <v>90000</v>
      </c>
      <c r="E188" s="2"/>
      <c r="F188" s="2">
        <f t="shared" si="27"/>
        <v>120000</v>
      </c>
      <c r="G188" s="2">
        <f t="shared" si="28"/>
        <v>90000</v>
      </c>
    </row>
    <row r="189" spans="1:7" x14ac:dyDescent="0.25">
      <c r="A189" s="18"/>
      <c r="B189" s="4"/>
      <c r="C189" s="2"/>
      <c r="D189" s="2"/>
      <c r="E189" s="2"/>
      <c r="F189" s="2"/>
      <c r="G189" s="2"/>
    </row>
    <row r="190" spans="1:7" x14ac:dyDescent="0.25">
      <c r="A190" s="18"/>
      <c r="B190" s="39" t="s">
        <v>27</v>
      </c>
      <c r="C190" s="8">
        <f>SUM(C168:C189)</f>
        <v>10280999.579999998</v>
      </c>
      <c r="D190" s="8">
        <f>SUM(D168:D189)</f>
        <v>7710749.6849999996</v>
      </c>
      <c r="E190" s="8">
        <f>SUM(E168:E189)</f>
        <v>2803312.65</v>
      </c>
      <c r="F190" s="8">
        <f>SUM(F168:F189)</f>
        <v>7477686.9299999997</v>
      </c>
      <c r="G190" s="8">
        <f>SUM(G168:G189)</f>
        <v>4907437.0350000001</v>
      </c>
    </row>
    <row r="191" spans="1:7" ht="15.75" thickBot="1" x14ac:dyDescent="0.3">
      <c r="A191" s="40"/>
      <c r="B191" s="41" t="s">
        <v>64</v>
      </c>
      <c r="C191" s="20">
        <f>C190+C153+C115+C108+C101+C94+C87+C80+C73+C57+C50+C43+C36+C29+C22+C15</f>
        <v>48399801.709999993</v>
      </c>
      <c r="D191" s="20">
        <f>D190+D153+D115+D108+D101+D94+D87+D80+D73+D57+D50+D43+D36+D29+D22+D15</f>
        <v>35921101.282499999</v>
      </c>
      <c r="E191" s="20">
        <f>E190+E153+E115+E108+E101+E94+E87+E80+E73+E57+E50+E43+E36+E29+E22+E15</f>
        <v>20256003.969999999</v>
      </c>
      <c r="F191" s="20">
        <f>F190+F153+F115+F108+F101+F94+F87+F80+F73+F57+F50+F43+F36+F29+F22+F15</f>
        <v>28143797.739999998</v>
      </c>
      <c r="G191" s="20">
        <f>G190+G153+G115+G108+G101+G94+G87+G80+G73+G57+G50+G43+G36+G29+G22+G15</f>
        <v>15665097.3125</v>
      </c>
    </row>
    <row r="192" spans="1:7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2"/>
      <c r="F193" s="12"/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C195" s="12"/>
      <c r="D195" s="12"/>
      <c r="E195" s="12"/>
      <c r="F195" s="12"/>
      <c r="G195" s="12"/>
    </row>
    <row r="196" spans="2:12" x14ac:dyDescent="0.25">
      <c r="B196" s="42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114"/>
      <c r="E197" s="114"/>
      <c r="F197" s="12"/>
      <c r="G197" s="12"/>
    </row>
    <row r="198" spans="2:12" x14ac:dyDescent="0.25">
      <c r="C198" s="12"/>
      <c r="D198" s="12" t="s">
        <v>152</v>
      </c>
      <c r="E198" s="12" t="s">
        <v>153</v>
      </c>
      <c r="F198" s="12"/>
      <c r="G198" s="12"/>
      <c r="H198" s="54">
        <v>0.8</v>
      </c>
      <c r="I198" s="12">
        <v>2159415</v>
      </c>
      <c r="L198" s="13">
        <f>20*20</f>
        <v>400</v>
      </c>
    </row>
    <row r="199" spans="2:12" x14ac:dyDescent="0.25">
      <c r="C199" s="12" t="s">
        <v>150</v>
      </c>
      <c r="D199" s="12">
        <f>5518028.2+D46</f>
        <v>6395927.2300000004</v>
      </c>
      <c r="E199" s="12">
        <v>1646631.99</v>
      </c>
      <c r="F199" s="12"/>
      <c r="G199" s="12"/>
      <c r="H199" s="54">
        <v>0.2</v>
      </c>
      <c r="I199" s="12">
        <v>539854</v>
      </c>
      <c r="L199" s="13">
        <f>15*20</f>
        <v>300</v>
      </c>
    </row>
    <row r="200" spans="2:12" x14ac:dyDescent="0.25">
      <c r="C200" s="12" t="s">
        <v>151</v>
      </c>
      <c r="D200" s="12">
        <f>D191-D199</f>
        <v>29525174.052499998</v>
      </c>
      <c r="E200" s="12">
        <v>130701.19</v>
      </c>
      <c r="F200" s="12"/>
      <c r="G200" s="12"/>
      <c r="I200" s="12"/>
    </row>
    <row r="201" spans="2:12" x14ac:dyDescent="0.25">
      <c r="C201" s="53">
        <v>0.2</v>
      </c>
      <c r="D201" s="12"/>
      <c r="E201" s="12">
        <v>133869.85</v>
      </c>
      <c r="F201" s="12"/>
      <c r="G201" s="12"/>
      <c r="I201" s="12"/>
      <c r="L201" s="13">
        <f>SUM(L198:L200)</f>
        <v>700</v>
      </c>
    </row>
    <row r="202" spans="2:12" x14ac:dyDescent="0.25">
      <c r="C202" s="53">
        <v>0.05</v>
      </c>
      <c r="D202" s="12">
        <v>404890.34</v>
      </c>
      <c r="E202" s="12">
        <v>14850</v>
      </c>
      <c r="F202" s="12"/>
      <c r="G202" s="12"/>
      <c r="I202" s="12">
        <f>SUM(I198:I201)</f>
        <v>2699269</v>
      </c>
    </row>
    <row r="203" spans="2:12" x14ac:dyDescent="0.25">
      <c r="C203" s="12" t="s">
        <v>112</v>
      </c>
      <c r="D203" s="12"/>
      <c r="E203" s="12">
        <v>7200</v>
      </c>
      <c r="F203" s="12"/>
      <c r="G203" s="12">
        <f>I202-E191</f>
        <v>-17556734.969999999</v>
      </c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E205" s="12"/>
      <c r="F205" s="12"/>
      <c r="G205" s="12"/>
      <c r="I205" s="12"/>
    </row>
    <row r="206" spans="2:12" x14ac:dyDescent="0.25">
      <c r="C206" s="12" t="s">
        <v>135</v>
      </c>
      <c r="D206" s="12">
        <f>SUM(D199:D205)</f>
        <v>36325991.622500002</v>
      </c>
      <c r="E206" s="12">
        <f>SUM(E199:E205)</f>
        <v>1933253.03</v>
      </c>
      <c r="F206" s="12"/>
      <c r="G206" s="12"/>
      <c r="I206" s="12"/>
    </row>
    <row r="207" spans="2:12" x14ac:dyDescent="0.25">
      <c r="C207" s="12"/>
      <c r="D207" s="12"/>
      <c r="E207" s="12">
        <f>E191-E206</f>
        <v>18322750.939999998</v>
      </c>
      <c r="F207" s="12"/>
      <c r="G207" s="12"/>
      <c r="I207" s="12"/>
    </row>
    <row r="208" spans="2:12" x14ac:dyDescent="0.25">
      <c r="C208" s="12"/>
      <c r="D208" s="12">
        <f>32391227</f>
        <v>32391227</v>
      </c>
      <c r="E208" s="12">
        <f>E206-E191</f>
        <v>-18322750.939999998</v>
      </c>
      <c r="F208" s="12"/>
      <c r="G208" s="12"/>
      <c r="I208" s="12"/>
    </row>
    <row r="209" spans="3:7" x14ac:dyDescent="0.25">
      <c r="C209" s="12"/>
      <c r="D209" s="12">
        <f>D208*5%</f>
        <v>1619561.35</v>
      </c>
      <c r="E209" s="12"/>
      <c r="F209" s="12"/>
      <c r="G209" s="12"/>
    </row>
    <row r="210" spans="3:7" x14ac:dyDescent="0.25">
      <c r="C210" s="12"/>
      <c r="D210" s="12">
        <f>D209/4</f>
        <v>404890.33750000002</v>
      </c>
      <c r="E210" s="12">
        <f>E168+E169</f>
        <v>997308.65</v>
      </c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>
        <f>E199+E200</f>
        <v>1777333.18</v>
      </c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D197:E197"/>
    <mergeCell ref="A125:A126"/>
    <mergeCell ref="B125:B126"/>
    <mergeCell ref="C125:C126"/>
    <mergeCell ref="D125:D126"/>
    <mergeCell ref="E125:E126"/>
    <mergeCell ref="A163:A164"/>
    <mergeCell ref="B163:B164"/>
    <mergeCell ref="C163:C164"/>
    <mergeCell ref="D163:D164"/>
    <mergeCell ref="E163:E164"/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</mergeCells>
  <pageMargins left="0.12" right="0.12" top="0.32" bottom="0.37" header="0.3" footer="0.3"/>
  <pageSetup scale="8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A150" zoomScale="140" zoomScaleNormal="140" workbookViewId="0">
      <selection activeCell="A158" sqref="A158:G197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5" style="93" customWidth="1"/>
    <col min="6" max="6" width="16.28515625" style="13" customWidth="1"/>
    <col min="7" max="7" width="15.71093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239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7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8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94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95"/>
      <c r="F9" s="18"/>
      <c r="G9" s="18"/>
      <c r="I9" s="12">
        <f>8428.54/6</f>
        <v>1404.7566666666669</v>
      </c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96"/>
      <c r="F10" s="2"/>
      <c r="G10" s="2"/>
      <c r="I10" s="12">
        <f>14568.64/9</f>
        <v>1618.7377777777776</v>
      </c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f>C11/4*3</f>
        <v>1303790.28</v>
      </c>
      <c r="E11" s="96">
        <f>137223.36+167223.36+137223.36+157223.36+189811.36+137223.36+137223.36+138222.36</f>
        <v>1201373.8799999999</v>
      </c>
      <c r="F11" s="2">
        <f>C11-E11</f>
        <v>537013.16000000015</v>
      </c>
      <c r="G11" s="2">
        <f>D11-E11</f>
        <v>102416.40000000014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f t="shared" ref="D12:D13" si="0">C12/4*3</f>
        <v>911342.45250000001</v>
      </c>
      <c r="E12" s="96">
        <f>68133.9+66346.33+10000+43240.91+52836.91+112317.5+214312+88720.39</f>
        <v>655907.94000000006</v>
      </c>
      <c r="F12" s="2">
        <f t="shared" ref="F12:F13" si="1">C12-E12</f>
        <v>559215.32999999996</v>
      </c>
      <c r="G12" s="2">
        <f t="shared" ref="G12:G13" si="2">D12-E12</f>
        <v>255434.51249999995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f t="shared" si="0"/>
        <v>112500</v>
      </c>
      <c r="E13" s="96"/>
      <c r="F13" s="2">
        <f t="shared" si="1"/>
        <v>150000</v>
      </c>
      <c r="G13" s="2">
        <f t="shared" si="2"/>
        <v>112500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96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2327632.7324999999</v>
      </c>
      <c r="E15" s="97">
        <f>SUM(E11:E14)</f>
        <v>1857281.8199999998</v>
      </c>
      <c r="F15" s="8">
        <f>SUM(F11:F14)</f>
        <v>1246228.4900000002</v>
      </c>
      <c r="G15" s="8">
        <f>SUM(G11:G14)</f>
        <v>470350.91250000009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96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96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f t="shared" ref="D18:D20" si="3">C18/4*3</f>
        <v>6438819.8700000001</v>
      </c>
      <c r="E18" s="96">
        <f>603278.41+936306.35+603278.41+623357.41+843407.41+603357.41+603357.41+603368.68</f>
        <v>5419711.4900000002</v>
      </c>
      <c r="F18" s="2">
        <f>C18-E18</f>
        <v>3165381.67</v>
      </c>
      <c r="G18" s="2">
        <f>D18-E18</f>
        <v>1019108.3799999999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f t="shared" si="3"/>
        <v>885702.27</v>
      </c>
      <c r="E19" s="96">
        <f>119020+28460+11000+12060+116756+32818+133520</f>
        <v>453634</v>
      </c>
      <c r="F19" s="2">
        <f>C19-E19</f>
        <v>727302.3600000001</v>
      </c>
      <c r="G19" s="2">
        <f>D19-E19</f>
        <v>432068.27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f t="shared" si="3"/>
        <v>90000</v>
      </c>
      <c r="E20" s="96"/>
      <c r="F20" s="2">
        <f>C20-E20</f>
        <v>120000</v>
      </c>
      <c r="G20" s="2">
        <f>D20-E20</f>
        <v>90000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96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7414522.1400000006</v>
      </c>
      <c r="E22" s="97">
        <f>SUM(E18:E21)</f>
        <v>5873345.4900000002</v>
      </c>
      <c r="F22" s="8">
        <f>SUM(F18:F21)</f>
        <v>4012684.0300000003</v>
      </c>
      <c r="G22" s="8">
        <f>SUM(G18:G21)</f>
        <v>1541176.65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96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96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f t="shared" ref="D25:D27" si="4">C25/4*3</f>
        <v>810051.24</v>
      </c>
      <c r="E25" s="96">
        <f>81375.15+96375.15+81375.15+96524.11+117488.61+81524.11+81524.11+81524.11</f>
        <v>717710.5</v>
      </c>
      <c r="F25" s="2">
        <f>C25-E25</f>
        <v>362357.82000000007</v>
      </c>
      <c r="G25" s="2">
        <f>D25-E25</f>
        <v>92340.739999999991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f t="shared" si="4"/>
        <v>113464.08750000001</v>
      </c>
      <c r="E26" s="96">
        <f>4140+6862+7000</f>
        <v>18002</v>
      </c>
      <c r="F26" s="2">
        <f>C26-E26</f>
        <v>133283.45000000001</v>
      </c>
      <c r="G26" s="2">
        <f>D26-E26</f>
        <v>95462.087500000009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f t="shared" si="4"/>
        <v>22500</v>
      </c>
      <c r="E27" s="96"/>
      <c r="F27" s="2">
        <f>C27-E27</f>
        <v>30000</v>
      </c>
      <c r="G27" s="2">
        <f>D27-E27</f>
        <v>22500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96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946015.32750000001</v>
      </c>
      <c r="E29" s="97">
        <f>SUM(E25:E28)</f>
        <v>735712.5</v>
      </c>
      <c r="F29" s="8">
        <f>SUM(F25:F28)</f>
        <v>525641.27</v>
      </c>
      <c r="G29" s="8">
        <f>SUM(G25:G28)</f>
        <v>210302.82750000001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96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96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f t="shared" ref="D32:D34" si="5">C32/4*3</f>
        <v>625208.97</v>
      </c>
      <c r="E32" s="96">
        <f>63327.47+73327.47+63327.47+73327.47+89719.47+63374.55+63327.47+63327.47</f>
        <v>553058.84</v>
      </c>
      <c r="F32" s="2">
        <f>C32-E32</f>
        <v>280553.12</v>
      </c>
      <c r="G32" s="2">
        <f>D32-E32</f>
        <v>72150.13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f t="shared" si="5"/>
        <v>89224.65</v>
      </c>
      <c r="E33" s="96">
        <f>2000+2930+6487+4000+46007+2000</f>
        <v>63424</v>
      </c>
      <c r="F33" s="2">
        <f>C33-E33</f>
        <v>55542.2</v>
      </c>
      <c r="G33" s="2">
        <f>D33-E33</f>
        <v>25800.649999999994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f t="shared" si="5"/>
        <v>18750</v>
      </c>
      <c r="E34" s="96"/>
      <c r="F34" s="2">
        <f>C34-E34</f>
        <v>25000</v>
      </c>
      <c r="G34" s="2">
        <f>D34-E34</f>
        <v>18750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96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733183.62</v>
      </c>
      <c r="E36" s="97">
        <f>SUM(E32:E35)</f>
        <v>616482.84</v>
      </c>
      <c r="F36" s="8">
        <f>SUM(F32:F35)</f>
        <v>361095.32</v>
      </c>
      <c r="G36" s="8">
        <f>SUM(G32:G35)</f>
        <v>116700.78</v>
      </c>
      <c r="L36" s="12"/>
    </row>
    <row r="37" spans="1:13" x14ac:dyDescent="0.25">
      <c r="A37" s="25"/>
      <c r="B37" s="18"/>
      <c r="C37" s="2"/>
      <c r="D37" s="2"/>
      <c r="E37" s="96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96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f t="shared" ref="D39:D41" si="6">C39/4*3</f>
        <v>514981.35000000003</v>
      </c>
      <c r="E39" s="96">
        <f>53003.9+58003.9+53003.9+58003.9+73301.4+53003.9+53003.9+53003.9</f>
        <v>454328.70000000007</v>
      </c>
      <c r="F39" s="2">
        <f>C39-E39</f>
        <v>232313.09999999998</v>
      </c>
      <c r="G39" s="2">
        <f>D39-E39</f>
        <v>60652.649999999965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f t="shared" si="6"/>
        <v>86207.887500000012</v>
      </c>
      <c r="E40" s="96">
        <f>2000+5200+4218+24350+19795</f>
        <v>55563</v>
      </c>
      <c r="F40" s="2">
        <f>C40-E40</f>
        <v>59380.850000000006</v>
      </c>
      <c r="G40" s="2">
        <f>D40-E40</f>
        <v>30644.887500000012</v>
      </c>
    </row>
    <row r="41" spans="1:13" x14ac:dyDescent="0.25">
      <c r="A41" s="25"/>
      <c r="B41" s="27" t="s">
        <v>13</v>
      </c>
      <c r="C41" s="2">
        <v>35000</v>
      </c>
      <c r="D41" s="2">
        <f t="shared" si="6"/>
        <v>26250</v>
      </c>
      <c r="E41" s="96"/>
      <c r="F41" s="2">
        <f>C41-E41</f>
        <v>35000</v>
      </c>
      <c r="G41" s="2">
        <f>D41-E41</f>
        <v>26250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96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627439.23750000005</v>
      </c>
      <c r="E43" s="97">
        <f>SUM(E39:E42)</f>
        <v>509891.70000000007</v>
      </c>
      <c r="F43" s="8">
        <f>SUM(F39:F42)</f>
        <v>326693.94999999995</v>
      </c>
      <c r="G43" s="8">
        <f>SUM(G39:G42)</f>
        <v>117547.53749999998</v>
      </c>
    </row>
    <row r="44" spans="1:13" x14ac:dyDescent="0.25">
      <c r="A44" s="25"/>
      <c r="B44" s="18"/>
      <c r="C44" s="2"/>
      <c r="D44" s="2"/>
      <c r="E44" s="96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96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f t="shared" ref="D46:D48" si="7">C46/4*3</f>
        <v>877899.03</v>
      </c>
      <c r="E46" s="96">
        <f>46303.17+61303.17+46303.17+61303.17+66713.67+46303.17+46303.17+46303.17</f>
        <v>420835.85999999993</v>
      </c>
      <c r="F46" s="2">
        <f>C46-E46</f>
        <v>749696.18000000017</v>
      </c>
      <c r="G46" s="2">
        <f>D46-E46</f>
        <v>457063.1700000001</v>
      </c>
    </row>
    <row r="47" spans="1:13" x14ac:dyDescent="0.25">
      <c r="A47" s="25"/>
      <c r="B47" s="27" t="s">
        <v>12</v>
      </c>
      <c r="C47" s="2">
        <v>225508</v>
      </c>
      <c r="D47" s="2">
        <f t="shared" si="7"/>
        <v>169131</v>
      </c>
      <c r="E47" s="96">
        <f>9700+1000+1000+1000+36061+41748.75+4080</f>
        <v>94589.75</v>
      </c>
      <c r="F47" s="2">
        <f>C47-E47</f>
        <v>130918.25</v>
      </c>
      <c r="G47" s="2">
        <f>D47-E47</f>
        <v>74541.25</v>
      </c>
    </row>
    <row r="48" spans="1:13" x14ac:dyDescent="0.25">
      <c r="A48" s="25"/>
      <c r="B48" s="27" t="s">
        <v>13</v>
      </c>
      <c r="C48" s="2">
        <v>25000</v>
      </c>
      <c r="D48" s="2">
        <f t="shared" si="7"/>
        <v>18750</v>
      </c>
      <c r="E48" s="96"/>
      <c r="F48" s="2">
        <f>C48-E48</f>
        <v>25000</v>
      </c>
      <c r="G48" s="2">
        <f>D48-E48</f>
        <v>18750</v>
      </c>
      <c r="H48" s="12"/>
    </row>
    <row r="49" spans="1:8" x14ac:dyDescent="0.25">
      <c r="A49" s="25"/>
      <c r="B49" s="27" t="s">
        <v>14</v>
      </c>
      <c r="C49" s="2"/>
      <c r="D49" s="2"/>
      <c r="E49" s="96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1065780.03</v>
      </c>
      <c r="E50" s="97">
        <f>SUM(E46:E49)</f>
        <v>515425.60999999993</v>
      </c>
      <c r="F50" s="8">
        <f>SUM(F46:F49)</f>
        <v>905614.43000000017</v>
      </c>
      <c r="G50" s="8">
        <f>SUM(G46:G49)</f>
        <v>550354.42000000016</v>
      </c>
      <c r="H50" s="12"/>
    </row>
    <row r="51" spans="1:8" x14ac:dyDescent="0.25">
      <c r="A51" s="25"/>
      <c r="B51" s="18"/>
      <c r="C51" s="2"/>
      <c r="D51" s="2"/>
      <c r="E51" s="96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96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f t="shared" ref="D53:D55" si="8">C53/4*3</f>
        <v>1294922.22</v>
      </c>
      <c r="E53" s="96">
        <f>127589.33+162589.33+127589.33+162589.33+190014.83+127589.33+127589.33+127589.33</f>
        <v>1153140.1399999999</v>
      </c>
      <c r="F53" s="2">
        <f>C53-E53</f>
        <v>573422.82000000007</v>
      </c>
      <c r="G53" s="2">
        <f>D53-E53</f>
        <v>141782.08000000007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f t="shared" si="8"/>
        <v>285654.03749999998</v>
      </c>
      <c r="E54" s="96">
        <f>7700+17777+1200+20827.9+18450+78025.44+62720.5+26159</f>
        <v>232859.84</v>
      </c>
      <c r="F54" s="2">
        <f>C54-E54</f>
        <v>148012.21</v>
      </c>
      <c r="G54" s="2">
        <f>D54-E54</f>
        <v>52794.19749999998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f t="shared" si="8"/>
        <v>45000</v>
      </c>
      <c r="E55" s="96"/>
      <c r="F55" s="2">
        <f>C55-E55</f>
        <v>60000</v>
      </c>
      <c r="G55" s="2">
        <f>D55-E55</f>
        <v>45000</v>
      </c>
      <c r="H55" s="12"/>
    </row>
    <row r="56" spans="1:8" x14ac:dyDescent="0.25">
      <c r="A56" s="25"/>
      <c r="B56" s="27" t="s">
        <v>14</v>
      </c>
      <c r="C56" s="2"/>
      <c r="D56" s="2"/>
      <c r="E56" s="96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1625576.2574999998</v>
      </c>
      <c r="E57" s="97">
        <f>SUM(E53:E56)</f>
        <v>1385999.98</v>
      </c>
      <c r="F57" s="8">
        <f>SUM(F53:F56)</f>
        <v>781435.03</v>
      </c>
      <c r="G57" s="8">
        <f>SUM(G53:G56)</f>
        <v>239576.27750000005</v>
      </c>
      <c r="H57" s="12"/>
    </row>
    <row r="58" spans="1:8" ht="15.75" thickBot="1" x14ac:dyDescent="0.3">
      <c r="A58" s="30"/>
      <c r="B58" s="31"/>
      <c r="C58" s="9"/>
      <c r="D58" s="9"/>
      <c r="E58" s="98"/>
      <c r="F58" s="9"/>
      <c r="G58" s="32"/>
      <c r="H58" s="12"/>
    </row>
    <row r="59" spans="1:8" x14ac:dyDescent="0.25">
      <c r="A59" s="33"/>
      <c r="B59" s="34"/>
      <c r="C59" s="10"/>
      <c r="D59" s="10"/>
      <c r="E59" s="99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99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99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99"/>
      <c r="F62" s="10"/>
      <c r="G62" s="10"/>
      <c r="H62" s="12"/>
    </row>
    <row r="63" spans="1:8" x14ac:dyDescent="0.25">
      <c r="A63" s="22" t="s">
        <v>239</v>
      </c>
      <c r="B63" s="34"/>
      <c r="C63" s="10"/>
      <c r="D63" s="10"/>
      <c r="E63" s="99"/>
      <c r="F63" s="10"/>
      <c r="G63" s="10"/>
      <c r="H63" s="12"/>
    </row>
    <row r="64" spans="1:8" x14ac:dyDescent="0.25">
      <c r="A64" s="33"/>
      <c r="B64" s="34"/>
      <c r="C64" s="10"/>
      <c r="D64" s="10"/>
      <c r="E64" s="99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7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8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00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96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f t="shared" ref="D69:D71" si="9">C69/4*3</f>
        <v>643789.44000000006</v>
      </c>
      <c r="E69" s="96">
        <f>65251.06+75251.06+65251.06+75251.06+92503.06+65251.06+65314.76+65251.06</f>
        <v>569324.17999999993</v>
      </c>
      <c r="F69" s="2">
        <f>C69-E69</f>
        <v>289061.74000000011</v>
      </c>
      <c r="G69" s="2">
        <f>D69-E69</f>
        <v>74465.260000000126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f t="shared" si="9"/>
        <v>92574.712499999994</v>
      </c>
      <c r="E70" s="96">
        <f>2000+5300+2000+23853+34197+5971</f>
        <v>73321</v>
      </c>
      <c r="F70" s="2">
        <f>C70-E70</f>
        <v>50111.95</v>
      </c>
      <c r="G70" s="2">
        <f>D70-E70</f>
        <v>19253.712499999994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f t="shared" si="9"/>
        <v>22500</v>
      </c>
      <c r="E71" s="96"/>
      <c r="F71" s="2">
        <f>C71-E71</f>
        <v>30000</v>
      </c>
      <c r="G71" s="2">
        <f>D71-E71</f>
        <v>22500</v>
      </c>
      <c r="H71" s="12"/>
    </row>
    <row r="72" spans="1:8" x14ac:dyDescent="0.25">
      <c r="A72" s="25"/>
      <c r="B72" s="27" t="s">
        <v>14</v>
      </c>
      <c r="C72" s="2"/>
      <c r="D72" s="2"/>
      <c r="E72" s="96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758864.15250000008</v>
      </c>
      <c r="E73" s="97">
        <f>SUM(E69:E72)</f>
        <v>642645.17999999993</v>
      </c>
      <c r="F73" s="8">
        <f>SUM(F69:F72)</f>
        <v>369173.69000000012</v>
      </c>
      <c r="G73" s="8">
        <f>SUM(G69:G72)</f>
        <v>116218.97250000012</v>
      </c>
      <c r="H73" s="12"/>
    </row>
    <row r="74" spans="1:8" x14ac:dyDescent="0.25">
      <c r="A74" s="25"/>
      <c r="B74" s="18"/>
      <c r="C74" s="2"/>
      <c r="D74" s="2"/>
      <c r="E74" s="96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2"/>
      <c r="E75" s="96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f t="shared" ref="D76:D77" si="10">C76/4*3</f>
        <v>899687.22</v>
      </c>
      <c r="E76" s="96">
        <f>43617.35+89117.35+43617.35+67471.91+52508.45+55487.21+44524.59+44524.59</f>
        <v>440868.80000000005</v>
      </c>
      <c r="F76" s="2">
        <f>C76-E76</f>
        <v>758714.15999999992</v>
      </c>
      <c r="G76" s="2">
        <f>D76-E76</f>
        <v>458818.41999999993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f t="shared" si="10"/>
        <v>618006.59250000003</v>
      </c>
      <c r="E77" s="96">
        <f>65119.58+36394.25+745.65+23126.19+7219.48+320382.17+60826.33</f>
        <v>513813.64999999997</v>
      </c>
      <c r="F77" s="2">
        <f>C77-E77</f>
        <v>310195.14000000007</v>
      </c>
      <c r="G77" s="2">
        <f>D77-E77</f>
        <v>104192.94250000006</v>
      </c>
      <c r="H77" s="12"/>
    </row>
    <row r="78" spans="1:8" x14ac:dyDescent="0.25">
      <c r="A78" s="25"/>
      <c r="B78" s="27" t="s">
        <v>13</v>
      </c>
      <c r="C78" s="2"/>
      <c r="D78" s="2"/>
      <c r="E78" s="96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96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1517693.8125</v>
      </c>
      <c r="E80" s="97">
        <f>SUM(E76:E79)</f>
        <v>954682.45</v>
      </c>
      <c r="F80" s="8">
        <f>SUM(F76:F79)</f>
        <v>1068909.3</v>
      </c>
      <c r="G80" s="8">
        <f>SUM(G76:G79)</f>
        <v>563011.36250000005</v>
      </c>
      <c r="H80" s="12"/>
    </row>
    <row r="81" spans="1:8" x14ac:dyDescent="0.25">
      <c r="A81" s="25"/>
      <c r="B81" s="18"/>
      <c r="C81" s="2"/>
      <c r="D81" s="2"/>
      <c r="E81" s="96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96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f>C83/4*3</f>
        <v>2377401.9000000004</v>
      </c>
      <c r="E83" s="96">
        <f>238901.81+278901.81+238901.81+278901.81+344605.81+237251.81+237251.81+237251.81</f>
        <v>2091968.4800000002</v>
      </c>
      <c r="F83" s="2">
        <f>C83-E83</f>
        <v>1077900.72</v>
      </c>
      <c r="G83" s="2">
        <f>D83-E83</f>
        <v>285433.42000000016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f>C84/4*3</f>
        <v>144291</v>
      </c>
      <c r="E84" s="96">
        <f>23860+10876.16+18548.32+55650+27930</f>
        <v>136864.48000000001</v>
      </c>
      <c r="F84" s="2">
        <f>C84-E84</f>
        <v>55523.51999999999</v>
      </c>
      <c r="G84" s="2">
        <f>D84-E84</f>
        <v>7426.5199999999895</v>
      </c>
      <c r="H84" s="12"/>
    </row>
    <row r="85" spans="1:8" x14ac:dyDescent="0.25">
      <c r="A85" s="25"/>
      <c r="B85" s="27" t="s">
        <v>13</v>
      </c>
      <c r="C85" s="2"/>
      <c r="D85" s="2"/>
      <c r="E85" s="96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96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2521692.9000000004</v>
      </c>
      <c r="E87" s="97">
        <f>SUM(E83:E86)</f>
        <v>2228832.9600000004</v>
      </c>
      <c r="F87" s="8">
        <f>SUM(F83:F86)</f>
        <v>1133424.24</v>
      </c>
      <c r="G87" s="8">
        <f>SUM(G83:G86)</f>
        <v>292859.94000000018</v>
      </c>
      <c r="H87" s="12"/>
    </row>
    <row r="88" spans="1:8" x14ac:dyDescent="0.25">
      <c r="A88" s="25"/>
      <c r="B88" s="18"/>
      <c r="C88" s="2"/>
      <c r="D88" s="2"/>
      <c r="E88" s="96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96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f t="shared" ref="D90:D92" si="11">C90/4*3</f>
        <v>918670.26</v>
      </c>
      <c r="E90" s="96">
        <f>82617.57+102617.57+82617.57+102617.57+124557.57+82617.57+82617.57+82617.57</f>
        <v>742880.56</v>
      </c>
      <c r="F90" s="2">
        <f>C90-E90</f>
        <v>482013.11999999988</v>
      </c>
      <c r="G90" s="2">
        <f>D90-E90</f>
        <v>175789.69999999995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f t="shared" si="11"/>
        <v>156726</v>
      </c>
      <c r="E91" s="96">
        <f>6000+5454+2500+36480+12246</f>
        <v>62680</v>
      </c>
      <c r="F91" s="2">
        <f>C91-E91</f>
        <v>146288</v>
      </c>
      <c r="G91" s="2">
        <f>D91-E91</f>
        <v>94046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f t="shared" si="11"/>
        <v>22500</v>
      </c>
      <c r="E92" s="96"/>
      <c r="F92" s="2">
        <f>C92-E92</f>
        <v>30000</v>
      </c>
      <c r="G92" s="2">
        <f>D92-E92</f>
        <v>22500</v>
      </c>
      <c r="H92" s="12"/>
    </row>
    <row r="93" spans="1:8" x14ac:dyDescent="0.25">
      <c r="A93" s="25"/>
      <c r="B93" s="27" t="s">
        <v>14</v>
      </c>
      <c r="C93" s="2"/>
      <c r="D93" s="2"/>
      <c r="E93" s="96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1097896.26</v>
      </c>
      <c r="E94" s="97">
        <f>SUM(E90:E93)</f>
        <v>805560.56</v>
      </c>
      <c r="F94" s="8">
        <f>SUM(F90:F93)</f>
        <v>658301.11999999988</v>
      </c>
      <c r="G94" s="8">
        <f>SUM(G90:G93)</f>
        <v>292335.69999999995</v>
      </c>
      <c r="H94" s="12"/>
    </row>
    <row r="95" spans="1:8" x14ac:dyDescent="0.25">
      <c r="A95" s="25"/>
      <c r="B95" s="18"/>
      <c r="C95" s="2"/>
      <c r="D95" s="2"/>
      <c r="E95" s="96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96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f t="shared" ref="D97:D98" si="12">C97/4*3</f>
        <v>695751.78</v>
      </c>
      <c r="E97" s="96">
        <f>63960.58+78960.58+123960.58+64700.76+121993.43+54700.76+52700.76+52700.76</f>
        <v>613678.21</v>
      </c>
      <c r="F97" s="2">
        <f>C97-E97</f>
        <v>313990.83000000007</v>
      </c>
      <c r="G97" s="2">
        <f>D97-E97</f>
        <v>82073.570000000065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f t="shared" si="12"/>
        <v>77640</v>
      </c>
      <c r="E98" s="96">
        <f>3000+9240+27855+3030</f>
        <v>43125</v>
      </c>
      <c r="F98" s="2">
        <f>C98-E98</f>
        <v>60395</v>
      </c>
      <c r="G98" s="2">
        <f>D98-E98</f>
        <v>34515</v>
      </c>
      <c r="H98" s="12"/>
    </row>
    <row r="99" spans="1:8" x14ac:dyDescent="0.25">
      <c r="A99" s="25"/>
      <c r="B99" s="27" t="s">
        <v>13</v>
      </c>
      <c r="C99" s="2"/>
      <c r="D99" s="2"/>
      <c r="E99" s="96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96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773391.78</v>
      </c>
      <c r="E101" s="97">
        <f>SUM(E97:E100)</f>
        <v>656803.21</v>
      </c>
      <c r="F101" s="8">
        <f>SUM(F97:F100)</f>
        <v>374385.83000000007</v>
      </c>
      <c r="G101" s="8">
        <f>SUM(G97:G100)</f>
        <v>116588.57000000007</v>
      </c>
      <c r="H101" s="12"/>
    </row>
    <row r="102" spans="1:8" x14ac:dyDescent="0.25">
      <c r="A102" s="25"/>
      <c r="B102" s="18"/>
      <c r="C102" s="2"/>
      <c r="D102" s="2"/>
      <c r="E102" s="96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96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f t="shared" ref="D104:D105" si="13">C104/4*3</f>
        <v>851040.36</v>
      </c>
      <c r="E104" s="96">
        <f>84930+99930+85263.57+99930+123055+84930+84930+87535.18</f>
        <v>750503.75</v>
      </c>
      <c r="F104" s="2">
        <f>C104-E104</f>
        <v>384216.73</v>
      </c>
      <c r="G104" s="2">
        <f>D104-E104</f>
        <v>100536.60999999999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f t="shared" si="13"/>
        <v>50552.287500000006</v>
      </c>
      <c r="E105" s="96">
        <f>515+12069+23850</f>
        <v>36434</v>
      </c>
      <c r="F105" s="2">
        <f>C105-E105</f>
        <v>30969.050000000003</v>
      </c>
      <c r="G105" s="2">
        <f>D105-E105</f>
        <v>14118.287500000006</v>
      </c>
      <c r="H105" s="12"/>
    </row>
    <row r="106" spans="1:8" x14ac:dyDescent="0.25">
      <c r="A106" s="25"/>
      <c r="B106" s="27" t="s">
        <v>13</v>
      </c>
      <c r="C106" s="2"/>
      <c r="D106" s="2"/>
      <c r="E106" s="96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96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901592.64749999996</v>
      </c>
      <c r="E108" s="97">
        <f>SUM(E104:E107)</f>
        <v>786937.75</v>
      </c>
      <c r="F108" s="8">
        <f>SUM(F104:F107)</f>
        <v>415185.77999999997</v>
      </c>
      <c r="G108" s="8">
        <f>SUM(G104:G107)</f>
        <v>114654.89749999999</v>
      </c>
      <c r="H108" s="12"/>
    </row>
    <row r="109" spans="1:8" x14ac:dyDescent="0.25">
      <c r="A109" s="25"/>
      <c r="B109" s="18"/>
      <c r="C109" s="2"/>
      <c r="D109" s="2"/>
      <c r="E109" s="96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96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96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f>C112/4*3</f>
        <v>97500</v>
      </c>
      <c r="E112" s="96"/>
      <c r="F112" s="2">
        <f>C112-E112</f>
        <v>130000</v>
      </c>
      <c r="G112" s="2">
        <f>D112-E112</f>
        <v>97500</v>
      </c>
      <c r="H112" s="12"/>
    </row>
    <row r="113" spans="1:8" x14ac:dyDescent="0.25">
      <c r="A113" s="25"/>
      <c r="B113" s="27" t="s">
        <v>13</v>
      </c>
      <c r="C113" s="2"/>
      <c r="D113" s="2"/>
      <c r="E113" s="96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96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97500</v>
      </c>
      <c r="E115" s="97">
        <f>SUM(E111:E114)</f>
        <v>0</v>
      </c>
      <c r="F115" s="8">
        <f>SUM(F111:F114)</f>
        <v>130000</v>
      </c>
      <c r="G115" s="8">
        <f>SUM(G111:G114)</f>
        <v>97500</v>
      </c>
      <c r="H115" s="12"/>
    </row>
    <row r="116" spans="1:8" ht="15.75" thickBot="1" x14ac:dyDescent="0.3">
      <c r="A116" s="35"/>
      <c r="B116" s="36"/>
      <c r="C116" s="9"/>
      <c r="D116" s="9"/>
      <c r="E116" s="98"/>
      <c r="F116" s="9"/>
      <c r="G116" s="32"/>
      <c r="H116" s="12"/>
    </row>
    <row r="117" spans="1:8" x14ac:dyDescent="0.25">
      <c r="C117" s="12"/>
      <c r="D117" s="12"/>
      <c r="E117" s="101"/>
      <c r="F117" s="12"/>
      <c r="G117" s="12"/>
      <c r="H117" s="12"/>
    </row>
    <row r="118" spans="1:8" x14ac:dyDescent="0.25">
      <c r="C118" s="12"/>
      <c r="D118" s="12"/>
      <c r="E118" s="101">
        <f>E15+E22+E29+E36+E43+E50+E57+E73+E80+E87+E94+E101+E108+E115+E168+E169</f>
        <v>18581516.240000002</v>
      </c>
      <c r="F118" s="12"/>
      <c r="G118" s="12"/>
      <c r="H118" s="12"/>
    </row>
    <row r="119" spans="1:8" x14ac:dyDescent="0.25">
      <c r="C119" s="12"/>
      <c r="D119" s="12"/>
      <c r="E119" s="101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99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99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99"/>
      <c r="F122" s="10"/>
      <c r="G122" s="10"/>
      <c r="H122" s="12"/>
    </row>
    <row r="123" spans="1:8" x14ac:dyDescent="0.25">
      <c r="A123" s="22" t="s">
        <v>239</v>
      </c>
      <c r="B123" s="34"/>
      <c r="C123" s="10"/>
      <c r="D123" s="10"/>
      <c r="E123" s="99"/>
      <c r="F123" s="10"/>
      <c r="G123" s="10"/>
      <c r="H123" s="12"/>
    </row>
    <row r="124" spans="1:8" x14ac:dyDescent="0.25">
      <c r="A124" s="33"/>
      <c r="B124" s="34"/>
      <c r="C124" s="10"/>
      <c r="D124" s="10"/>
      <c r="E124" s="99"/>
      <c r="F124" s="10"/>
      <c r="G124" s="10"/>
      <c r="H124" s="12"/>
    </row>
    <row r="125" spans="1:8" ht="15" customHeight="1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7" t="s">
        <v>7</v>
      </c>
      <c r="F125" s="15" t="s">
        <v>8</v>
      </c>
      <c r="G125" s="15" t="s">
        <v>8</v>
      </c>
      <c r="H125" s="12"/>
    </row>
    <row r="126" spans="1:8" ht="15" customHeight="1" x14ac:dyDescent="0.25">
      <c r="A126" s="116"/>
      <c r="B126" s="116"/>
      <c r="C126" s="116"/>
      <c r="D126" s="116"/>
      <c r="E126" s="118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00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f t="shared" ref="D128:D151" si="14">C128/4*3</f>
        <v>28947</v>
      </c>
      <c r="E128" s="96"/>
      <c r="F128" s="2">
        <f t="shared" ref="F128:F145" si="15">C128-E128</f>
        <v>38596</v>
      </c>
      <c r="G128" s="2">
        <f t="shared" ref="G128:G152" si="16">D128-E128</f>
        <v>28947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f t="shared" si="14"/>
        <v>322500</v>
      </c>
      <c r="E129" s="96">
        <f>19047.59+5400+3600+6000</f>
        <v>34047.589999999997</v>
      </c>
      <c r="F129" s="2">
        <f t="shared" si="15"/>
        <v>395952.41000000003</v>
      </c>
      <c r="G129" s="2">
        <f t="shared" si="16"/>
        <v>288452.41000000003</v>
      </c>
      <c r="H129" s="12"/>
    </row>
    <row r="130" spans="1:10" x14ac:dyDescent="0.25">
      <c r="A130" s="18"/>
      <c r="B130" s="18" t="s">
        <v>88</v>
      </c>
      <c r="C130" s="2">
        <v>120000</v>
      </c>
      <c r="D130" s="2">
        <f t="shared" si="14"/>
        <v>90000</v>
      </c>
      <c r="E130" s="96">
        <f>30000+19849</f>
        <v>49849</v>
      </c>
      <c r="F130" s="2">
        <f t="shared" si="15"/>
        <v>70151</v>
      </c>
      <c r="G130" s="2">
        <f t="shared" si="16"/>
        <v>40151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f t="shared" si="14"/>
        <v>225000</v>
      </c>
      <c r="E131" s="96"/>
      <c r="F131" s="2">
        <f t="shared" si="15"/>
        <v>300000</v>
      </c>
      <c r="G131" s="2">
        <f t="shared" si="16"/>
        <v>225000</v>
      </c>
      <c r="H131" s="12"/>
    </row>
    <row r="132" spans="1:10" x14ac:dyDescent="0.25">
      <c r="A132" s="18"/>
      <c r="B132" s="18" t="s">
        <v>166</v>
      </c>
      <c r="C132" s="2">
        <v>200000</v>
      </c>
      <c r="D132" s="2">
        <f t="shared" si="14"/>
        <v>150000</v>
      </c>
      <c r="E132" s="96"/>
      <c r="F132" s="2">
        <f t="shared" si="15"/>
        <v>200000</v>
      </c>
      <c r="G132" s="2">
        <f t="shared" si="16"/>
        <v>150000</v>
      </c>
      <c r="H132" s="12"/>
    </row>
    <row r="133" spans="1:10" x14ac:dyDescent="0.25">
      <c r="A133" s="18"/>
      <c r="B133" s="18" t="s">
        <v>143</v>
      </c>
      <c r="C133" s="2">
        <v>145000</v>
      </c>
      <c r="D133" s="2">
        <f t="shared" si="14"/>
        <v>108750</v>
      </c>
      <c r="E133" s="96">
        <f>3000+3990</f>
        <v>6990</v>
      </c>
      <c r="F133" s="2">
        <f t="shared" si="15"/>
        <v>138010</v>
      </c>
      <c r="G133" s="2">
        <f t="shared" si="16"/>
        <v>101760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f t="shared" si="14"/>
        <v>90000</v>
      </c>
      <c r="E134" s="96">
        <v>3450</v>
      </c>
      <c r="F134" s="2">
        <f t="shared" si="15"/>
        <v>116550</v>
      </c>
      <c r="G134" s="2">
        <f t="shared" si="16"/>
        <v>86550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f t="shared" si="14"/>
        <v>56250</v>
      </c>
      <c r="E135" s="96">
        <v>1775</v>
      </c>
      <c r="F135" s="2">
        <f t="shared" si="15"/>
        <v>73225</v>
      </c>
      <c r="G135" s="2">
        <f t="shared" si="16"/>
        <v>54475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f t="shared" si="14"/>
        <v>1125000</v>
      </c>
      <c r="E136" s="96">
        <f>214375+103410+218450+95575+191615+108890+193970+288520</f>
        <v>1414805</v>
      </c>
      <c r="F136" s="2">
        <f t="shared" si="15"/>
        <v>85195</v>
      </c>
      <c r="G136" s="2">
        <f t="shared" si="16"/>
        <v>-289805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f t="shared" si="14"/>
        <v>75000</v>
      </c>
      <c r="E137" s="96"/>
      <c r="F137" s="2">
        <f t="shared" si="15"/>
        <v>100000</v>
      </c>
      <c r="G137" s="2">
        <f t="shared" si="16"/>
        <v>75000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v>150000</v>
      </c>
      <c r="D138" s="2">
        <f t="shared" si="14"/>
        <v>112500</v>
      </c>
      <c r="E138" s="96"/>
      <c r="F138" s="2">
        <f t="shared" si="15"/>
        <v>150000</v>
      </c>
      <c r="G138" s="2">
        <f t="shared" si="16"/>
        <v>112500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f t="shared" si="14"/>
        <v>52500</v>
      </c>
      <c r="E139" s="96"/>
      <c r="F139" s="2">
        <f t="shared" si="15"/>
        <v>70000</v>
      </c>
      <c r="G139" s="2">
        <f t="shared" si="16"/>
        <v>52500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f t="shared" si="14"/>
        <v>225000</v>
      </c>
      <c r="E140" s="96">
        <f>1160+28831+300</f>
        <v>30291</v>
      </c>
      <c r="F140" s="2">
        <f t="shared" si="15"/>
        <v>269709</v>
      </c>
      <c r="G140" s="2">
        <f t="shared" si="16"/>
        <v>194709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f t="shared" si="14"/>
        <v>15000</v>
      </c>
      <c r="E141" s="96">
        <f>3550+900</f>
        <v>4450</v>
      </c>
      <c r="F141" s="2">
        <f t="shared" ref="F141" si="17">C141-E141</f>
        <v>15550</v>
      </c>
      <c r="G141" s="2">
        <f t="shared" ref="G141" si="18">D141-E141</f>
        <v>10550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f t="shared" si="14"/>
        <v>11250</v>
      </c>
      <c r="E142" s="96"/>
      <c r="F142" s="2">
        <f t="shared" si="15"/>
        <v>15000</v>
      </c>
      <c r="G142" s="2">
        <f t="shared" si="16"/>
        <v>11250</v>
      </c>
      <c r="J142" s="12"/>
    </row>
    <row r="143" spans="1:10" x14ac:dyDescent="0.25">
      <c r="A143" s="18"/>
      <c r="B143" s="18" t="s">
        <v>51</v>
      </c>
      <c r="C143" s="2">
        <v>750000</v>
      </c>
      <c r="D143" s="2">
        <f t="shared" si="14"/>
        <v>562500</v>
      </c>
      <c r="E143" s="96">
        <f>14250+40863.89+16600+33570.54</f>
        <v>105284.43</v>
      </c>
      <c r="F143" s="2">
        <f t="shared" si="15"/>
        <v>644715.57000000007</v>
      </c>
      <c r="G143" s="2">
        <f t="shared" si="16"/>
        <v>457215.57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f t="shared" si="14"/>
        <v>37500</v>
      </c>
      <c r="E144" s="96"/>
      <c r="F144" s="2">
        <f t="shared" si="15"/>
        <v>50000</v>
      </c>
      <c r="G144" s="2">
        <f t="shared" si="16"/>
        <v>37500</v>
      </c>
    </row>
    <row r="145" spans="1:7" x14ac:dyDescent="0.25">
      <c r="A145" s="18"/>
      <c r="B145" s="18" t="s">
        <v>223</v>
      </c>
      <c r="C145" s="2">
        <v>455427.6</v>
      </c>
      <c r="D145" s="2">
        <f t="shared" si="14"/>
        <v>341570.69999999995</v>
      </c>
      <c r="E145" s="96"/>
      <c r="F145" s="2">
        <f t="shared" si="15"/>
        <v>455427.6</v>
      </c>
      <c r="G145" s="2">
        <f t="shared" si="16"/>
        <v>341570.69999999995</v>
      </c>
    </row>
    <row r="146" spans="1:7" x14ac:dyDescent="0.25">
      <c r="A146" s="18"/>
      <c r="B146" s="18" t="s">
        <v>210</v>
      </c>
      <c r="C146" s="2">
        <v>1200000</v>
      </c>
      <c r="D146" s="2">
        <f t="shared" si="14"/>
        <v>900000</v>
      </c>
      <c r="E146" s="96">
        <f>2200+25000+152824+30000</f>
        <v>210024</v>
      </c>
      <c r="F146" s="2">
        <f t="shared" ref="F146:F151" si="19">C146-E146</f>
        <v>989976</v>
      </c>
      <c r="G146" s="2">
        <f t="shared" ref="G146:G151" si="20">D146-E146</f>
        <v>689976</v>
      </c>
    </row>
    <row r="147" spans="1:7" x14ac:dyDescent="0.25">
      <c r="A147" s="18"/>
      <c r="B147" s="18" t="s">
        <v>211</v>
      </c>
      <c r="C147" s="2">
        <v>500000</v>
      </c>
      <c r="D147" s="2">
        <f t="shared" si="14"/>
        <v>375000</v>
      </c>
      <c r="E147" s="96"/>
      <c r="F147" s="2">
        <f t="shared" si="19"/>
        <v>500000</v>
      </c>
      <c r="G147" s="2">
        <f t="shared" si="20"/>
        <v>375000</v>
      </c>
    </row>
    <row r="148" spans="1:7" x14ac:dyDescent="0.25">
      <c r="A148" s="18"/>
      <c r="B148" s="18" t="s">
        <v>212</v>
      </c>
      <c r="C148" s="2">
        <v>300000</v>
      </c>
      <c r="D148" s="2">
        <f t="shared" si="14"/>
        <v>225000</v>
      </c>
      <c r="E148" s="96">
        <f>4116.65+40000</f>
        <v>44116.65</v>
      </c>
      <c r="F148" s="2">
        <f t="shared" si="19"/>
        <v>255883.35</v>
      </c>
      <c r="G148" s="2">
        <f t="shared" si="20"/>
        <v>180883.35</v>
      </c>
    </row>
    <row r="149" spans="1:7" x14ac:dyDescent="0.25">
      <c r="A149" s="18"/>
      <c r="B149" s="18" t="s">
        <v>213</v>
      </c>
      <c r="C149" s="2">
        <v>375000</v>
      </c>
      <c r="D149" s="2">
        <f t="shared" si="14"/>
        <v>281250</v>
      </c>
      <c r="E149" s="96"/>
      <c r="F149" s="2">
        <f t="shared" si="19"/>
        <v>375000</v>
      </c>
      <c r="G149" s="2">
        <f t="shared" si="20"/>
        <v>281250</v>
      </c>
    </row>
    <row r="150" spans="1:7" x14ac:dyDescent="0.25">
      <c r="A150" s="18"/>
      <c r="B150" s="18" t="s">
        <v>32</v>
      </c>
      <c r="C150" s="2">
        <v>250000</v>
      </c>
      <c r="D150" s="2">
        <f t="shared" si="14"/>
        <v>187500</v>
      </c>
      <c r="E150" s="96">
        <f>945.85+400+15186</f>
        <v>16531.849999999999</v>
      </c>
      <c r="F150" s="2">
        <f t="shared" si="19"/>
        <v>233468.15</v>
      </c>
      <c r="G150" s="2">
        <f t="shared" si="20"/>
        <v>170968.15</v>
      </c>
    </row>
    <row r="151" spans="1:7" x14ac:dyDescent="0.25">
      <c r="A151" s="18"/>
      <c r="B151" s="18" t="s">
        <v>96</v>
      </c>
      <c r="C151" s="2">
        <v>776404</v>
      </c>
      <c r="D151" s="2">
        <f t="shared" si="14"/>
        <v>582303</v>
      </c>
      <c r="E151" s="96">
        <f>194101+194101+388202</f>
        <v>776404</v>
      </c>
      <c r="F151" s="2">
        <f t="shared" si="19"/>
        <v>0</v>
      </c>
      <c r="G151" s="2">
        <f t="shared" si="20"/>
        <v>-194101</v>
      </c>
    </row>
    <row r="152" spans="1:7" x14ac:dyDescent="0.25">
      <c r="A152" s="37"/>
      <c r="B152" s="37"/>
      <c r="C152" s="6"/>
      <c r="D152" s="6"/>
      <c r="E152" s="102"/>
      <c r="F152" s="2"/>
      <c r="G152" s="2">
        <f t="shared" si="16"/>
        <v>0</v>
      </c>
    </row>
    <row r="153" spans="1:7" x14ac:dyDescent="0.25">
      <c r="A153" s="38"/>
      <c r="B153" s="28" t="s">
        <v>27</v>
      </c>
      <c r="C153" s="8">
        <f>SUM(C128:C152)</f>
        <v>8240427.5999999996</v>
      </c>
      <c r="D153" s="8">
        <f>SUM(D128:D152)</f>
        <v>6180320.7000000002</v>
      </c>
      <c r="E153" s="97">
        <f>SUM(E128:E152)</f>
        <v>2698018.52</v>
      </c>
      <c r="F153" s="8">
        <f>SUM(F128:F152)</f>
        <v>5542409.0800000001</v>
      </c>
      <c r="G153" s="8">
        <f>SUM(G128:G152)</f>
        <v>3482302.18</v>
      </c>
    </row>
    <row r="154" spans="1:7" x14ac:dyDescent="0.25">
      <c r="C154" s="7"/>
    </row>
    <row r="155" spans="1:7" x14ac:dyDescent="0.25">
      <c r="C155" s="14"/>
      <c r="E155" s="103"/>
    </row>
    <row r="156" spans="1:7" x14ac:dyDescent="0.25">
      <c r="C156" s="14"/>
    </row>
    <row r="158" spans="1:7" x14ac:dyDescent="0.25">
      <c r="A158" s="13" t="s">
        <v>0</v>
      </c>
      <c r="B158" s="34"/>
      <c r="C158" s="10"/>
      <c r="D158" s="10"/>
      <c r="E158" s="99">
        <f>E155-E157</f>
        <v>0</v>
      </c>
      <c r="F158" s="10"/>
      <c r="G158" s="10"/>
    </row>
    <row r="159" spans="1:7" x14ac:dyDescent="0.25">
      <c r="A159" s="13" t="s">
        <v>1</v>
      </c>
      <c r="B159" s="34"/>
      <c r="C159" s="10"/>
      <c r="D159" s="10"/>
      <c r="E159" s="99"/>
      <c r="F159" s="10"/>
      <c r="G159" s="10"/>
    </row>
    <row r="160" spans="1:7" x14ac:dyDescent="0.25">
      <c r="A160" s="13" t="s">
        <v>2</v>
      </c>
      <c r="B160" s="34"/>
      <c r="C160" s="10"/>
      <c r="D160" s="10"/>
      <c r="E160" s="99"/>
      <c r="F160" s="10"/>
      <c r="G160" s="10"/>
    </row>
    <row r="161" spans="1:9" x14ac:dyDescent="0.25">
      <c r="A161" s="22" t="s">
        <v>239</v>
      </c>
      <c r="B161" s="34"/>
      <c r="C161" s="10"/>
      <c r="D161" s="10"/>
      <c r="E161" s="99"/>
      <c r="F161" s="10"/>
      <c r="G161" s="10"/>
    </row>
    <row r="162" spans="1:9" x14ac:dyDescent="0.25">
      <c r="A162" s="33"/>
      <c r="B162" s="34"/>
      <c r="C162" s="10"/>
      <c r="D162" s="10"/>
      <c r="E162" s="99"/>
      <c r="F162" s="10"/>
      <c r="G162" s="10"/>
    </row>
    <row r="163" spans="1:9" x14ac:dyDescent="0.25">
      <c r="A163" s="115" t="s">
        <v>3</v>
      </c>
      <c r="B163" s="115" t="s">
        <v>4</v>
      </c>
      <c r="C163" s="115" t="s">
        <v>5</v>
      </c>
      <c r="D163" s="115" t="s">
        <v>6</v>
      </c>
      <c r="E163" s="117" t="s">
        <v>7</v>
      </c>
      <c r="F163" s="15" t="s">
        <v>8</v>
      </c>
      <c r="G163" s="15" t="s">
        <v>8</v>
      </c>
    </row>
    <row r="164" spans="1:9" x14ac:dyDescent="0.25">
      <c r="A164" s="116"/>
      <c r="B164" s="116"/>
      <c r="C164" s="116"/>
      <c r="D164" s="116"/>
      <c r="E164" s="118"/>
      <c r="F164" s="16" t="s">
        <v>5</v>
      </c>
      <c r="G164" s="16" t="s">
        <v>6</v>
      </c>
    </row>
    <row r="165" spans="1:9" x14ac:dyDescent="0.25">
      <c r="A165" s="17"/>
      <c r="B165" s="17"/>
      <c r="C165" s="17"/>
      <c r="D165" s="17"/>
      <c r="E165" s="94"/>
      <c r="F165" s="17"/>
      <c r="G165" s="17"/>
    </row>
    <row r="166" spans="1:9" x14ac:dyDescent="0.25">
      <c r="A166" s="18"/>
      <c r="B166" s="26" t="s">
        <v>53</v>
      </c>
      <c r="C166" s="18"/>
      <c r="D166" s="18"/>
      <c r="E166" s="95"/>
      <c r="F166" s="18"/>
      <c r="G166" s="18"/>
    </row>
    <row r="167" spans="1:9" x14ac:dyDescent="0.25">
      <c r="A167" s="18"/>
      <c r="B167" s="27" t="s">
        <v>11</v>
      </c>
      <c r="C167" s="2"/>
      <c r="D167" s="2"/>
      <c r="E167" s="96"/>
      <c r="F167" s="2"/>
      <c r="G167" s="2"/>
    </row>
    <row r="168" spans="1:9" x14ac:dyDescent="0.25">
      <c r="A168" s="18"/>
      <c r="B168" s="4" t="s">
        <v>58</v>
      </c>
      <c r="C168" s="2">
        <v>320000</v>
      </c>
      <c r="D168" s="2">
        <f t="shared" ref="D168:D169" si="21">C168/4*3</f>
        <v>240000</v>
      </c>
      <c r="E168" s="96">
        <f>16993+74825.49+65490.16+14605.54</f>
        <v>171914.19000000003</v>
      </c>
      <c r="F168" s="2">
        <f t="shared" ref="F168:F188" si="22">C168-E168</f>
        <v>148085.80999999997</v>
      </c>
      <c r="G168" s="2">
        <f t="shared" ref="G168:G188" si="23">D168-E168</f>
        <v>68085.809999999969</v>
      </c>
    </row>
    <row r="169" spans="1:9" x14ac:dyDescent="0.25">
      <c r="A169" s="18"/>
      <c r="B169" s="4" t="s">
        <v>59</v>
      </c>
      <c r="C169" s="2">
        <v>1000000</v>
      </c>
      <c r="D169" s="2">
        <f t="shared" si="21"/>
        <v>750000</v>
      </c>
      <c r="E169" s="96">
        <f>122000+120000+120000+120000+120000+120000+118000</f>
        <v>840000</v>
      </c>
      <c r="F169" s="2">
        <f t="shared" si="22"/>
        <v>160000</v>
      </c>
      <c r="G169" s="2">
        <f t="shared" si="23"/>
        <v>-90000</v>
      </c>
      <c r="I169" s="14">
        <f>E169*12</f>
        <v>10080000</v>
      </c>
    </row>
    <row r="170" spans="1:9" x14ac:dyDescent="0.25">
      <c r="A170" s="18"/>
      <c r="B170" s="27" t="s">
        <v>12</v>
      </c>
      <c r="C170" s="2"/>
      <c r="D170" s="2"/>
      <c r="E170" s="96"/>
      <c r="F170" s="2">
        <f t="shared" si="22"/>
        <v>0</v>
      </c>
      <c r="G170" s="2">
        <f t="shared" si="23"/>
        <v>0</v>
      </c>
    </row>
    <row r="171" spans="1:9" x14ac:dyDescent="0.25">
      <c r="A171" s="18"/>
      <c r="B171" s="4" t="s">
        <v>54</v>
      </c>
      <c r="C171" s="2">
        <v>2419990.09</v>
      </c>
      <c r="D171" s="2">
        <f t="shared" ref="D171:D176" si="24">C171/4*3</f>
        <v>1814992.5674999999</v>
      </c>
      <c r="E171" s="96">
        <f>78500+434768.95+5950+4083.08</f>
        <v>523302.03</v>
      </c>
      <c r="F171" s="2">
        <f t="shared" si="22"/>
        <v>1896688.0599999998</v>
      </c>
      <c r="G171" s="2">
        <f t="shared" si="23"/>
        <v>1291690.5374999999</v>
      </c>
      <c r="I171" s="14">
        <f>C171/4</f>
        <v>604997.52249999996</v>
      </c>
    </row>
    <row r="172" spans="1:9" x14ac:dyDescent="0.25">
      <c r="A172" s="18"/>
      <c r="B172" s="4" t="s">
        <v>55</v>
      </c>
      <c r="C172" s="2">
        <v>15000</v>
      </c>
      <c r="D172" s="2">
        <f t="shared" si="24"/>
        <v>11250</v>
      </c>
      <c r="E172" s="96"/>
      <c r="F172" s="2">
        <f t="shared" si="22"/>
        <v>15000</v>
      </c>
      <c r="G172" s="2">
        <f t="shared" si="23"/>
        <v>11250</v>
      </c>
    </row>
    <row r="173" spans="1:9" x14ac:dyDescent="0.25">
      <c r="A173" s="18"/>
      <c r="B173" s="4" t="s">
        <v>56</v>
      </c>
      <c r="C173" s="2">
        <v>20000</v>
      </c>
      <c r="D173" s="2">
        <f t="shared" si="24"/>
        <v>15000</v>
      </c>
      <c r="E173" s="96"/>
      <c r="F173" s="2">
        <f t="shared" si="22"/>
        <v>20000</v>
      </c>
      <c r="G173" s="2">
        <f t="shared" si="23"/>
        <v>15000</v>
      </c>
    </row>
    <row r="174" spans="1:9" x14ac:dyDescent="0.25">
      <c r="A174" s="18"/>
      <c r="B174" s="4" t="s">
        <v>160</v>
      </c>
      <c r="C174" s="2">
        <v>2419990.09</v>
      </c>
      <c r="D174" s="2">
        <f t="shared" si="24"/>
        <v>1814992.5674999999</v>
      </c>
      <c r="E174" s="96">
        <f>8000+8000+16000+8000+486150+20000</f>
        <v>546150</v>
      </c>
      <c r="F174" s="2">
        <f t="shared" si="22"/>
        <v>1873840.0899999999</v>
      </c>
      <c r="G174" s="2">
        <f t="shared" si="23"/>
        <v>1268842.5674999999</v>
      </c>
    </row>
    <row r="175" spans="1:9" x14ac:dyDescent="0.25">
      <c r="A175" s="18"/>
      <c r="B175" s="4" t="s">
        <v>161</v>
      </c>
      <c r="C175" s="2">
        <v>483998.02</v>
      </c>
      <c r="D175" s="2">
        <f t="shared" si="24"/>
        <v>362998.51500000001</v>
      </c>
      <c r="E175" s="96">
        <f>2000+23750+4000+8000</f>
        <v>37750</v>
      </c>
      <c r="F175" s="2">
        <f t="shared" ref="F175" si="25">C175-E175</f>
        <v>446248.02</v>
      </c>
      <c r="G175" s="2">
        <f t="shared" ref="G175" si="26">D175-E175</f>
        <v>325248.51500000001</v>
      </c>
    </row>
    <row r="176" spans="1:9" x14ac:dyDescent="0.25">
      <c r="A176" s="18"/>
      <c r="B176" s="55" t="s">
        <v>162</v>
      </c>
      <c r="C176" s="2">
        <v>412021.38</v>
      </c>
      <c r="D176" s="2">
        <f t="shared" si="24"/>
        <v>309016.03500000003</v>
      </c>
      <c r="E176" s="96"/>
      <c r="F176" s="2">
        <f t="shared" si="22"/>
        <v>412021.38</v>
      </c>
      <c r="G176" s="2">
        <f t="shared" si="23"/>
        <v>309016.03500000003</v>
      </c>
    </row>
    <row r="177" spans="1:7" x14ac:dyDescent="0.25">
      <c r="A177" s="18"/>
      <c r="B177" s="55" t="s">
        <v>225</v>
      </c>
      <c r="C177" s="2"/>
      <c r="D177" s="2"/>
      <c r="E177" s="96"/>
      <c r="F177" s="2"/>
      <c r="G177" s="2"/>
    </row>
    <row r="178" spans="1:7" x14ac:dyDescent="0.25">
      <c r="A178" s="18"/>
      <c r="B178" s="82" t="s">
        <v>226</v>
      </c>
      <c r="C178" s="2">
        <v>10000</v>
      </c>
      <c r="D178" s="2">
        <f t="shared" ref="D178:D182" si="27">C178/4*3</f>
        <v>7500</v>
      </c>
      <c r="E178" s="96"/>
      <c r="F178" s="2">
        <f t="shared" ref="F178:F179" si="28">C178-E178</f>
        <v>10000</v>
      </c>
      <c r="G178" s="2">
        <f t="shared" ref="G178:G179" si="29">D178-E178</f>
        <v>7500</v>
      </c>
    </row>
    <row r="179" spans="1:7" x14ac:dyDescent="0.25">
      <c r="A179" s="18"/>
      <c r="B179" s="55" t="s">
        <v>227</v>
      </c>
      <c r="C179" s="2">
        <v>10000</v>
      </c>
      <c r="D179" s="2">
        <f t="shared" si="27"/>
        <v>7500</v>
      </c>
      <c r="E179" s="96"/>
      <c r="F179" s="2">
        <f t="shared" si="28"/>
        <v>10000</v>
      </c>
      <c r="G179" s="2">
        <f t="shared" si="29"/>
        <v>7500</v>
      </c>
    </row>
    <row r="180" spans="1:7" x14ac:dyDescent="0.25">
      <c r="A180" s="18"/>
      <c r="B180" s="4" t="s">
        <v>228</v>
      </c>
      <c r="C180" s="2">
        <v>100000</v>
      </c>
      <c r="D180" s="2">
        <f t="shared" si="27"/>
        <v>75000</v>
      </c>
      <c r="E180" s="96"/>
      <c r="F180" s="2">
        <f t="shared" si="22"/>
        <v>100000</v>
      </c>
      <c r="G180" s="2">
        <f t="shared" si="23"/>
        <v>75000</v>
      </c>
    </row>
    <row r="181" spans="1:7" x14ac:dyDescent="0.25">
      <c r="A181" s="18"/>
      <c r="B181" s="4" t="s">
        <v>229</v>
      </c>
      <c r="C181" s="2">
        <v>300000</v>
      </c>
      <c r="D181" s="2">
        <f t="shared" si="27"/>
        <v>225000</v>
      </c>
      <c r="E181" s="96">
        <f>74000+13819+86641</f>
        <v>174460</v>
      </c>
      <c r="F181" s="2">
        <f t="shared" ref="F181:F182" si="30">C181-E181</f>
        <v>125540</v>
      </c>
      <c r="G181" s="2">
        <f t="shared" ref="G181:G182" si="31">D181-E181</f>
        <v>50540</v>
      </c>
    </row>
    <row r="182" spans="1:7" x14ac:dyDescent="0.25">
      <c r="A182" s="18"/>
      <c r="B182" s="4" t="s">
        <v>105</v>
      </c>
      <c r="C182" s="2">
        <v>150000</v>
      </c>
      <c r="D182" s="2">
        <f t="shared" si="27"/>
        <v>112500</v>
      </c>
      <c r="E182" s="96"/>
      <c r="F182" s="2">
        <f t="shared" si="30"/>
        <v>150000</v>
      </c>
      <c r="G182" s="2">
        <f t="shared" si="31"/>
        <v>112500</v>
      </c>
    </row>
    <row r="183" spans="1:7" x14ac:dyDescent="0.25">
      <c r="A183" s="18"/>
      <c r="B183" s="27" t="s">
        <v>13</v>
      </c>
      <c r="C183" s="2"/>
      <c r="D183" s="2"/>
      <c r="E183" s="96"/>
      <c r="F183" s="2">
        <f t="shared" si="22"/>
        <v>0</v>
      </c>
      <c r="G183" s="2">
        <f t="shared" si="23"/>
        <v>0</v>
      </c>
    </row>
    <row r="184" spans="1:7" x14ac:dyDescent="0.25">
      <c r="A184" s="18"/>
      <c r="B184" s="4" t="s">
        <v>62</v>
      </c>
      <c r="C184" s="2"/>
      <c r="D184" s="2"/>
      <c r="E184" s="96"/>
      <c r="F184" s="2">
        <f t="shared" si="22"/>
        <v>0</v>
      </c>
      <c r="G184" s="2">
        <f t="shared" si="23"/>
        <v>0</v>
      </c>
    </row>
    <row r="185" spans="1:7" x14ac:dyDescent="0.25">
      <c r="A185" s="18"/>
      <c r="B185" s="83" t="s">
        <v>230</v>
      </c>
      <c r="C185" s="2">
        <v>500000</v>
      </c>
      <c r="D185" s="2">
        <f t="shared" ref="D185" si="32">C185/4*3</f>
        <v>375000</v>
      </c>
      <c r="E185" s="96"/>
      <c r="F185" s="2">
        <f t="shared" ref="F185" si="33">C185-E185</f>
        <v>500000</v>
      </c>
      <c r="G185" s="2">
        <f t="shared" ref="G185" si="34">D185-E185</f>
        <v>375000</v>
      </c>
    </row>
    <row r="186" spans="1:7" x14ac:dyDescent="0.25">
      <c r="A186" s="18"/>
      <c r="B186" s="4" t="s">
        <v>231</v>
      </c>
      <c r="C186" s="2"/>
      <c r="D186" s="2"/>
      <c r="E186" s="96"/>
      <c r="F186" s="2"/>
      <c r="G186" s="2"/>
    </row>
    <row r="187" spans="1:7" x14ac:dyDescent="0.25">
      <c r="A187" s="18"/>
      <c r="B187" s="83" t="s">
        <v>232</v>
      </c>
      <c r="C187" s="2">
        <v>2000000</v>
      </c>
      <c r="D187" s="2">
        <f t="shared" ref="D187:D188" si="35">C187/4*3</f>
        <v>1500000</v>
      </c>
      <c r="E187" s="96">
        <v>644135</v>
      </c>
      <c r="F187" s="2">
        <f t="shared" si="22"/>
        <v>1355865</v>
      </c>
      <c r="G187" s="2">
        <f t="shared" si="23"/>
        <v>855865</v>
      </c>
    </row>
    <row r="188" spans="1:7" x14ac:dyDescent="0.25">
      <c r="A188" s="18"/>
      <c r="B188" s="4" t="s">
        <v>233</v>
      </c>
      <c r="C188" s="2">
        <v>120000</v>
      </c>
      <c r="D188" s="2">
        <f t="shared" si="35"/>
        <v>90000</v>
      </c>
      <c r="E188" s="96"/>
      <c r="F188" s="2">
        <f t="shared" si="22"/>
        <v>120000</v>
      </c>
      <c r="G188" s="2">
        <f t="shared" si="23"/>
        <v>90000</v>
      </c>
    </row>
    <row r="189" spans="1:7" x14ac:dyDescent="0.25">
      <c r="A189" s="18"/>
      <c r="B189" s="4"/>
      <c r="C189" s="2"/>
      <c r="D189" s="2"/>
      <c r="E189" s="96"/>
      <c r="F189" s="2"/>
      <c r="G189" s="2"/>
    </row>
    <row r="190" spans="1:7" x14ac:dyDescent="0.25">
      <c r="A190" s="18"/>
      <c r="B190" s="39" t="s">
        <v>27</v>
      </c>
      <c r="C190" s="8">
        <f>SUM(C168:C189)</f>
        <v>10280999.579999998</v>
      </c>
      <c r="D190" s="8">
        <f>SUM(D168:D189)</f>
        <v>7710749.6849999996</v>
      </c>
      <c r="E190" s="97">
        <f>SUM(E168:E189)</f>
        <v>2937711.22</v>
      </c>
      <c r="F190" s="8">
        <f>SUM(F168:F189)</f>
        <v>7343288.3599999994</v>
      </c>
      <c r="G190" s="8">
        <f>SUM(G168:G189)</f>
        <v>4773038.4649999999</v>
      </c>
    </row>
    <row r="191" spans="1:7" ht="15.75" thickBot="1" x14ac:dyDescent="0.3">
      <c r="A191" s="40"/>
      <c r="B191" s="41" t="s">
        <v>64</v>
      </c>
      <c r="C191" s="20">
        <f>C190+C153+C115+C108+C101+C94+C87+C80+C73+C57+C50+C43+C36+C29+C22+C15</f>
        <v>48399801.709999993</v>
      </c>
      <c r="D191" s="20">
        <f>D190+D153+D115+D108+D101+D94+D87+D80+D73+D57+D50+D43+D36+D29+D22+D15</f>
        <v>36299851.282499999</v>
      </c>
      <c r="E191" s="104">
        <f>E190+E153+E115+E108+E101+E94+E87+E80+E73+E57+E50+E43+E36+E29+E22+E15</f>
        <v>23205331.789999999</v>
      </c>
      <c r="F191" s="20">
        <f>F190+F153+F115+F108+F101+F94+F87+F80+F73+F57+F50+F43+F36+F29+F22+F15</f>
        <v>25194469.920000002</v>
      </c>
      <c r="G191" s="20">
        <f>G190+G153+G115+G108+G101+G94+G87+G80+G73+G57+G50+G43+G36+G29+G22+G15</f>
        <v>13094519.4925</v>
      </c>
    </row>
    <row r="192" spans="1:7" ht="15.75" thickTop="1" x14ac:dyDescent="0.25">
      <c r="C192" s="12"/>
      <c r="D192" s="12"/>
      <c r="E192" s="101"/>
      <c r="F192" s="12"/>
      <c r="G192" s="12"/>
    </row>
    <row r="193" spans="2:12" x14ac:dyDescent="0.25">
      <c r="B193" s="13" t="s">
        <v>65</v>
      </c>
      <c r="C193" s="12"/>
      <c r="D193" s="12"/>
      <c r="E193" s="101"/>
      <c r="F193" s="12"/>
      <c r="G193" s="12"/>
    </row>
    <row r="194" spans="2:12" x14ac:dyDescent="0.25">
      <c r="C194" s="12"/>
      <c r="D194" s="12"/>
      <c r="E194" s="101"/>
      <c r="F194" s="12"/>
      <c r="G194" s="12"/>
    </row>
    <row r="195" spans="2:12" x14ac:dyDescent="0.25">
      <c r="C195" s="12"/>
      <c r="D195" s="12"/>
      <c r="E195" s="101"/>
      <c r="F195" s="12"/>
      <c r="G195" s="12"/>
    </row>
    <row r="196" spans="2:12" x14ac:dyDescent="0.25">
      <c r="B196" s="42" t="s">
        <v>66</v>
      </c>
      <c r="C196" s="12"/>
      <c r="D196" s="12"/>
      <c r="E196" s="101"/>
      <c r="F196" s="12"/>
      <c r="G196" s="12"/>
    </row>
    <row r="197" spans="2:12" x14ac:dyDescent="0.25">
      <c r="B197" s="13" t="s">
        <v>67</v>
      </c>
      <c r="C197" s="12"/>
      <c r="D197" s="114"/>
      <c r="E197" s="114"/>
      <c r="F197" s="12"/>
      <c r="G197" s="12"/>
    </row>
    <row r="198" spans="2:12" x14ac:dyDescent="0.25">
      <c r="C198" s="12"/>
      <c r="D198" s="12"/>
      <c r="E198" s="101"/>
      <c r="F198" s="12"/>
      <c r="G198" s="12"/>
      <c r="H198" s="54">
        <v>0.8</v>
      </c>
      <c r="I198" s="12">
        <v>2159415</v>
      </c>
      <c r="L198" s="13">
        <f>20*20</f>
        <v>400</v>
      </c>
    </row>
    <row r="199" spans="2:12" x14ac:dyDescent="0.25">
      <c r="C199" s="12" t="s">
        <v>150</v>
      </c>
      <c r="D199" s="12"/>
      <c r="E199" s="101"/>
      <c r="F199" s="12"/>
      <c r="G199" s="12"/>
      <c r="H199" s="54">
        <v>0.2</v>
      </c>
      <c r="I199" s="12">
        <v>539854</v>
      </c>
      <c r="L199" s="13">
        <f>15*20</f>
        <v>300</v>
      </c>
    </row>
    <row r="200" spans="2:12" x14ac:dyDescent="0.25">
      <c r="C200" s="12" t="s">
        <v>151</v>
      </c>
      <c r="D200" s="12"/>
      <c r="E200" s="101"/>
      <c r="F200" s="12"/>
      <c r="G200" s="12"/>
      <c r="I200" s="12"/>
    </row>
    <row r="201" spans="2:12" x14ac:dyDescent="0.25">
      <c r="C201" s="53">
        <v>0.2</v>
      </c>
      <c r="D201" s="12"/>
      <c r="E201" s="101"/>
      <c r="F201" s="12"/>
      <c r="G201" s="12"/>
      <c r="I201" s="12"/>
      <c r="L201" s="13">
        <f>SUM(L198:L200)</f>
        <v>700</v>
      </c>
    </row>
    <row r="202" spans="2:12" x14ac:dyDescent="0.25">
      <c r="C202" s="53">
        <v>0.05</v>
      </c>
      <c r="D202" s="12">
        <v>404890.34</v>
      </c>
      <c r="E202" s="101">
        <v>14850</v>
      </c>
      <c r="F202" s="12"/>
      <c r="G202" s="12"/>
      <c r="I202" s="12">
        <f>SUM(I198:I201)</f>
        <v>2699269</v>
      </c>
    </row>
    <row r="203" spans="2:12" x14ac:dyDescent="0.25">
      <c r="C203" s="12" t="s">
        <v>112</v>
      </c>
      <c r="D203" s="12"/>
      <c r="E203" s="101">
        <v>7200</v>
      </c>
      <c r="F203" s="12"/>
      <c r="G203" s="12">
        <f>I202-E191</f>
        <v>-20506062.789999999</v>
      </c>
      <c r="I203" s="12"/>
    </row>
    <row r="204" spans="2:12" x14ac:dyDescent="0.25">
      <c r="C204" s="12"/>
      <c r="D204" s="12"/>
      <c r="E204" s="101"/>
      <c r="F204" s="12"/>
      <c r="G204" s="12"/>
      <c r="I204" s="12"/>
    </row>
    <row r="205" spans="2:12" x14ac:dyDescent="0.25">
      <c r="C205" s="12"/>
      <c r="D205" s="12"/>
      <c r="E205" s="101"/>
      <c r="F205" s="12"/>
      <c r="G205" s="12"/>
      <c r="I205" s="12"/>
    </row>
    <row r="206" spans="2:12" x14ac:dyDescent="0.25">
      <c r="C206" s="12" t="s">
        <v>135</v>
      </c>
      <c r="D206" s="12">
        <f>SUM(D199:D205)</f>
        <v>404890.34</v>
      </c>
      <c r="E206" s="101">
        <f>SUM(E199:E205)</f>
        <v>22050</v>
      </c>
      <c r="F206" s="12"/>
      <c r="G206" s="12"/>
      <c r="I206" s="12"/>
    </row>
    <row r="207" spans="2:12" x14ac:dyDescent="0.25">
      <c r="C207" s="12"/>
      <c r="D207" s="12"/>
      <c r="E207" s="101">
        <f>E191-E206</f>
        <v>23183281.789999999</v>
      </c>
      <c r="F207" s="12"/>
      <c r="G207" s="12"/>
      <c r="I207" s="12"/>
    </row>
    <row r="208" spans="2:12" x14ac:dyDescent="0.25">
      <c r="C208" s="12"/>
      <c r="D208" s="12">
        <f>32391227</f>
        <v>32391227</v>
      </c>
      <c r="E208" s="101">
        <f>E206-E191</f>
        <v>-23183281.789999999</v>
      </c>
      <c r="F208" s="12"/>
      <c r="G208" s="12"/>
      <c r="I208" s="12"/>
    </row>
    <row r="209" spans="3:7" x14ac:dyDescent="0.25">
      <c r="C209" s="12"/>
      <c r="D209" s="12">
        <f>D208*5%</f>
        <v>1619561.35</v>
      </c>
      <c r="E209" s="101"/>
      <c r="F209" s="12"/>
      <c r="G209" s="12"/>
    </row>
    <row r="210" spans="3:7" x14ac:dyDescent="0.25">
      <c r="C210" s="12"/>
      <c r="D210" s="12">
        <f>D209/4</f>
        <v>404890.33750000002</v>
      </c>
      <c r="E210" s="101">
        <f>E168+E169</f>
        <v>1011914.1900000001</v>
      </c>
      <c r="F210" s="12"/>
      <c r="G210" s="12"/>
    </row>
    <row r="211" spans="3:7" x14ac:dyDescent="0.25">
      <c r="C211" s="12"/>
      <c r="D211" s="12"/>
      <c r="E211" s="101"/>
      <c r="F211" s="12"/>
      <c r="G211" s="12"/>
    </row>
    <row r="212" spans="3:7" x14ac:dyDescent="0.25">
      <c r="C212" s="12"/>
      <c r="D212" s="12"/>
      <c r="E212" s="101">
        <f>E199+E200</f>
        <v>0</v>
      </c>
      <c r="F212" s="12"/>
      <c r="G212" s="12"/>
    </row>
    <row r="213" spans="3:7" x14ac:dyDescent="0.25">
      <c r="C213" s="12"/>
      <c r="D213" s="12"/>
      <c r="E213" s="101"/>
      <c r="F213" s="12"/>
      <c r="G213" s="12"/>
    </row>
    <row r="214" spans="3:7" x14ac:dyDescent="0.25">
      <c r="C214" s="12"/>
      <c r="D214" s="12"/>
      <c r="E214" s="101"/>
      <c r="F214" s="12"/>
      <c r="G214" s="12"/>
    </row>
    <row r="215" spans="3:7" x14ac:dyDescent="0.25">
      <c r="C215" s="12"/>
      <c r="D215" s="12"/>
      <c r="E215" s="101"/>
      <c r="F215" s="12"/>
      <c r="G215" s="12"/>
    </row>
    <row r="216" spans="3:7" x14ac:dyDescent="0.25">
      <c r="C216" s="12"/>
      <c r="D216" s="12"/>
      <c r="E216" s="101"/>
      <c r="F216" s="12"/>
      <c r="G216" s="12"/>
    </row>
    <row r="217" spans="3:7" x14ac:dyDescent="0.25">
      <c r="C217" s="12"/>
      <c r="D217" s="12"/>
      <c r="E217" s="101"/>
      <c r="F217" s="12"/>
      <c r="G217" s="12"/>
    </row>
    <row r="218" spans="3:7" x14ac:dyDescent="0.25">
      <c r="C218" s="12"/>
      <c r="D218" s="12"/>
      <c r="E218" s="101"/>
      <c r="F218" s="12"/>
      <c r="G218" s="12"/>
    </row>
    <row r="219" spans="3:7" x14ac:dyDescent="0.25">
      <c r="C219" s="12"/>
      <c r="D219" s="12"/>
      <c r="E219" s="101"/>
      <c r="F219" s="12"/>
      <c r="G219" s="12"/>
    </row>
    <row r="220" spans="3:7" x14ac:dyDescent="0.25">
      <c r="C220" s="12"/>
      <c r="D220" s="12"/>
      <c r="E220" s="101"/>
      <c r="F220" s="12"/>
      <c r="G220" s="12"/>
    </row>
    <row r="221" spans="3:7" x14ac:dyDescent="0.25">
      <c r="C221" s="12"/>
      <c r="D221" s="12"/>
      <c r="E221" s="101"/>
      <c r="F221" s="12"/>
      <c r="G221" s="12"/>
    </row>
    <row r="222" spans="3:7" x14ac:dyDescent="0.25">
      <c r="C222" s="12"/>
      <c r="D222" s="12"/>
      <c r="E222" s="101"/>
      <c r="F222" s="12"/>
      <c r="G222" s="12"/>
    </row>
    <row r="223" spans="3:7" x14ac:dyDescent="0.25">
      <c r="C223" s="12"/>
      <c r="D223" s="12"/>
      <c r="E223" s="101"/>
      <c r="F223" s="12"/>
      <c r="G223" s="12"/>
    </row>
    <row r="224" spans="3:7" x14ac:dyDescent="0.25">
      <c r="C224" s="12"/>
      <c r="D224" s="12"/>
      <c r="E224" s="101"/>
      <c r="F224" s="12"/>
      <c r="G224" s="12"/>
    </row>
    <row r="225" spans="3:7" x14ac:dyDescent="0.25">
      <c r="C225" s="12"/>
      <c r="D225" s="12"/>
      <c r="E225" s="101"/>
      <c r="F225" s="12"/>
      <c r="G225" s="12"/>
    </row>
    <row r="226" spans="3:7" x14ac:dyDescent="0.25">
      <c r="C226" s="12"/>
      <c r="D226" s="12"/>
      <c r="E226" s="101"/>
      <c r="F226" s="12"/>
      <c r="G226" s="12"/>
    </row>
    <row r="227" spans="3:7" x14ac:dyDescent="0.25">
      <c r="C227" s="12"/>
      <c r="D227" s="12"/>
      <c r="E227" s="101"/>
      <c r="F227" s="12"/>
      <c r="G227" s="12"/>
    </row>
    <row r="228" spans="3:7" x14ac:dyDescent="0.25">
      <c r="C228" s="12"/>
      <c r="D228" s="12"/>
      <c r="E228" s="101"/>
      <c r="F228" s="12"/>
      <c r="G228" s="12"/>
    </row>
    <row r="229" spans="3:7" x14ac:dyDescent="0.25">
      <c r="C229" s="12"/>
      <c r="D229" s="12"/>
      <c r="E229" s="101"/>
      <c r="F229" s="12"/>
      <c r="G229" s="12"/>
    </row>
    <row r="230" spans="3:7" x14ac:dyDescent="0.25">
      <c r="C230" s="12"/>
      <c r="D230" s="12"/>
      <c r="E230" s="101"/>
      <c r="F230" s="12"/>
      <c r="G230" s="12"/>
    </row>
    <row r="231" spans="3:7" x14ac:dyDescent="0.25">
      <c r="C231" s="12"/>
      <c r="D231" s="12"/>
      <c r="E231" s="101"/>
      <c r="F231" s="12"/>
      <c r="G231" s="12"/>
    </row>
    <row r="232" spans="3:7" x14ac:dyDescent="0.25">
      <c r="C232" s="12"/>
      <c r="D232" s="12"/>
      <c r="E232" s="101"/>
      <c r="F232" s="12"/>
      <c r="G232" s="12"/>
    </row>
    <row r="233" spans="3:7" x14ac:dyDescent="0.25">
      <c r="C233" s="12"/>
      <c r="D233" s="12"/>
      <c r="E233" s="101"/>
      <c r="F233" s="12"/>
      <c r="G233" s="12"/>
    </row>
    <row r="234" spans="3:7" x14ac:dyDescent="0.25">
      <c r="C234" s="12"/>
      <c r="D234" s="12"/>
      <c r="E234" s="101"/>
      <c r="F234" s="12"/>
      <c r="G234" s="12"/>
    </row>
    <row r="235" spans="3:7" x14ac:dyDescent="0.25">
      <c r="C235" s="12"/>
      <c r="D235" s="12"/>
      <c r="E235" s="101"/>
      <c r="F235" s="12"/>
      <c r="G235" s="12"/>
    </row>
    <row r="236" spans="3:7" x14ac:dyDescent="0.25">
      <c r="C236" s="12"/>
      <c r="D236" s="12"/>
      <c r="E236" s="101"/>
      <c r="F236" s="12"/>
      <c r="G236" s="12"/>
    </row>
    <row r="237" spans="3:7" x14ac:dyDescent="0.25">
      <c r="C237" s="12"/>
      <c r="D237" s="12"/>
      <c r="E237" s="101"/>
      <c r="F237" s="12"/>
      <c r="G237" s="12"/>
    </row>
    <row r="238" spans="3:7" x14ac:dyDescent="0.25">
      <c r="C238" s="12"/>
      <c r="D238" s="12"/>
      <c r="E238" s="101"/>
      <c r="F238" s="12"/>
      <c r="G238" s="12"/>
    </row>
    <row r="239" spans="3:7" x14ac:dyDescent="0.25">
      <c r="C239" s="12"/>
      <c r="D239" s="12"/>
      <c r="E239" s="101"/>
      <c r="F239" s="12"/>
      <c r="G239" s="12"/>
    </row>
    <row r="240" spans="3:7" x14ac:dyDescent="0.25">
      <c r="C240" s="12"/>
      <c r="D240" s="12"/>
      <c r="E240" s="101"/>
      <c r="F240" s="12"/>
      <c r="G240" s="12"/>
    </row>
    <row r="241" spans="3:7" x14ac:dyDescent="0.25">
      <c r="C241" s="12"/>
      <c r="D241" s="12"/>
      <c r="E241" s="101"/>
      <c r="F241" s="12"/>
      <c r="G241" s="12"/>
    </row>
    <row r="242" spans="3:7" x14ac:dyDescent="0.25">
      <c r="C242" s="12"/>
      <c r="D242" s="12"/>
      <c r="E242" s="101"/>
      <c r="F242" s="12"/>
      <c r="G242" s="12"/>
    </row>
    <row r="243" spans="3:7" x14ac:dyDescent="0.25">
      <c r="C243" s="12"/>
      <c r="D243" s="12"/>
      <c r="E243" s="101"/>
      <c r="F243" s="12"/>
      <c r="G243" s="12"/>
    </row>
    <row r="244" spans="3:7" x14ac:dyDescent="0.25">
      <c r="C244" s="12"/>
      <c r="D244" s="12"/>
      <c r="E244" s="101"/>
      <c r="F244" s="12"/>
      <c r="G244" s="12"/>
    </row>
    <row r="245" spans="3:7" x14ac:dyDescent="0.25">
      <c r="C245" s="12"/>
      <c r="D245" s="12"/>
      <c r="E245" s="101"/>
      <c r="F245" s="12"/>
      <c r="G245" s="12"/>
    </row>
    <row r="246" spans="3:7" x14ac:dyDescent="0.25">
      <c r="C246" s="12"/>
      <c r="D246" s="12"/>
      <c r="E246" s="101"/>
      <c r="F246" s="12"/>
      <c r="G246" s="12"/>
    </row>
    <row r="247" spans="3:7" x14ac:dyDescent="0.25">
      <c r="C247" s="12"/>
      <c r="D247" s="12"/>
      <c r="E247" s="101"/>
      <c r="F247" s="12"/>
      <c r="G247" s="12"/>
    </row>
    <row r="248" spans="3:7" x14ac:dyDescent="0.25">
      <c r="C248" s="12"/>
      <c r="D248" s="12"/>
      <c r="E248" s="101"/>
      <c r="F248" s="12"/>
      <c r="G248" s="12"/>
    </row>
    <row r="249" spans="3:7" x14ac:dyDescent="0.25">
      <c r="C249" s="12"/>
      <c r="D249" s="12"/>
      <c r="E249" s="101"/>
      <c r="F249" s="12"/>
      <c r="G249" s="12"/>
    </row>
    <row r="250" spans="3:7" x14ac:dyDescent="0.25">
      <c r="C250" s="12"/>
      <c r="D250" s="12"/>
      <c r="E250" s="101"/>
      <c r="F250" s="12"/>
      <c r="G250" s="12"/>
    </row>
    <row r="251" spans="3:7" x14ac:dyDescent="0.25">
      <c r="C251" s="12"/>
      <c r="D251" s="12"/>
      <c r="E251" s="101"/>
      <c r="F251" s="12"/>
      <c r="G251" s="12"/>
    </row>
    <row r="252" spans="3:7" x14ac:dyDescent="0.25">
      <c r="C252" s="12"/>
      <c r="D252" s="12"/>
      <c r="E252" s="101"/>
      <c r="F252" s="12"/>
      <c r="G252" s="12"/>
    </row>
    <row r="253" spans="3:7" x14ac:dyDescent="0.25">
      <c r="C253" s="12"/>
      <c r="D253" s="12"/>
      <c r="E253" s="101"/>
      <c r="F253" s="12"/>
      <c r="G253" s="12"/>
    </row>
    <row r="254" spans="3:7" x14ac:dyDescent="0.25">
      <c r="C254" s="12"/>
      <c r="D254" s="12"/>
      <c r="E254" s="101"/>
      <c r="F254" s="12"/>
      <c r="G254" s="12"/>
    </row>
    <row r="255" spans="3:7" x14ac:dyDescent="0.25">
      <c r="C255" s="12"/>
      <c r="D255" s="12"/>
      <c r="E255" s="101"/>
      <c r="F255" s="12"/>
      <c r="G255" s="12"/>
    </row>
    <row r="256" spans="3:7" x14ac:dyDescent="0.25">
      <c r="C256" s="12"/>
      <c r="D256" s="12"/>
      <c r="E256" s="101"/>
      <c r="F256" s="12"/>
      <c r="G256" s="12"/>
    </row>
    <row r="257" spans="3:7" x14ac:dyDescent="0.25">
      <c r="C257" s="12"/>
      <c r="D257" s="12"/>
      <c r="E257" s="101"/>
      <c r="F257" s="12"/>
      <c r="G257" s="12"/>
    </row>
    <row r="258" spans="3:7" x14ac:dyDescent="0.25">
      <c r="C258" s="12"/>
      <c r="D258" s="12"/>
      <c r="E258" s="101"/>
      <c r="F258" s="12"/>
      <c r="G258" s="12"/>
    </row>
    <row r="259" spans="3:7" x14ac:dyDescent="0.25">
      <c r="C259" s="12"/>
      <c r="D259" s="12"/>
      <c r="E259" s="101"/>
      <c r="F259" s="12"/>
      <c r="G259" s="12"/>
    </row>
    <row r="260" spans="3:7" x14ac:dyDescent="0.25">
      <c r="C260" s="12"/>
      <c r="D260" s="12"/>
      <c r="E260" s="101"/>
      <c r="F260" s="12"/>
      <c r="G260" s="12"/>
    </row>
    <row r="261" spans="3:7" x14ac:dyDescent="0.25">
      <c r="C261" s="12"/>
      <c r="D261" s="12"/>
      <c r="E261" s="101"/>
      <c r="F261" s="12"/>
      <c r="G261" s="12"/>
    </row>
    <row r="262" spans="3:7" x14ac:dyDescent="0.25">
      <c r="C262" s="12"/>
      <c r="D262" s="12"/>
      <c r="E262" s="101"/>
      <c r="F262" s="12"/>
      <c r="G262" s="12"/>
    </row>
    <row r="263" spans="3:7" x14ac:dyDescent="0.25">
      <c r="C263" s="12"/>
      <c r="D263" s="12"/>
      <c r="E263" s="101"/>
      <c r="F263" s="12"/>
      <c r="G263" s="12"/>
    </row>
    <row r="264" spans="3:7" x14ac:dyDescent="0.25">
      <c r="C264" s="12"/>
      <c r="D264" s="12"/>
      <c r="E264" s="101"/>
      <c r="F264" s="12"/>
      <c r="G264" s="12"/>
    </row>
    <row r="265" spans="3:7" x14ac:dyDescent="0.25">
      <c r="C265" s="12"/>
      <c r="D265" s="12"/>
      <c r="E265" s="101"/>
      <c r="F265" s="12"/>
      <c r="G265" s="12"/>
    </row>
    <row r="266" spans="3:7" x14ac:dyDescent="0.25">
      <c r="C266" s="12"/>
      <c r="D266" s="12"/>
      <c r="E266" s="101"/>
      <c r="F266" s="12"/>
      <c r="G266" s="12"/>
    </row>
    <row r="267" spans="3:7" x14ac:dyDescent="0.25">
      <c r="C267" s="12"/>
      <c r="D267" s="12"/>
      <c r="E267" s="101"/>
      <c r="F267" s="12"/>
      <c r="G267" s="12"/>
    </row>
    <row r="268" spans="3:7" x14ac:dyDescent="0.25">
      <c r="C268" s="12"/>
      <c r="D268" s="12"/>
      <c r="E268" s="101"/>
      <c r="F268" s="12"/>
      <c r="G268" s="12"/>
    </row>
    <row r="269" spans="3:7" x14ac:dyDescent="0.25">
      <c r="C269" s="12"/>
      <c r="D269" s="12"/>
      <c r="E269" s="101"/>
      <c r="F269" s="12"/>
      <c r="G269" s="12"/>
    </row>
    <row r="270" spans="3:7" x14ac:dyDescent="0.25">
      <c r="C270" s="12"/>
      <c r="D270" s="12"/>
      <c r="E270" s="101"/>
      <c r="F270" s="12"/>
      <c r="G270" s="12"/>
    </row>
    <row r="271" spans="3:7" x14ac:dyDescent="0.25">
      <c r="C271" s="12"/>
      <c r="D271" s="12"/>
      <c r="E271" s="101"/>
      <c r="F271" s="12"/>
      <c r="G271" s="12"/>
    </row>
    <row r="272" spans="3:7" x14ac:dyDescent="0.25">
      <c r="C272" s="12"/>
      <c r="D272" s="12"/>
      <c r="E272" s="101"/>
      <c r="F272" s="12"/>
      <c r="G272" s="12"/>
    </row>
    <row r="273" spans="3:7" x14ac:dyDescent="0.25">
      <c r="C273" s="12"/>
      <c r="D273" s="12"/>
      <c r="E273" s="101"/>
      <c r="F273" s="12"/>
      <c r="G273" s="12"/>
    </row>
    <row r="274" spans="3:7" x14ac:dyDescent="0.25">
      <c r="C274" s="12"/>
      <c r="D274" s="12"/>
      <c r="E274" s="101"/>
      <c r="F274" s="12"/>
      <c r="G274" s="12"/>
    </row>
    <row r="275" spans="3:7" x14ac:dyDescent="0.25">
      <c r="C275" s="12"/>
      <c r="D275" s="12"/>
      <c r="E275" s="101"/>
      <c r="F275" s="12"/>
      <c r="G275" s="12"/>
    </row>
    <row r="276" spans="3:7" x14ac:dyDescent="0.25">
      <c r="C276" s="12"/>
      <c r="D276" s="12"/>
      <c r="E276" s="101"/>
      <c r="F276" s="12"/>
      <c r="G276" s="12"/>
    </row>
    <row r="277" spans="3:7" x14ac:dyDescent="0.25">
      <c r="C277" s="12"/>
      <c r="D277" s="12"/>
      <c r="E277" s="101"/>
      <c r="F277" s="12"/>
      <c r="G277" s="12"/>
    </row>
    <row r="278" spans="3:7" x14ac:dyDescent="0.25">
      <c r="C278" s="12"/>
      <c r="D278" s="12"/>
      <c r="E278" s="101"/>
      <c r="F278" s="12"/>
      <c r="G278" s="12"/>
    </row>
    <row r="279" spans="3:7" x14ac:dyDescent="0.25">
      <c r="C279" s="12"/>
      <c r="D279" s="12"/>
      <c r="E279" s="101"/>
      <c r="F279" s="12"/>
      <c r="G279" s="12"/>
    </row>
    <row r="280" spans="3:7" x14ac:dyDescent="0.25">
      <c r="C280" s="12"/>
      <c r="D280" s="12"/>
      <c r="E280" s="101"/>
      <c r="F280" s="12"/>
      <c r="G280" s="12"/>
    </row>
    <row r="281" spans="3:7" x14ac:dyDescent="0.25">
      <c r="C281" s="12"/>
      <c r="D281" s="12"/>
      <c r="E281" s="101"/>
      <c r="F281" s="12"/>
      <c r="G281" s="12"/>
    </row>
    <row r="282" spans="3:7" x14ac:dyDescent="0.25">
      <c r="C282" s="12"/>
      <c r="D282" s="12"/>
      <c r="E282" s="101"/>
      <c r="F282" s="12"/>
      <c r="G282" s="12"/>
    </row>
    <row r="283" spans="3:7" x14ac:dyDescent="0.25">
      <c r="C283" s="12"/>
      <c r="D283" s="12"/>
      <c r="E283" s="101"/>
      <c r="F283" s="12"/>
      <c r="G283" s="12"/>
    </row>
    <row r="284" spans="3:7" x14ac:dyDescent="0.25">
      <c r="C284" s="12"/>
      <c r="D284" s="12"/>
      <c r="E284" s="101"/>
      <c r="F284" s="12"/>
      <c r="G284" s="12"/>
    </row>
    <row r="285" spans="3:7" x14ac:dyDescent="0.25">
      <c r="C285" s="12"/>
      <c r="D285" s="12"/>
      <c r="E285" s="101"/>
      <c r="F285" s="12"/>
      <c r="G285" s="12"/>
    </row>
    <row r="286" spans="3:7" x14ac:dyDescent="0.25">
      <c r="C286" s="12"/>
      <c r="D286" s="12"/>
      <c r="E286" s="101"/>
      <c r="F286" s="12"/>
      <c r="G286" s="12"/>
    </row>
    <row r="287" spans="3:7" x14ac:dyDescent="0.25">
      <c r="C287" s="12"/>
      <c r="D287" s="12"/>
      <c r="E287" s="101"/>
      <c r="F287" s="12"/>
      <c r="G287" s="12"/>
    </row>
    <row r="288" spans="3:7" x14ac:dyDescent="0.25">
      <c r="C288" s="12"/>
      <c r="D288" s="12"/>
      <c r="E288" s="101"/>
      <c r="F288" s="12"/>
      <c r="G288" s="12"/>
    </row>
    <row r="289" spans="3:7" x14ac:dyDescent="0.25">
      <c r="C289" s="12"/>
      <c r="D289" s="12"/>
      <c r="E289" s="101"/>
      <c r="F289" s="12"/>
      <c r="G289" s="12"/>
    </row>
    <row r="290" spans="3:7" x14ac:dyDescent="0.25">
      <c r="C290" s="12"/>
      <c r="D290" s="12"/>
      <c r="E290" s="101"/>
      <c r="F290" s="12"/>
      <c r="G290" s="12"/>
    </row>
    <row r="291" spans="3:7" x14ac:dyDescent="0.25">
      <c r="C291" s="12"/>
      <c r="D291" s="12"/>
      <c r="E291" s="101"/>
      <c r="F291" s="12"/>
      <c r="G291" s="12"/>
    </row>
    <row r="292" spans="3:7" x14ac:dyDescent="0.25">
      <c r="C292" s="12"/>
      <c r="D292" s="12"/>
      <c r="E292" s="101"/>
      <c r="F292" s="12"/>
      <c r="G292" s="12"/>
    </row>
    <row r="293" spans="3:7" x14ac:dyDescent="0.25">
      <c r="C293" s="12"/>
      <c r="D293" s="12"/>
      <c r="E293" s="101"/>
      <c r="F293" s="12"/>
      <c r="G293" s="12"/>
    </row>
    <row r="294" spans="3:7" x14ac:dyDescent="0.25">
      <c r="C294" s="12"/>
      <c r="D294" s="12"/>
      <c r="E294" s="101"/>
      <c r="F294" s="12"/>
      <c r="G294" s="12"/>
    </row>
    <row r="295" spans="3:7" x14ac:dyDescent="0.25">
      <c r="C295" s="12"/>
      <c r="D295" s="12"/>
      <c r="E295" s="101"/>
      <c r="F295" s="12"/>
      <c r="G295" s="12"/>
    </row>
    <row r="296" spans="3:7" x14ac:dyDescent="0.25">
      <c r="C296" s="12"/>
      <c r="D296" s="12"/>
      <c r="E296" s="101"/>
      <c r="F296" s="12"/>
      <c r="G296" s="12"/>
    </row>
    <row r="297" spans="3:7" x14ac:dyDescent="0.25">
      <c r="C297" s="12"/>
      <c r="D297" s="12"/>
      <c r="E297" s="101"/>
      <c r="F297" s="12"/>
      <c r="G297" s="12"/>
    </row>
    <row r="298" spans="3:7" x14ac:dyDescent="0.25">
      <c r="C298" s="12"/>
      <c r="D298" s="12"/>
      <c r="E298" s="101"/>
      <c r="F298" s="12"/>
      <c r="G298" s="12"/>
    </row>
    <row r="299" spans="3:7" x14ac:dyDescent="0.25">
      <c r="C299" s="12"/>
      <c r="D299" s="12"/>
      <c r="E299" s="101"/>
      <c r="F299" s="12"/>
      <c r="G299" s="12"/>
    </row>
    <row r="300" spans="3:7" x14ac:dyDescent="0.25">
      <c r="C300" s="12"/>
      <c r="D300" s="12"/>
      <c r="E300" s="101"/>
      <c r="F300" s="12"/>
      <c r="G300" s="12"/>
    </row>
    <row r="301" spans="3:7" x14ac:dyDescent="0.25">
      <c r="C301" s="12"/>
      <c r="D301" s="12"/>
      <c r="E301" s="101"/>
      <c r="F301" s="12"/>
      <c r="G301" s="12"/>
    </row>
    <row r="302" spans="3:7" x14ac:dyDescent="0.25">
      <c r="C302" s="12"/>
      <c r="D302" s="12"/>
      <c r="E302" s="101"/>
      <c r="F302" s="12"/>
      <c r="G302" s="12"/>
    </row>
    <row r="303" spans="3:7" x14ac:dyDescent="0.25">
      <c r="C303" s="12"/>
      <c r="D303" s="12"/>
      <c r="E303" s="101"/>
      <c r="F303" s="12"/>
      <c r="G303" s="12"/>
    </row>
    <row r="304" spans="3:7" x14ac:dyDescent="0.25">
      <c r="C304" s="12"/>
      <c r="D304" s="12"/>
      <c r="E304" s="101"/>
      <c r="F304" s="12"/>
      <c r="G304" s="12"/>
    </row>
    <row r="305" spans="3:7" x14ac:dyDescent="0.25">
      <c r="C305" s="12"/>
      <c r="D305" s="12"/>
      <c r="E305" s="101"/>
      <c r="F305" s="12"/>
      <c r="G305" s="12"/>
    </row>
    <row r="306" spans="3:7" x14ac:dyDescent="0.25">
      <c r="C306" s="12"/>
      <c r="D306" s="12"/>
      <c r="E306" s="101"/>
      <c r="F306" s="12"/>
      <c r="G306" s="12"/>
    </row>
    <row r="307" spans="3:7" x14ac:dyDescent="0.25">
      <c r="C307" s="12"/>
      <c r="D307" s="12"/>
      <c r="E307" s="101"/>
      <c r="F307" s="12"/>
      <c r="G307" s="12"/>
    </row>
    <row r="308" spans="3:7" x14ac:dyDescent="0.25">
      <c r="C308" s="12"/>
      <c r="D308" s="12"/>
      <c r="E308" s="101"/>
      <c r="F308" s="12"/>
      <c r="G308" s="12"/>
    </row>
    <row r="309" spans="3:7" x14ac:dyDescent="0.25">
      <c r="C309" s="12"/>
      <c r="D309" s="12"/>
      <c r="E309" s="101"/>
      <c r="F309" s="12"/>
      <c r="G309" s="12"/>
    </row>
    <row r="310" spans="3:7" x14ac:dyDescent="0.25">
      <c r="C310" s="12"/>
      <c r="D310" s="12"/>
      <c r="E310" s="101"/>
      <c r="F310" s="12"/>
      <c r="G310" s="12"/>
    </row>
    <row r="311" spans="3:7" x14ac:dyDescent="0.25">
      <c r="C311" s="12"/>
      <c r="D311" s="12"/>
      <c r="E311" s="101"/>
      <c r="F311" s="12"/>
      <c r="G311" s="12"/>
    </row>
    <row r="312" spans="3:7" x14ac:dyDescent="0.25">
      <c r="C312" s="12"/>
      <c r="D312" s="12"/>
      <c r="E312" s="101"/>
      <c r="F312" s="12"/>
      <c r="G312" s="12"/>
    </row>
    <row r="313" spans="3:7" x14ac:dyDescent="0.25">
      <c r="C313" s="12"/>
      <c r="D313" s="12"/>
      <c r="E313" s="101"/>
      <c r="F313" s="12"/>
      <c r="G313" s="12"/>
    </row>
    <row r="314" spans="3:7" x14ac:dyDescent="0.25">
      <c r="C314" s="12"/>
      <c r="D314" s="12"/>
      <c r="E314" s="101"/>
      <c r="F314" s="12"/>
      <c r="G314" s="12"/>
    </row>
    <row r="315" spans="3:7" x14ac:dyDescent="0.25">
      <c r="C315" s="12"/>
      <c r="D315" s="12"/>
      <c r="E315" s="101"/>
      <c r="F315" s="12"/>
      <c r="G315" s="12"/>
    </row>
    <row r="316" spans="3:7" x14ac:dyDescent="0.25">
      <c r="C316" s="12"/>
      <c r="D316" s="12"/>
      <c r="E316" s="101"/>
      <c r="F316" s="12"/>
      <c r="G316" s="12"/>
    </row>
    <row r="317" spans="3:7" x14ac:dyDescent="0.25">
      <c r="C317" s="12"/>
      <c r="D317" s="12"/>
      <c r="E317" s="101"/>
      <c r="F317" s="12"/>
      <c r="G317" s="12"/>
    </row>
    <row r="318" spans="3:7" x14ac:dyDescent="0.25">
      <c r="C318" s="12"/>
      <c r="D318" s="12"/>
      <c r="E318" s="101"/>
      <c r="F318" s="12"/>
      <c r="G318" s="12"/>
    </row>
    <row r="319" spans="3:7" x14ac:dyDescent="0.25">
      <c r="C319" s="12"/>
      <c r="D319" s="12"/>
      <c r="E319" s="101"/>
      <c r="F319" s="12"/>
      <c r="G319" s="12"/>
    </row>
    <row r="320" spans="3:7" x14ac:dyDescent="0.25">
      <c r="C320" s="12"/>
      <c r="D320" s="12"/>
      <c r="E320" s="101"/>
      <c r="F320" s="12"/>
      <c r="G320" s="12"/>
    </row>
    <row r="321" spans="3:7" x14ac:dyDescent="0.25">
      <c r="C321" s="12"/>
      <c r="D321" s="12"/>
      <c r="E321" s="101"/>
      <c r="F321" s="12"/>
      <c r="G321" s="12"/>
    </row>
    <row r="322" spans="3:7" x14ac:dyDescent="0.25">
      <c r="C322" s="12"/>
      <c r="D322" s="12"/>
      <c r="E322" s="101"/>
      <c r="F322" s="12"/>
      <c r="G322" s="12"/>
    </row>
    <row r="323" spans="3:7" x14ac:dyDescent="0.25">
      <c r="C323" s="12"/>
      <c r="D323" s="12"/>
      <c r="E323" s="101"/>
      <c r="F323" s="12"/>
      <c r="G323" s="12"/>
    </row>
    <row r="324" spans="3:7" x14ac:dyDescent="0.25">
      <c r="C324" s="12"/>
      <c r="D324" s="12"/>
      <c r="E324" s="101"/>
      <c r="F324" s="12"/>
      <c r="G324" s="12"/>
    </row>
    <row r="325" spans="3:7" x14ac:dyDescent="0.25">
      <c r="C325" s="12"/>
      <c r="D325" s="12"/>
      <c r="E325" s="101"/>
      <c r="F325" s="12"/>
      <c r="G325" s="12"/>
    </row>
    <row r="326" spans="3:7" x14ac:dyDescent="0.25">
      <c r="C326" s="12"/>
      <c r="D326" s="12"/>
      <c r="E326" s="101"/>
      <c r="F326" s="12"/>
      <c r="G326" s="12"/>
    </row>
    <row r="327" spans="3:7" x14ac:dyDescent="0.25">
      <c r="C327" s="12"/>
      <c r="D327" s="12"/>
      <c r="E327" s="101"/>
      <c r="F327" s="12"/>
      <c r="G327" s="12"/>
    </row>
    <row r="328" spans="3:7" x14ac:dyDescent="0.25">
      <c r="C328" s="12"/>
      <c r="D328" s="12"/>
      <c r="E328" s="101"/>
      <c r="F328" s="12"/>
      <c r="G328" s="12"/>
    </row>
    <row r="329" spans="3:7" x14ac:dyDescent="0.25">
      <c r="C329" s="12"/>
      <c r="D329" s="12"/>
      <c r="E329" s="101"/>
      <c r="F329" s="12"/>
      <c r="G329" s="12"/>
    </row>
    <row r="330" spans="3:7" x14ac:dyDescent="0.25">
      <c r="C330" s="12"/>
      <c r="D330" s="12"/>
      <c r="E330" s="101"/>
      <c r="F330" s="12"/>
      <c r="G330" s="12"/>
    </row>
    <row r="331" spans="3:7" x14ac:dyDescent="0.25">
      <c r="C331" s="12"/>
      <c r="D331" s="12"/>
      <c r="E331" s="101"/>
      <c r="F331" s="12"/>
      <c r="G331" s="12"/>
    </row>
    <row r="332" spans="3:7" x14ac:dyDescent="0.25">
      <c r="C332" s="12"/>
      <c r="D332" s="12"/>
      <c r="E332" s="101"/>
      <c r="F332" s="12"/>
      <c r="G332" s="12"/>
    </row>
    <row r="333" spans="3:7" x14ac:dyDescent="0.25">
      <c r="C333" s="12"/>
      <c r="D333" s="12"/>
      <c r="E333" s="101"/>
      <c r="F333" s="12"/>
      <c r="G333" s="12"/>
    </row>
    <row r="334" spans="3:7" x14ac:dyDescent="0.25">
      <c r="C334" s="12"/>
      <c r="D334" s="12"/>
      <c r="E334" s="101"/>
      <c r="F334" s="12"/>
      <c r="G334" s="12"/>
    </row>
    <row r="335" spans="3:7" x14ac:dyDescent="0.25">
      <c r="C335" s="12"/>
      <c r="D335" s="12"/>
      <c r="E335" s="101"/>
      <c r="F335" s="12"/>
      <c r="G335" s="12"/>
    </row>
    <row r="336" spans="3:7" x14ac:dyDescent="0.25">
      <c r="C336" s="12"/>
      <c r="D336" s="12"/>
      <c r="E336" s="101"/>
      <c r="F336" s="12"/>
      <c r="G336" s="12"/>
    </row>
    <row r="337" spans="3:7" x14ac:dyDescent="0.25">
      <c r="C337" s="12"/>
      <c r="D337" s="12"/>
      <c r="E337" s="101"/>
      <c r="F337" s="12"/>
      <c r="G337" s="12"/>
    </row>
    <row r="338" spans="3:7" x14ac:dyDescent="0.25">
      <c r="C338" s="12"/>
      <c r="D338" s="12"/>
      <c r="E338" s="101"/>
      <c r="F338" s="12"/>
      <c r="G338" s="12"/>
    </row>
    <row r="339" spans="3:7" x14ac:dyDescent="0.25">
      <c r="C339" s="12"/>
      <c r="D339" s="12"/>
      <c r="E339" s="101"/>
      <c r="F339" s="12"/>
      <c r="G339" s="12"/>
    </row>
    <row r="340" spans="3:7" x14ac:dyDescent="0.25">
      <c r="C340" s="12"/>
      <c r="D340" s="12"/>
      <c r="E340" s="101"/>
      <c r="F340" s="12"/>
      <c r="G340" s="12"/>
    </row>
    <row r="341" spans="3:7" x14ac:dyDescent="0.25">
      <c r="C341" s="12"/>
      <c r="D341" s="12"/>
      <c r="E341" s="101"/>
      <c r="F341" s="12"/>
      <c r="G341" s="12"/>
    </row>
    <row r="342" spans="3:7" x14ac:dyDescent="0.25">
      <c r="C342" s="12"/>
      <c r="D342" s="12"/>
      <c r="E342" s="101"/>
      <c r="F342" s="12"/>
      <c r="G342" s="12"/>
    </row>
    <row r="343" spans="3:7" x14ac:dyDescent="0.25">
      <c r="C343" s="12"/>
      <c r="D343" s="12"/>
      <c r="E343" s="101"/>
      <c r="F343" s="12"/>
      <c r="G343" s="12"/>
    </row>
    <row r="344" spans="3:7" x14ac:dyDescent="0.25">
      <c r="C344" s="12"/>
      <c r="D344" s="12"/>
      <c r="E344" s="101"/>
      <c r="F344" s="12"/>
      <c r="G344" s="12"/>
    </row>
    <row r="345" spans="3:7" x14ac:dyDescent="0.25">
      <c r="C345" s="12"/>
      <c r="D345" s="12"/>
      <c r="E345" s="101"/>
      <c r="F345" s="12"/>
      <c r="G345" s="12"/>
    </row>
    <row r="346" spans="3:7" x14ac:dyDescent="0.25">
      <c r="C346" s="12"/>
      <c r="D346" s="12"/>
      <c r="E346" s="101"/>
      <c r="F346" s="12"/>
      <c r="G346" s="12"/>
    </row>
    <row r="347" spans="3:7" x14ac:dyDescent="0.25">
      <c r="C347" s="12"/>
      <c r="D347" s="12"/>
      <c r="E347" s="101"/>
      <c r="F347" s="12"/>
      <c r="G347" s="12"/>
    </row>
    <row r="348" spans="3:7" x14ac:dyDescent="0.25">
      <c r="C348" s="12"/>
      <c r="D348" s="12"/>
      <c r="E348" s="101"/>
      <c r="F348" s="12"/>
      <c r="G348" s="12"/>
    </row>
    <row r="349" spans="3:7" x14ac:dyDescent="0.25">
      <c r="C349" s="12"/>
      <c r="D349" s="12"/>
      <c r="E349" s="101"/>
      <c r="F349" s="12"/>
      <c r="G349" s="12"/>
    </row>
    <row r="350" spans="3:7" x14ac:dyDescent="0.25">
      <c r="C350" s="12"/>
      <c r="D350" s="12"/>
      <c r="E350" s="101"/>
      <c r="F350" s="12"/>
      <c r="G350" s="12"/>
    </row>
    <row r="351" spans="3:7" x14ac:dyDescent="0.25">
      <c r="C351" s="12"/>
      <c r="D351" s="12"/>
      <c r="E351" s="101"/>
      <c r="F351" s="12"/>
      <c r="G351" s="12"/>
    </row>
    <row r="352" spans="3:7" x14ac:dyDescent="0.25">
      <c r="C352" s="12"/>
      <c r="D352" s="12"/>
      <c r="E352" s="101"/>
      <c r="F352" s="12"/>
      <c r="G352" s="12"/>
    </row>
    <row r="353" spans="3:7" x14ac:dyDescent="0.25">
      <c r="C353" s="12"/>
      <c r="D353" s="12"/>
      <c r="E353" s="101"/>
      <c r="F353" s="12"/>
      <c r="G353" s="12"/>
    </row>
    <row r="354" spans="3:7" x14ac:dyDescent="0.25">
      <c r="C354" s="12"/>
      <c r="D354" s="12"/>
      <c r="E354" s="101"/>
      <c r="F354" s="12"/>
      <c r="G354" s="12"/>
    </row>
    <row r="355" spans="3:7" x14ac:dyDescent="0.25">
      <c r="C355" s="12"/>
      <c r="D355" s="12"/>
      <c r="E355" s="101"/>
      <c r="F355" s="12"/>
      <c r="G355" s="12"/>
    </row>
    <row r="356" spans="3:7" x14ac:dyDescent="0.25">
      <c r="C356" s="12"/>
      <c r="D356" s="12"/>
      <c r="E356" s="101"/>
      <c r="F356" s="12"/>
      <c r="G356" s="12"/>
    </row>
    <row r="357" spans="3:7" x14ac:dyDescent="0.25">
      <c r="C357" s="12"/>
      <c r="D357" s="12"/>
      <c r="E357" s="101"/>
      <c r="F357" s="12"/>
      <c r="G357" s="12"/>
    </row>
    <row r="358" spans="3:7" x14ac:dyDescent="0.25">
      <c r="C358" s="12"/>
      <c r="D358" s="12"/>
      <c r="E358" s="101"/>
      <c r="F358" s="12"/>
      <c r="G358" s="12"/>
    </row>
    <row r="359" spans="3:7" x14ac:dyDescent="0.25">
      <c r="C359" s="12"/>
      <c r="D359" s="12"/>
      <c r="E359" s="101"/>
      <c r="F359" s="12"/>
      <c r="G359" s="12"/>
    </row>
    <row r="360" spans="3:7" x14ac:dyDescent="0.25">
      <c r="C360" s="12"/>
      <c r="D360" s="12"/>
      <c r="E360" s="101"/>
      <c r="F360" s="12"/>
      <c r="G360" s="12"/>
    </row>
    <row r="361" spans="3:7" x14ac:dyDescent="0.25">
      <c r="C361" s="12"/>
      <c r="D361" s="12"/>
      <c r="E361" s="101"/>
      <c r="F361" s="12"/>
      <c r="G361" s="12"/>
    </row>
    <row r="362" spans="3:7" x14ac:dyDescent="0.25">
      <c r="C362" s="12"/>
      <c r="D362" s="12"/>
      <c r="E362" s="101"/>
      <c r="F362" s="12"/>
      <c r="G362" s="12"/>
    </row>
    <row r="363" spans="3:7" x14ac:dyDescent="0.25">
      <c r="C363" s="12"/>
      <c r="D363" s="12"/>
      <c r="E363" s="101"/>
      <c r="F363" s="12"/>
      <c r="G363" s="12"/>
    </row>
    <row r="364" spans="3:7" x14ac:dyDescent="0.25">
      <c r="C364" s="12"/>
      <c r="D364" s="12"/>
      <c r="E364" s="101"/>
      <c r="F364" s="12"/>
      <c r="G364" s="12"/>
    </row>
    <row r="365" spans="3:7" x14ac:dyDescent="0.25">
      <c r="C365" s="12"/>
      <c r="D365" s="12"/>
      <c r="E365" s="101"/>
      <c r="F365" s="12"/>
      <c r="G365" s="12"/>
    </row>
    <row r="366" spans="3:7" x14ac:dyDescent="0.25">
      <c r="C366" s="12"/>
      <c r="D366" s="12"/>
      <c r="E366" s="101"/>
      <c r="F366" s="12"/>
      <c r="G366" s="12"/>
    </row>
  </sheetData>
  <mergeCells count="21">
    <mergeCell ref="D197:E197"/>
    <mergeCell ref="A125:A126"/>
    <mergeCell ref="B125:B126"/>
    <mergeCell ref="C125:C126"/>
    <mergeCell ref="D125:D126"/>
    <mergeCell ref="E125:E126"/>
    <mergeCell ref="A163:A164"/>
    <mergeCell ref="B163:B164"/>
    <mergeCell ref="C163:C164"/>
    <mergeCell ref="D163:D164"/>
    <mergeCell ref="E163:E164"/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</mergeCells>
  <pageMargins left="0.14000000000000001" right="0.11" top="0.48" bottom="0.75" header="0.3" footer="0.3"/>
  <pageSetup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A149" zoomScale="130" zoomScaleNormal="130" workbookViewId="0">
      <selection activeCell="B155" sqref="B155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85546875" style="13" customWidth="1"/>
    <col min="5" max="5" width="14.7109375" style="13" customWidth="1"/>
    <col min="6" max="6" width="16.28515625" style="13" customWidth="1"/>
    <col min="7" max="7" width="15.71093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68</v>
      </c>
      <c r="M2" s="12">
        <v>33000</v>
      </c>
      <c r="N2" s="13" t="s">
        <v>73</v>
      </c>
    </row>
    <row r="3" spans="1:19" x14ac:dyDescent="0.25">
      <c r="A3" s="13" t="s">
        <v>2</v>
      </c>
      <c r="J3" s="12">
        <v>24000</v>
      </c>
      <c r="K3" s="13" t="s">
        <v>70</v>
      </c>
      <c r="M3" s="12">
        <v>46000</v>
      </c>
      <c r="N3" s="13" t="s">
        <v>74</v>
      </c>
    </row>
    <row r="4" spans="1:19" x14ac:dyDescent="0.25">
      <c r="A4" s="22" t="s">
        <v>240</v>
      </c>
      <c r="F4" s="22"/>
      <c r="J4" s="12">
        <v>70000</v>
      </c>
      <c r="M4" s="12">
        <v>52000</v>
      </c>
      <c r="N4" s="13" t="s">
        <v>75</v>
      </c>
      <c r="R4" s="12">
        <v>52000</v>
      </c>
      <c r="S4" s="12">
        <v>45000</v>
      </c>
    </row>
    <row r="5" spans="1:19" x14ac:dyDescent="0.25">
      <c r="A5" s="13" t="s">
        <v>148</v>
      </c>
      <c r="J5" s="12"/>
      <c r="M5" s="12">
        <v>28000</v>
      </c>
      <c r="N5" s="13" t="s">
        <v>76</v>
      </c>
      <c r="S5" s="12">
        <v>15000</v>
      </c>
    </row>
    <row r="6" spans="1:19" x14ac:dyDescent="0.25">
      <c r="A6" s="115" t="s">
        <v>3</v>
      </c>
      <c r="B6" s="115" t="s">
        <v>4</v>
      </c>
      <c r="C6" s="115" t="s">
        <v>5</v>
      </c>
      <c r="D6" s="115" t="s">
        <v>6</v>
      </c>
      <c r="E6" s="115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116"/>
      <c r="B7" s="116"/>
      <c r="C7" s="116"/>
      <c r="D7" s="116"/>
      <c r="E7" s="116"/>
      <c r="F7" s="16" t="s">
        <v>5</v>
      </c>
      <c r="G7" s="16" t="s">
        <v>6</v>
      </c>
      <c r="I7" s="12"/>
      <c r="J7" s="12">
        <v>130000</v>
      </c>
      <c r="K7" s="13" t="s">
        <v>69</v>
      </c>
      <c r="M7" s="23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4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71</v>
      </c>
      <c r="M8" s="12"/>
      <c r="R8" s="12">
        <v>45000</v>
      </c>
      <c r="S8" s="12">
        <v>40000</v>
      </c>
    </row>
    <row r="9" spans="1:19" x14ac:dyDescent="0.25">
      <c r="A9" s="25"/>
      <c r="B9" s="18"/>
      <c r="C9" s="18"/>
      <c r="D9" s="18"/>
      <c r="E9" s="18"/>
      <c r="F9" s="18"/>
      <c r="G9" s="18"/>
      <c r="I9" s="12">
        <f>8428.54/6</f>
        <v>1404.7566666666669</v>
      </c>
      <c r="J9" s="12"/>
      <c r="K9" s="13" t="s">
        <v>72</v>
      </c>
      <c r="M9" s="12"/>
      <c r="R9" s="12">
        <v>10000</v>
      </c>
      <c r="S9" s="12">
        <v>25000</v>
      </c>
    </row>
    <row r="10" spans="1:19" x14ac:dyDescent="0.25">
      <c r="A10" s="25">
        <v>1011</v>
      </c>
      <c r="B10" s="26" t="s">
        <v>10</v>
      </c>
      <c r="C10" s="18"/>
      <c r="D10" s="2"/>
      <c r="E10" s="2"/>
      <c r="F10" s="2"/>
      <c r="G10" s="2"/>
      <c r="I10" s="12">
        <f>14568.64/9</f>
        <v>1618.7377777777776</v>
      </c>
      <c r="J10" s="12"/>
      <c r="M10" s="12">
        <v>16000</v>
      </c>
      <c r="N10" s="13" t="s">
        <v>77</v>
      </c>
      <c r="S10" s="12">
        <v>14000</v>
      </c>
    </row>
    <row r="11" spans="1:19" x14ac:dyDescent="0.25">
      <c r="A11" s="25"/>
      <c r="B11" s="27" t="s">
        <v>11</v>
      </c>
      <c r="C11" s="2">
        <v>1738387.04</v>
      </c>
      <c r="D11" s="2">
        <f>C11/4*3</f>
        <v>1303790.28</v>
      </c>
      <c r="E11" s="96">
        <f>137223.36+167223.36+137223.36+157223.36+189811.36+137223.36+137223.36+138222.36+138222.36</f>
        <v>1339596.2399999998</v>
      </c>
      <c r="F11" s="2">
        <f>C11-E11</f>
        <v>398790.80000000028</v>
      </c>
      <c r="G11" s="2">
        <f>D11-E11</f>
        <v>-35805.95999999973</v>
      </c>
      <c r="J11" s="12">
        <v>2000</v>
      </c>
      <c r="M11" s="12">
        <v>9000</v>
      </c>
      <c r="R11" s="12"/>
      <c r="S11" s="12"/>
    </row>
    <row r="12" spans="1:19" x14ac:dyDescent="0.25">
      <c r="A12" s="25"/>
      <c r="B12" s="27" t="s">
        <v>12</v>
      </c>
      <c r="C12" s="2">
        <v>1215123.27</v>
      </c>
      <c r="D12" s="2">
        <f t="shared" ref="D12:D13" si="0">C12/4*3</f>
        <v>911342.45250000001</v>
      </c>
      <c r="E12" s="96">
        <f>68133.9+66346.33+10000+43240.91+52836.91+112317.5+214312+88720.39+398667.38</f>
        <v>1054575.32</v>
      </c>
      <c r="F12" s="2">
        <f t="shared" ref="F12:F13" si="1">C12-E12</f>
        <v>160547.94999999995</v>
      </c>
      <c r="G12" s="2">
        <f t="shared" ref="G12:G13" si="2">D12-E12</f>
        <v>-143232.86750000005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5"/>
      <c r="B13" s="27" t="s">
        <v>13</v>
      </c>
      <c r="C13" s="2">
        <v>150000</v>
      </c>
      <c r="D13" s="2">
        <f t="shared" si="0"/>
        <v>112500</v>
      </c>
      <c r="E13" s="96"/>
      <c r="F13" s="2">
        <f t="shared" si="1"/>
        <v>150000</v>
      </c>
      <c r="G13" s="2">
        <f t="shared" si="2"/>
        <v>112500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5"/>
      <c r="B14" s="27" t="s">
        <v>14</v>
      </c>
      <c r="C14" s="2"/>
      <c r="D14" s="2"/>
      <c r="E14" s="96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5"/>
      <c r="B15" s="28" t="s">
        <v>27</v>
      </c>
      <c r="C15" s="8">
        <f>SUM(C11:C14)</f>
        <v>3103510.31</v>
      </c>
      <c r="D15" s="8">
        <f>SUM(D11:D14)</f>
        <v>2327632.7324999999</v>
      </c>
      <c r="E15" s="97">
        <f>SUM(E11:E14)</f>
        <v>2394171.5599999996</v>
      </c>
      <c r="F15" s="8">
        <f>SUM(F11:F14)</f>
        <v>709338.75000000023</v>
      </c>
      <c r="G15" s="8">
        <f>SUM(G11:G14)</f>
        <v>-66538.827499999781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5"/>
      <c r="B16" s="18"/>
      <c r="C16" s="2"/>
      <c r="D16" s="2"/>
      <c r="E16" s="96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5">
        <v>1021</v>
      </c>
      <c r="B17" s="26" t="s">
        <v>28</v>
      </c>
      <c r="C17" s="2"/>
      <c r="D17" s="2"/>
      <c r="E17" s="96"/>
      <c r="F17" s="2"/>
      <c r="G17" s="2"/>
      <c r="I17" s="12"/>
      <c r="J17" s="12">
        <v>10000</v>
      </c>
      <c r="L17" s="12"/>
      <c r="M17" s="14">
        <v>2000</v>
      </c>
      <c r="N17" s="13" t="s">
        <v>84</v>
      </c>
      <c r="R17" s="12"/>
      <c r="S17" s="14">
        <f>R16+S16</f>
        <v>159000</v>
      </c>
    </row>
    <row r="18" spans="1:19" x14ac:dyDescent="0.25">
      <c r="A18" s="25"/>
      <c r="B18" s="27" t="s">
        <v>11</v>
      </c>
      <c r="C18" s="2">
        <v>8585093.1600000001</v>
      </c>
      <c r="D18" s="2">
        <f t="shared" ref="D18:D20" si="3">C18/4*3</f>
        <v>6438819.8700000001</v>
      </c>
      <c r="E18" s="96">
        <f>603278.41+936306.35+603278.41+623357.41+843407.41+603357.41+603357.41+603368.68+603368.68</f>
        <v>6023080.1699999999</v>
      </c>
      <c r="F18" s="2">
        <f>C18-E18</f>
        <v>2562012.9900000002</v>
      </c>
      <c r="G18" s="2">
        <f>D18-E18</f>
        <v>415739.70000000019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5"/>
      <c r="B19" s="27" t="s">
        <v>12</v>
      </c>
      <c r="C19" s="2">
        <v>1180936.3600000001</v>
      </c>
      <c r="D19" s="2">
        <f t="shared" si="3"/>
        <v>885702.27</v>
      </c>
      <c r="E19" s="96">
        <f>119020+28460+11000+12060+116756+32818+133520+33877</f>
        <v>487511</v>
      </c>
      <c r="F19" s="2">
        <f>C19-E19</f>
        <v>693425.3600000001</v>
      </c>
      <c r="G19" s="2">
        <f>D19-E19</f>
        <v>398191.27</v>
      </c>
      <c r="I19" s="12"/>
      <c r="J19" s="12">
        <v>3000</v>
      </c>
      <c r="L19" s="14">
        <f>L18-58</f>
        <v>33</v>
      </c>
      <c r="M19" s="12">
        <v>40000</v>
      </c>
      <c r="N19" s="13" t="s">
        <v>82</v>
      </c>
      <c r="R19" s="12"/>
    </row>
    <row r="20" spans="1:19" x14ac:dyDescent="0.25">
      <c r="A20" s="25"/>
      <c r="B20" s="27" t="s">
        <v>13</v>
      </c>
      <c r="C20" s="2">
        <v>120000</v>
      </c>
      <c r="D20" s="2">
        <f t="shared" si="3"/>
        <v>90000</v>
      </c>
      <c r="E20" s="96"/>
      <c r="F20" s="2">
        <f>C20-E20</f>
        <v>120000</v>
      </c>
      <c r="G20" s="2">
        <f>D20-E20</f>
        <v>90000</v>
      </c>
      <c r="I20" s="12"/>
      <c r="J20" s="12">
        <v>3000</v>
      </c>
      <c r="M20" s="12">
        <v>45000</v>
      </c>
      <c r="N20" s="13" t="s">
        <v>79</v>
      </c>
      <c r="R20" s="12"/>
    </row>
    <row r="21" spans="1:19" x14ac:dyDescent="0.25">
      <c r="A21" s="25"/>
      <c r="B21" s="27" t="s">
        <v>14</v>
      </c>
      <c r="C21" s="2"/>
      <c r="D21" s="2"/>
      <c r="E21" s="96"/>
      <c r="F21" s="2"/>
      <c r="G21" s="2"/>
      <c r="J21" s="12">
        <f>7*1500</f>
        <v>10500</v>
      </c>
      <c r="M21" s="12">
        <v>14000</v>
      </c>
      <c r="N21" s="13" t="s">
        <v>78</v>
      </c>
      <c r="R21" s="12"/>
    </row>
    <row r="22" spans="1:19" x14ac:dyDescent="0.25">
      <c r="A22" s="25"/>
      <c r="B22" s="28" t="s">
        <v>27</v>
      </c>
      <c r="C22" s="8">
        <f>SUM(C18:C21)</f>
        <v>9886029.5199999996</v>
      </c>
      <c r="D22" s="8">
        <f>SUM(D18:D21)</f>
        <v>7414522.1400000006</v>
      </c>
      <c r="E22" s="97">
        <f>SUM(E18:E21)</f>
        <v>6510591.1699999999</v>
      </c>
      <c r="F22" s="8">
        <f>SUM(F18:F21)</f>
        <v>3375438.3500000006</v>
      </c>
      <c r="G22" s="8">
        <f>SUM(G18:G21)</f>
        <v>903930.9700000002</v>
      </c>
      <c r="J22" s="12">
        <f>SUM(J11:J21)</f>
        <v>63000</v>
      </c>
      <c r="M22" s="14">
        <v>15000</v>
      </c>
      <c r="N22" s="13" t="s">
        <v>83</v>
      </c>
      <c r="R22" s="12"/>
    </row>
    <row r="23" spans="1:19" x14ac:dyDescent="0.25">
      <c r="A23" s="25"/>
      <c r="B23" s="18"/>
      <c r="C23" s="2"/>
      <c r="D23" s="2"/>
      <c r="E23" s="96"/>
      <c r="F23" s="2"/>
      <c r="G23" s="2"/>
      <c r="J23" s="12">
        <f>J22-12500</f>
        <v>50500</v>
      </c>
      <c r="M23" s="14">
        <v>25000</v>
      </c>
      <c r="N23" s="13" t="s">
        <v>80</v>
      </c>
      <c r="R23" s="12"/>
    </row>
    <row r="24" spans="1:19" x14ac:dyDescent="0.25">
      <c r="A24" s="25">
        <v>1041</v>
      </c>
      <c r="B24" s="26" t="s">
        <v>15</v>
      </c>
      <c r="C24" s="2"/>
      <c r="D24" s="2"/>
      <c r="E24" s="96"/>
      <c r="F24" s="2"/>
      <c r="G24" s="2"/>
      <c r="J24" s="12">
        <v>34000</v>
      </c>
      <c r="M24" s="14">
        <v>10000</v>
      </c>
      <c r="N24" s="13" t="s">
        <v>81</v>
      </c>
      <c r="R24" s="12"/>
    </row>
    <row r="25" spans="1:19" ht="15.75" thickBot="1" x14ac:dyDescent="0.3">
      <c r="A25" s="25"/>
      <c r="B25" s="27" t="s">
        <v>11</v>
      </c>
      <c r="C25" s="2">
        <v>1080068.32</v>
      </c>
      <c r="D25" s="2">
        <f t="shared" ref="D25:D27" si="4">C25/4*3</f>
        <v>810051.24</v>
      </c>
      <c r="E25" s="96">
        <f>81375.15+96375.15+81375.15+96524.11+117488.61+81524.11+81524.11+81524.11+81524.11</f>
        <v>799234.61</v>
      </c>
      <c r="F25" s="2">
        <f>C25-E25</f>
        <v>280833.71000000008</v>
      </c>
      <c r="G25" s="2">
        <f>D25-E25</f>
        <v>10816.630000000005</v>
      </c>
      <c r="J25" s="23">
        <f>J23-J24</f>
        <v>16500</v>
      </c>
      <c r="M25" s="14">
        <f>SUM(M17:M24)</f>
        <v>159000</v>
      </c>
      <c r="R25" s="12"/>
    </row>
    <row r="26" spans="1:19" ht="15.75" thickTop="1" x14ac:dyDescent="0.25">
      <c r="A26" s="25"/>
      <c r="B26" s="27" t="s">
        <v>12</v>
      </c>
      <c r="C26" s="2">
        <v>151285.45000000001</v>
      </c>
      <c r="D26" s="2">
        <f t="shared" si="4"/>
        <v>113464.08750000001</v>
      </c>
      <c r="E26" s="96">
        <f>4140+6862+7000</f>
        <v>18002</v>
      </c>
      <c r="F26" s="2">
        <f>C26-E26</f>
        <v>133283.45000000001</v>
      </c>
      <c r="G26" s="2">
        <f>D26-E26</f>
        <v>95462.087500000009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7" t="s">
        <v>13</v>
      </c>
      <c r="C27" s="2">
        <v>30000</v>
      </c>
      <c r="D27" s="2">
        <f t="shared" si="4"/>
        <v>22500</v>
      </c>
      <c r="E27" s="96"/>
      <c r="F27" s="2">
        <f>C27-E27</f>
        <v>30000</v>
      </c>
      <c r="G27" s="2">
        <f>D27-E27</f>
        <v>22500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7" t="s">
        <v>14</v>
      </c>
      <c r="C28" s="2"/>
      <c r="D28" s="2"/>
      <c r="E28" s="96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28" t="s">
        <v>27</v>
      </c>
      <c r="C29" s="8">
        <f>SUM(C25:C28)</f>
        <v>1261353.77</v>
      </c>
      <c r="D29" s="8">
        <f>SUM(D25:D28)</f>
        <v>946015.32750000001</v>
      </c>
      <c r="E29" s="97">
        <f>SUM(E25:E28)</f>
        <v>817236.61</v>
      </c>
      <c r="F29" s="8">
        <f>SUM(F25:F28)</f>
        <v>444117.16000000009</v>
      </c>
      <c r="G29" s="8">
        <f>SUM(G25:G28)</f>
        <v>128778.71750000001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96"/>
      <c r="F30" s="2"/>
      <c r="G30" s="2"/>
      <c r="L30" s="12"/>
      <c r="M30" s="12">
        <v>3350</v>
      </c>
    </row>
    <row r="31" spans="1:19" x14ac:dyDescent="0.25">
      <c r="A31" s="25">
        <v>1051</v>
      </c>
      <c r="B31" s="26" t="s">
        <v>16</v>
      </c>
      <c r="C31" s="2"/>
      <c r="D31" s="2"/>
      <c r="E31" s="96"/>
      <c r="F31" s="2"/>
      <c r="G31" s="2"/>
      <c r="L31" s="12"/>
      <c r="M31" s="12">
        <v>2000</v>
      </c>
    </row>
    <row r="32" spans="1:19" x14ac:dyDescent="0.25">
      <c r="A32" s="25"/>
      <c r="B32" s="27" t="s">
        <v>11</v>
      </c>
      <c r="C32" s="2">
        <v>833611.96</v>
      </c>
      <c r="D32" s="2">
        <f t="shared" ref="D32:D34" si="5">C32/4*3</f>
        <v>625208.97</v>
      </c>
      <c r="E32" s="96">
        <f>63327.47+73327.47+63327.47+73327.47+89719.47+63374.55+63327.47+63327.47+63327.47</f>
        <v>616386.30999999994</v>
      </c>
      <c r="F32" s="2">
        <f>C32-E32</f>
        <v>217225.65000000002</v>
      </c>
      <c r="G32" s="2">
        <f>D32-E32</f>
        <v>8822.6600000000326</v>
      </c>
      <c r="L32" s="12"/>
      <c r="M32" s="12">
        <v>1248.75</v>
      </c>
    </row>
    <row r="33" spans="1:13" x14ac:dyDescent="0.25">
      <c r="A33" s="25"/>
      <c r="B33" s="27" t="s">
        <v>12</v>
      </c>
      <c r="C33" s="2">
        <v>118966.2</v>
      </c>
      <c r="D33" s="2">
        <f t="shared" si="5"/>
        <v>89224.65</v>
      </c>
      <c r="E33" s="96">
        <f>2000+2930+6487+4000+46007+2000</f>
        <v>63424</v>
      </c>
      <c r="F33" s="2">
        <f>C33-E33</f>
        <v>55542.2</v>
      </c>
      <c r="G33" s="2">
        <f>D33-E33</f>
        <v>25800.649999999994</v>
      </c>
      <c r="L33" s="12"/>
      <c r="M33" s="12">
        <v>15000</v>
      </c>
    </row>
    <row r="34" spans="1:13" x14ac:dyDescent="0.25">
      <c r="A34" s="25"/>
      <c r="B34" s="27" t="s">
        <v>13</v>
      </c>
      <c r="C34" s="2">
        <v>25000</v>
      </c>
      <c r="D34" s="2">
        <f t="shared" si="5"/>
        <v>18750</v>
      </c>
      <c r="E34" s="96"/>
      <c r="F34" s="2">
        <f>C34-E34</f>
        <v>25000</v>
      </c>
      <c r="G34" s="2">
        <f>D34-E34</f>
        <v>18750</v>
      </c>
      <c r="L34" s="12"/>
      <c r="M34" s="12">
        <v>14000</v>
      </c>
    </row>
    <row r="35" spans="1:13" x14ac:dyDescent="0.25">
      <c r="A35" s="25"/>
      <c r="B35" s="27" t="s">
        <v>14</v>
      </c>
      <c r="C35" s="2"/>
      <c r="D35" s="2"/>
      <c r="E35" s="96"/>
      <c r="F35" s="2"/>
      <c r="G35" s="2"/>
      <c r="L35" s="12"/>
    </row>
    <row r="36" spans="1:13" x14ac:dyDescent="0.25">
      <c r="A36" s="25"/>
      <c r="B36" s="28" t="s">
        <v>27</v>
      </c>
      <c r="C36" s="8">
        <f>SUM(C32:C35)</f>
        <v>977578.15999999992</v>
      </c>
      <c r="D36" s="8">
        <f>SUM(D32:D35)</f>
        <v>733183.62</v>
      </c>
      <c r="E36" s="97">
        <f>SUM(E32:E35)</f>
        <v>679810.30999999994</v>
      </c>
      <c r="F36" s="8">
        <f>SUM(F32:F35)</f>
        <v>297767.85000000003</v>
      </c>
      <c r="G36" s="8">
        <f>SUM(G32:G35)</f>
        <v>53373.310000000027</v>
      </c>
      <c r="L36" s="12"/>
    </row>
    <row r="37" spans="1:13" x14ac:dyDescent="0.25">
      <c r="A37" s="25"/>
      <c r="B37" s="18"/>
      <c r="C37" s="2"/>
      <c r="D37" s="2"/>
      <c r="E37" s="96"/>
      <c r="F37" s="2"/>
      <c r="G37" s="2"/>
      <c r="L37" s="12"/>
    </row>
    <row r="38" spans="1:13" x14ac:dyDescent="0.25">
      <c r="A38" s="25">
        <v>1071</v>
      </c>
      <c r="B38" s="26" t="s">
        <v>17</v>
      </c>
      <c r="C38" s="2"/>
      <c r="D38" s="2"/>
      <c r="E38" s="96"/>
      <c r="F38" s="2"/>
      <c r="G38" s="2"/>
      <c r="L38" s="12"/>
    </row>
    <row r="39" spans="1:13" x14ac:dyDescent="0.25">
      <c r="A39" s="25"/>
      <c r="B39" s="27" t="s">
        <v>11</v>
      </c>
      <c r="C39" s="2">
        <v>686641.8</v>
      </c>
      <c r="D39" s="2">
        <f t="shared" ref="D39:D41" si="6">C39/4*3</f>
        <v>514981.35000000003</v>
      </c>
      <c r="E39" s="96">
        <f>53003.9+58003.9+53003.9+58003.9+73301.4+53003.9+53003.9+53003.9+53003.9</f>
        <v>507332.60000000009</v>
      </c>
      <c r="F39" s="2">
        <f>C39-E39</f>
        <v>179309.19999999995</v>
      </c>
      <c r="G39" s="2">
        <f>D39-E39</f>
        <v>7648.7499999999418</v>
      </c>
      <c r="L39" s="12">
        <f>SUM(L26:L38)</f>
        <v>1900</v>
      </c>
    </row>
    <row r="40" spans="1:13" x14ac:dyDescent="0.25">
      <c r="A40" s="25"/>
      <c r="B40" s="27" t="s">
        <v>12</v>
      </c>
      <c r="C40" s="2">
        <v>114943.85</v>
      </c>
      <c r="D40" s="2">
        <f t="shared" si="6"/>
        <v>86207.887500000012</v>
      </c>
      <c r="E40" s="96">
        <f>2000+5200+4218+24350+19795</f>
        <v>55563</v>
      </c>
      <c r="F40" s="2">
        <f>C40-E40</f>
        <v>59380.850000000006</v>
      </c>
      <c r="G40" s="2">
        <f>D40-E40</f>
        <v>30644.887500000012</v>
      </c>
    </row>
    <row r="41" spans="1:13" x14ac:dyDescent="0.25">
      <c r="A41" s="25"/>
      <c r="B41" s="27" t="s">
        <v>13</v>
      </c>
      <c r="C41" s="2">
        <v>35000</v>
      </c>
      <c r="D41" s="2">
        <f t="shared" si="6"/>
        <v>26250</v>
      </c>
      <c r="E41" s="96"/>
      <c r="F41" s="2">
        <f>C41-E41</f>
        <v>35000</v>
      </c>
      <c r="G41" s="2">
        <f>D41-E41</f>
        <v>26250</v>
      </c>
      <c r="M41" s="14">
        <f>SUM(M26:M40)</f>
        <v>52509.75</v>
      </c>
    </row>
    <row r="42" spans="1:13" x14ac:dyDescent="0.25">
      <c r="A42" s="25"/>
      <c r="B42" s="27" t="s">
        <v>14</v>
      </c>
      <c r="C42" s="2"/>
      <c r="D42" s="2"/>
      <c r="E42" s="96"/>
      <c r="F42" s="2"/>
      <c r="G42" s="2"/>
    </row>
    <row r="43" spans="1:13" x14ac:dyDescent="0.25">
      <c r="A43" s="25"/>
      <c r="B43" s="28" t="s">
        <v>27</v>
      </c>
      <c r="C43" s="8">
        <f>SUM(C39:C42)</f>
        <v>836585.65</v>
      </c>
      <c r="D43" s="8">
        <f>SUM(D39:D42)</f>
        <v>627439.23750000005</v>
      </c>
      <c r="E43" s="97">
        <f>SUM(E39:E42)</f>
        <v>562895.60000000009</v>
      </c>
      <c r="F43" s="8">
        <f>SUM(F39:F42)</f>
        <v>273690.04999999993</v>
      </c>
      <c r="G43" s="8">
        <f>SUM(G39:G42)</f>
        <v>64543.637499999953</v>
      </c>
    </row>
    <row r="44" spans="1:13" x14ac:dyDescent="0.25">
      <c r="A44" s="25"/>
      <c r="B44" s="18"/>
      <c r="C44" s="2"/>
      <c r="D44" s="2"/>
      <c r="E44" s="96"/>
      <c r="F44" s="2"/>
      <c r="G44" s="2"/>
    </row>
    <row r="45" spans="1:13" x14ac:dyDescent="0.25">
      <c r="A45" s="25">
        <v>1081</v>
      </c>
      <c r="B45" s="26" t="s">
        <v>18</v>
      </c>
      <c r="C45" s="2"/>
      <c r="D45" s="2"/>
      <c r="E45" s="96"/>
      <c r="F45" s="2"/>
      <c r="G45" s="2"/>
    </row>
    <row r="46" spans="1:13" x14ac:dyDescent="0.25">
      <c r="A46" s="25"/>
      <c r="B46" s="27" t="s">
        <v>11</v>
      </c>
      <c r="C46" s="2">
        <v>1170532.04</v>
      </c>
      <c r="D46" s="2">
        <f t="shared" ref="D46:D48" si="7">C46/4*3</f>
        <v>877899.03</v>
      </c>
      <c r="E46" s="96">
        <f>46303.17+61303.17+46303.17+61303.17+66713.67+46303.17+46303.17+46303.17+46303.17</f>
        <v>467139.02999999991</v>
      </c>
      <c r="F46" s="2">
        <f>C46-E46</f>
        <v>703393.01000000013</v>
      </c>
      <c r="G46" s="2">
        <f>D46-E46</f>
        <v>410760.00000000012</v>
      </c>
    </row>
    <row r="47" spans="1:13" x14ac:dyDescent="0.25">
      <c r="A47" s="25"/>
      <c r="B47" s="27" t="s">
        <v>12</v>
      </c>
      <c r="C47" s="2">
        <v>225508</v>
      </c>
      <c r="D47" s="2">
        <f t="shared" si="7"/>
        <v>169131</v>
      </c>
      <c r="E47" s="96">
        <f>9700+1000+1000+1000+36061+41748.75+4080+1000</f>
        <v>95589.75</v>
      </c>
      <c r="F47" s="2">
        <f>C47-E47</f>
        <v>129918.25</v>
      </c>
      <c r="G47" s="2">
        <f>D47-E47</f>
        <v>73541.25</v>
      </c>
    </row>
    <row r="48" spans="1:13" x14ac:dyDescent="0.25">
      <c r="A48" s="25"/>
      <c r="B48" s="27" t="s">
        <v>13</v>
      </c>
      <c r="C48" s="2">
        <v>25000</v>
      </c>
      <c r="D48" s="2">
        <f t="shared" si="7"/>
        <v>18750</v>
      </c>
      <c r="E48" s="96"/>
      <c r="F48" s="2">
        <f>C48-E48</f>
        <v>25000</v>
      </c>
      <c r="G48" s="2">
        <f>D48-E48</f>
        <v>18750</v>
      </c>
      <c r="H48" s="12"/>
    </row>
    <row r="49" spans="1:8" x14ac:dyDescent="0.25">
      <c r="A49" s="25"/>
      <c r="B49" s="27" t="s">
        <v>14</v>
      </c>
      <c r="C49" s="2"/>
      <c r="D49" s="2"/>
      <c r="E49" s="96"/>
      <c r="F49" s="2"/>
      <c r="G49" s="2"/>
      <c r="H49" s="12"/>
    </row>
    <row r="50" spans="1:8" x14ac:dyDescent="0.25">
      <c r="A50" s="25"/>
      <c r="B50" s="28" t="s">
        <v>27</v>
      </c>
      <c r="C50" s="8">
        <f>SUM(C46:C49)</f>
        <v>1421040.04</v>
      </c>
      <c r="D50" s="8">
        <f>SUM(D46:D49)</f>
        <v>1065780.03</v>
      </c>
      <c r="E50" s="97">
        <f>SUM(E46:E49)</f>
        <v>562728.77999999991</v>
      </c>
      <c r="F50" s="8">
        <f>SUM(F46:F49)</f>
        <v>858311.26000000013</v>
      </c>
      <c r="G50" s="8">
        <f>SUM(G46:G49)</f>
        <v>503051.25000000012</v>
      </c>
      <c r="H50" s="12"/>
    </row>
    <row r="51" spans="1:8" x14ac:dyDescent="0.25">
      <c r="A51" s="25"/>
      <c r="B51" s="18"/>
      <c r="C51" s="2"/>
      <c r="D51" s="2"/>
      <c r="E51" s="96"/>
      <c r="F51" s="2"/>
      <c r="G51" s="2"/>
      <c r="H51" s="12"/>
    </row>
    <row r="52" spans="1:8" x14ac:dyDescent="0.25">
      <c r="A52" s="25">
        <v>1091</v>
      </c>
      <c r="B52" s="26" t="s">
        <v>19</v>
      </c>
      <c r="C52" s="2"/>
      <c r="D52" s="2"/>
      <c r="E52" s="96"/>
      <c r="F52" s="2"/>
      <c r="G52" s="2"/>
      <c r="H52" s="12"/>
    </row>
    <row r="53" spans="1:8" x14ac:dyDescent="0.25">
      <c r="A53" s="25"/>
      <c r="B53" s="27" t="s">
        <v>11</v>
      </c>
      <c r="C53" s="2">
        <v>1726562.96</v>
      </c>
      <c r="D53" s="2">
        <f t="shared" ref="D53:D55" si="8">C53/4*3</f>
        <v>1294922.22</v>
      </c>
      <c r="E53" s="96">
        <f>127589.33+162589.33+127589.33+162589.33+190014.83+127589.33+127589.33+127589.33+127589.33</f>
        <v>1280729.47</v>
      </c>
      <c r="F53" s="2">
        <f>C53-E53</f>
        <v>445833.49</v>
      </c>
      <c r="G53" s="2">
        <f>D53-E53</f>
        <v>14192.75</v>
      </c>
      <c r="H53" s="12"/>
    </row>
    <row r="54" spans="1:8" x14ac:dyDescent="0.25">
      <c r="A54" s="25"/>
      <c r="B54" s="27" t="s">
        <v>12</v>
      </c>
      <c r="C54" s="2">
        <v>380872.05</v>
      </c>
      <c r="D54" s="2">
        <f t="shared" si="8"/>
        <v>285654.03749999998</v>
      </c>
      <c r="E54" s="96">
        <f>7700+17777+1200+20827.9+18450+78025.44+62720.5+26159+22255</f>
        <v>255114.84</v>
      </c>
      <c r="F54" s="2">
        <f>C54-E54</f>
        <v>125757.20999999999</v>
      </c>
      <c r="G54" s="2">
        <f>D54-E54</f>
        <v>30539.19749999998</v>
      </c>
      <c r="H54" s="12"/>
    </row>
    <row r="55" spans="1:8" x14ac:dyDescent="0.25">
      <c r="A55" s="25"/>
      <c r="B55" s="27" t="s">
        <v>13</v>
      </c>
      <c r="C55" s="2">
        <v>60000</v>
      </c>
      <c r="D55" s="2">
        <f t="shared" si="8"/>
        <v>45000</v>
      </c>
      <c r="E55" s="96"/>
      <c r="F55" s="2">
        <f>C55-E55</f>
        <v>60000</v>
      </c>
      <c r="G55" s="2">
        <f>D55-E55</f>
        <v>45000</v>
      </c>
      <c r="H55" s="12"/>
    </row>
    <row r="56" spans="1:8" x14ac:dyDescent="0.25">
      <c r="A56" s="25"/>
      <c r="B56" s="27" t="s">
        <v>14</v>
      </c>
      <c r="C56" s="2"/>
      <c r="D56" s="2"/>
      <c r="E56" s="96"/>
      <c r="F56" s="2"/>
      <c r="G56" s="2"/>
      <c r="H56" s="12"/>
    </row>
    <row r="57" spans="1:8" x14ac:dyDescent="0.25">
      <c r="A57" s="29"/>
      <c r="B57" s="28" t="s">
        <v>27</v>
      </c>
      <c r="C57" s="8">
        <f>SUM(C53:C56)</f>
        <v>2167435.0099999998</v>
      </c>
      <c r="D57" s="8">
        <f>SUM(D53:D56)</f>
        <v>1625576.2574999998</v>
      </c>
      <c r="E57" s="97">
        <f>SUM(E53:E56)</f>
        <v>1535844.31</v>
      </c>
      <c r="F57" s="8">
        <f>SUM(F53:F56)</f>
        <v>631590.69999999995</v>
      </c>
      <c r="G57" s="8">
        <f>SUM(G53:G56)</f>
        <v>89731.94749999998</v>
      </c>
      <c r="H57" s="12"/>
    </row>
    <row r="58" spans="1:8" ht="15.75" thickBot="1" x14ac:dyDescent="0.3">
      <c r="A58" s="30"/>
      <c r="B58" s="31"/>
      <c r="C58" s="9"/>
      <c r="D58" s="9"/>
      <c r="E58" s="98"/>
      <c r="F58" s="9"/>
      <c r="G58" s="32"/>
      <c r="H58" s="12"/>
    </row>
    <row r="59" spans="1:8" x14ac:dyDescent="0.25">
      <c r="A59" s="33"/>
      <c r="B59" s="34"/>
      <c r="C59" s="10"/>
      <c r="D59" s="10"/>
      <c r="E59" s="99"/>
      <c r="F59" s="10"/>
      <c r="G59" s="10"/>
      <c r="H59" s="12"/>
    </row>
    <row r="60" spans="1:8" x14ac:dyDescent="0.25">
      <c r="A60" s="13" t="s">
        <v>0</v>
      </c>
      <c r="B60" s="34"/>
      <c r="C60" s="10"/>
      <c r="D60" s="10"/>
      <c r="E60" s="99"/>
      <c r="F60" s="10"/>
      <c r="G60" s="10"/>
      <c r="H60" s="12"/>
    </row>
    <row r="61" spans="1:8" x14ac:dyDescent="0.25">
      <c r="A61" s="13" t="s">
        <v>1</v>
      </c>
      <c r="B61" s="34"/>
      <c r="C61" s="10"/>
      <c r="D61" s="10"/>
      <c r="E61" s="99"/>
      <c r="F61" s="10"/>
      <c r="G61" s="10"/>
      <c r="H61" s="12"/>
    </row>
    <row r="62" spans="1:8" x14ac:dyDescent="0.25">
      <c r="A62" s="13" t="s">
        <v>2</v>
      </c>
      <c r="B62" s="34"/>
      <c r="C62" s="10"/>
      <c r="D62" s="10"/>
      <c r="E62" s="99"/>
      <c r="F62" s="10"/>
      <c r="G62" s="10"/>
      <c r="H62" s="12"/>
    </row>
    <row r="63" spans="1:8" x14ac:dyDescent="0.25">
      <c r="A63" s="22" t="s">
        <v>240</v>
      </c>
      <c r="B63" s="34"/>
      <c r="C63" s="10"/>
      <c r="D63" s="10"/>
      <c r="E63" s="99"/>
      <c r="F63" s="10"/>
      <c r="G63" s="10"/>
      <c r="H63" s="12"/>
    </row>
    <row r="64" spans="1:8" x14ac:dyDescent="0.25">
      <c r="A64" s="33"/>
      <c r="B64" s="34"/>
      <c r="C64" s="10"/>
      <c r="D64" s="10"/>
      <c r="E64" s="99"/>
      <c r="F64" s="10"/>
      <c r="G64" s="10"/>
      <c r="H64" s="12"/>
    </row>
    <row r="65" spans="1:8" x14ac:dyDescent="0.25">
      <c r="A65" s="115" t="s">
        <v>3</v>
      </c>
      <c r="B65" s="115" t="s">
        <v>4</v>
      </c>
      <c r="C65" s="115" t="s">
        <v>5</v>
      </c>
      <c r="D65" s="115" t="s">
        <v>6</v>
      </c>
      <c r="E65" s="117" t="s">
        <v>7</v>
      </c>
      <c r="F65" s="15" t="s">
        <v>8</v>
      </c>
      <c r="G65" s="15" t="s">
        <v>8</v>
      </c>
      <c r="H65" s="12"/>
    </row>
    <row r="66" spans="1:8" x14ac:dyDescent="0.25">
      <c r="A66" s="116"/>
      <c r="B66" s="116"/>
      <c r="C66" s="116"/>
      <c r="D66" s="116"/>
      <c r="E66" s="118"/>
      <c r="F66" s="16" t="s">
        <v>5</v>
      </c>
      <c r="G66" s="16" t="s">
        <v>6</v>
      </c>
      <c r="H66" s="12"/>
    </row>
    <row r="67" spans="1:8" x14ac:dyDescent="0.25">
      <c r="A67" s="24"/>
      <c r="B67" s="17"/>
      <c r="C67" s="19"/>
      <c r="D67" s="19"/>
      <c r="E67" s="100"/>
      <c r="F67" s="19"/>
      <c r="G67" s="19"/>
      <c r="H67" s="12"/>
    </row>
    <row r="68" spans="1:8" x14ac:dyDescent="0.25">
      <c r="A68" s="25">
        <v>1101</v>
      </c>
      <c r="B68" s="26" t="s">
        <v>20</v>
      </c>
      <c r="C68" s="2"/>
      <c r="D68" s="2"/>
      <c r="E68" s="96"/>
      <c r="F68" s="2"/>
      <c r="G68" s="2"/>
      <c r="H68" s="12"/>
    </row>
    <row r="69" spans="1:8" x14ac:dyDescent="0.25">
      <c r="A69" s="25"/>
      <c r="B69" s="27" t="s">
        <v>11</v>
      </c>
      <c r="C69" s="2">
        <v>858385.92000000004</v>
      </c>
      <c r="D69" s="2">
        <f t="shared" ref="D69:D71" si="9">C69/4*3</f>
        <v>643789.44000000006</v>
      </c>
      <c r="E69" s="96">
        <f>65251.06+75251.06+65251.06+75251.06+92503.06+65251.06+65314.76+65251.06+65251.06</f>
        <v>634575.24</v>
      </c>
      <c r="F69" s="2">
        <f>C69-E69</f>
        <v>223810.68000000005</v>
      </c>
      <c r="G69" s="2">
        <f>D69-E69</f>
        <v>9214.2000000000698</v>
      </c>
      <c r="H69" s="12"/>
    </row>
    <row r="70" spans="1:8" x14ac:dyDescent="0.25">
      <c r="A70" s="25"/>
      <c r="B70" s="27" t="s">
        <v>12</v>
      </c>
      <c r="C70" s="2">
        <v>123432.95</v>
      </c>
      <c r="D70" s="2">
        <f t="shared" si="9"/>
        <v>92574.712499999994</v>
      </c>
      <c r="E70" s="96">
        <f>2000+5300+2000+23853+34197+5971+3496</f>
        <v>76817</v>
      </c>
      <c r="F70" s="2">
        <f>C70-E70</f>
        <v>46615.95</v>
      </c>
      <c r="G70" s="2">
        <f>D70-E70</f>
        <v>15757.712499999994</v>
      </c>
      <c r="H70" s="12"/>
    </row>
    <row r="71" spans="1:8" x14ac:dyDescent="0.25">
      <c r="A71" s="25"/>
      <c r="B71" s="27" t="s">
        <v>13</v>
      </c>
      <c r="C71" s="2">
        <v>30000</v>
      </c>
      <c r="D71" s="2">
        <f t="shared" si="9"/>
        <v>22500</v>
      </c>
      <c r="E71" s="96"/>
      <c r="F71" s="2">
        <f>C71-E71</f>
        <v>30000</v>
      </c>
      <c r="G71" s="2">
        <f>D71-E71</f>
        <v>22500</v>
      </c>
      <c r="H71" s="12"/>
    </row>
    <row r="72" spans="1:8" x14ac:dyDescent="0.25">
      <c r="A72" s="25"/>
      <c r="B72" s="27" t="s">
        <v>14</v>
      </c>
      <c r="C72" s="2"/>
      <c r="D72" s="2"/>
      <c r="E72" s="96"/>
      <c r="F72" s="2"/>
      <c r="G72" s="2"/>
      <c r="H72" s="12"/>
    </row>
    <row r="73" spans="1:8" x14ac:dyDescent="0.25">
      <c r="A73" s="18"/>
      <c r="B73" s="28" t="s">
        <v>27</v>
      </c>
      <c r="C73" s="8">
        <f>SUM(C69:C72)</f>
        <v>1011818.87</v>
      </c>
      <c r="D73" s="8">
        <f>SUM(D69:D72)</f>
        <v>758864.15250000008</v>
      </c>
      <c r="E73" s="97">
        <f>SUM(E69:E72)</f>
        <v>711392.24</v>
      </c>
      <c r="F73" s="8">
        <f>SUM(F69:F72)</f>
        <v>300426.63000000006</v>
      </c>
      <c r="G73" s="8">
        <f>SUM(G69:G72)</f>
        <v>47471.912500000064</v>
      </c>
      <c r="H73" s="12"/>
    </row>
    <row r="74" spans="1:8" x14ac:dyDescent="0.25">
      <c r="A74" s="25"/>
      <c r="B74" s="18"/>
      <c r="C74" s="2"/>
      <c r="D74" s="2"/>
      <c r="E74" s="96"/>
      <c r="F74" s="2"/>
      <c r="G74" s="2"/>
      <c r="H74" s="12"/>
    </row>
    <row r="75" spans="1:8" x14ac:dyDescent="0.25">
      <c r="A75" s="25">
        <v>6544</v>
      </c>
      <c r="B75" s="26" t="s">
        <v>21</v>
      </c>
      <c r="C75" s="18"/>
      <c r="D75" s="2"/>
      <c r="E75" s="96"/>
      <c r="F75" s="2"/>
      <c r="G75" s="2"/>
      <c r="H75" s="12"/>
    </row>
    <row r="76" spans="1:8" x14ac:dyDescent="0.25">
      <c r="A76" s="25"/>
      <c r="B76" s="27" t="s">
        <v>11</v>
      </c>
      <c r="C76" s="2">
        <v>1199582.96</v>
      </c>
      <c r="D76" s="2">
        <f t="shared" ref="D76:D77" si="10">C76/4*3</f>
        <v>899687.22</v>
      </c>
      <c r="E76" s="96">
        <f>43617.35+89117.35+43617.35+67471.91+52508.45+55487.21+44524.59+44524.59+44524.59</f>
        <v>485393.39</v>
      </c>
      <c r="F76" s="2">
        <f>C76-E76</f>
        <v>714189.57</v>
      </c>
      <c r="G76" s="2">
        <f>D76-E76</f>
        <v>414293.82999999996</v>
      </c>
      <c r="H76" s="12"/>
    </row>
    <row r="77" spans="1:8" x14ac:dyDescent="0.25">
      <c r="A77" s="25"/>
      <c r="B77" s="27" t="s">
        <v>12</v>
      </c>
      <c r="C77" s="2">
        <v>824008.79</v>
      </c>
      <c r="D77" s="2">
        <f t="shared" si="10"/>
        <v>618006.59250000003</v>
      </c>
      <c r="E77" s="96">
        <f>65119.58+36394.25+745.65+23126.19+7219.48+320382.17+60826.33+59042.04</f>
        <v>572855.68999999994</v>
      </c>
      <c r="F77" s="2">
        <f>C77-E77</f>
        <v>251153.10000000009</v>
      </c>
      <c r="G77" s="2">
        <f>D77-E77</f>
        <v>45150.902500000084</v>
      </c>
      <c r="H77" s="12"/>
    </row>
    <row r="78" spans="1:8" x14ac:dyDescent="0.25">
      <c r="A78" s="25"/>
      <c r="B78" s="27" t="s">
        <v>13</v>
      </c>
      <c r="C78" s="2"/>
      <c r="D78" s="2"/>
      <c r="E78" s="96"/>
      <c r="F78" s="2"/>
      <c r="G78" s="2"/>
      <c r="H78" s="12"/>
    </row>
    <row r="79" spans="1:8" x14ac:dyDescent="0.25">
      <c r="A79" s="25"/>
      <c r="B79" s="27" t="s">
        <v>14</v>
      </c>
      <c r="C79" s="2"/>
      <c r="D79" s="2"/>
      <c r="E79" s="96"/>
      <c r="F79" s="2"/>
      <c r="G79" s="2"/>
      <c r="H79" s="12"/>
    </row>
    <row r="80" spans="1:8" x14ac:dyDescent="0.25">
      <c r="A80" s="25"/>
      <c r="B80" s="28" t="s">
        <v>27</v>
      </c>
      <c r="C80" s="8">
        <f>SUM(C76:C79)</f>
        <v>2023591.75</v>
      </c>
      <c r="D80" s="8">
        <f>SUM(D76:D79)</f>
        <v>1517693.8125</v>
      </c>
      <c r="E80" s="97">
        <f>SUM(E76:E79)</f>
        <v>1058249.08</v>
      </c>
      <c r="F80" s="8">
        <f>SUM(F76:F79)</f>
        <v>965342.67</v>
      </c>
      <c r="G80" s="8">
        <f>SUM(G76:G79)</f>
        <v>459444.73250000004</v>
      </c>
      <c r="H80" s="12"/>
    </row>
    <row r="81" spans="1:8" x14ac:dyDescent="0.25">
      <c r="A81" s="25"/>
      <c r="B81" s="18"/>
      <c r="C81" s="2"/>
      <c r="D81" s="2"/>
      <c r="E81" s="96"/>
      <c r="F81" s="2"/>
      <c r="G81" s="2"/>
      <c r="H81" s="12"/>
    </row>
    <row r="82" spans="1:8" x14ac:dyDescent="0.25">
      <c r="A82" s="25">
        <v>4411</v>
      </c>
      <c r="B82" s="26" t="s">
        <v>22</v>
      </c>
      <c r="C82" s="18"/>
      <c r="D82" s="2"/>
      <c r="E82" s="96"/>
      <c r="F82" s="2"/>
      <c r="G82" s="2"/>
      <c r="H82" s="12"/>
    </row>
    <row r="83" spans="1:8" x14ac:dyDescent="0.25">
      <c r="A83" s="25"/>
      <c r="B83" s="27" t="s">
        <v>11</v>
      </c>
      <c r="C83" s="2">
        <v>3169869.2</v>
      </c>
      <c r="D83" s="2">
        <f t="shared" ref="D83:D84" si="11">C83/4*3</f>
        <v>2377401.9000000004</v>
      </c>
      <c r="E83" s="96">
        <f>238901.81+278901.81+238901.81+278901.81+344605.81+237251.81+237251.81+237251.81+237251.81</f>
        <v>2329220.29</v>
      </c>
      <c r="F83" s="2">
        <f>C83-E83</f>
        <v>840648.91000000015</v>
      </c>
      <c r="G83" s="2">
        <f>D83-E83</f>
        <v>48181.610000000335</v>
      </c>
      <c r="H83" s="12"/>
    </row>
    <row r="84" spans="1:8" x14ac:dyDescent="0.25">
      <c r="A84" s="25"/>
      <c r="B84" s="27" t="s">
        <v>12</v>
      </c>
      <c r="C84" s="2">
        <v>192388</v>
      </c>
      <c r="D84" s="2">
        <f t="shared" si="11"/>
        <v>144291</v>
      </c>
      <c r="E84" s="96">
        <f>23860+10876.16+18548.32+55650+27930+6989</f>
        <v>143853.48000000001</v>
      </c>
      <c r="F84" s="2">
        <f>C84-E84</f>
        <v>48534.51999999999</v>
      </c>
      <c r="G84" s="2">
        <f>D84-E84</f>
        <v>437.51999999998952</v>
      </c>
      <c r="H84" s="12"/>
    </row>
    <row r="85" spans="1:8" x14ac:dyDescent="0.25">
      <c r="A85" s="25"/>
      <c r="B85" s="27" t="s">
        <v>13</v>
      </c>
      <c r="C85" s="2"/>
      <c r="D85" s="2"/>
      <c r="E85" s="96"/>
      <c r="F85" s="2"/>
      <c r="G85" s="2"/>
      <c r="H85" s="12"/>
    </row>
    <row r="86" spans="1:8" x14ac:dyDescent="0.25">
      <c r="A86" s="25"/>
      <c r="B86" s="27" t="s">
        <v>14</v>
      </c>
      <c r="C86" s="2"/>
      <c r="D86" s="2"/>
      <c r="E86" s="96"/>
      <c r="F86" s="2"/>
      <c r="G86" s="2"/>
      <c r="H86" s="12"/>
    </row>
    <row r="87" spans="1:8" x14ac:dyDescent="0.25">
      <c r="A87" s="25"/>
      <c r="B87" s="28" t="s">
        <v>27</v>
      </c>
      <c r="C87" s="8">
        <f>SUM(C83:C86)</f>
        <v>3362257.2</v>
      </c>
      <c r="D87" s="8">
        <f>SUM(D83:D86)</f>
        <v>2521692.9000000004</v>
      </c>
      <c r="E87" s="97">
        <f>SUM(E83:E86)</f>
        <v>2473073.77</v>
      </c>
      <c r="F87" s="8">
        <f>SUM(F83:F86)</f>
        <v>889183.43000000017</v>
      </c>
      <c r="G87" s="8">
        <f>SUM(G83:G86)</f>
        <v>48619.130000000325</v>
      </c>
      <c r="H87" s="12"/>
    </row>
    <row r="88" spans="1:8" x14ac:dyDescent="0.25">
      <c r="A88" s="25"/>
      <c r="B88" s="18"/>
      <c r="C88" s="2"/>
      <c r="D88" s="2"/>
      <c r="E88" s="96"/>
      <c r="F88" s="2"/>
      <c r="G88" s="2"/>
      <c r="H88" s="12"/>
    </row>
    <row r="89" spans="1:8" x14ac:dyDescent="0.25">
      <c r="A89" s="25">
        <v>7611</v>
      </c>
      <c r="B89" s="26" t="s">
        <v>23</v>
      </c>
      <c r="C89" s="2"/>
      <c r="D89" s="2"/>
      <c r="E89" s="96"/>
      <c r="F89" s="2"/>
      <c r="G89" s="2"/>
      <c r="H89" s="12"/>
    </row>
    <row r="90" spans="1:8" x14ac:dyDescent="0.25">
      <c r="A90" s="25"/>
      <c r="B90" s="27" t="s">
        <v>11</v>
      </c>
      <c r="C90" s="2">
        <v>1224893.68</v>
      </c>
      <c r="D90" s="2">
        <f t="shared" ref="D90:D92" si="12">C90/4*3</f>
        <v>918670.26</v>
      </c>
      <c r="E90" s="96">
        <f>82617.57+102617.57+82617.57+102617.57+124557.57+82617.57+82617.57+82617.57+82617.57</f>
        <v>825498.13000000012</v>
      </c>
      <c r="F90" s="2">
        <f>C90-E90</f>
        <v>399395.54999999981</v>
      </c>
      <c r="G90" s="2">
        <f>D90-E90</f>
        <v>93172.129999999888</v>
      </c>
      <c r="H90" s="12"/>
    </row>
    <row r="91" spans="1:8" x14ac:dyDescent="0.25">
      <c r="A91" s="25"/>
      <c r="B91" s="27" t="s">
        <v>12</v>
      </c>
      <c r="C91" s="2">
        <v>208968</v>
      </c>
      <c r="D91" s="2">
        <f t="shared" si="12"/>
        <v>156726</v>
      </c>
      <c r="E91" s="96">
        <f>6000+5454+2500+36480+12246+13690</f>
        <v>76370</v>
      </c>
      <c r="F91" s="2">
        <f>C91-E91</f>
        <v>132598</v>
      </c>
      <c r="G91" s="2">
        <f>D91-E91</f>
        <v>80356</v>
      </c>
      <c r="H91" s="12"/>
    </row>
    <row r="92" spans="1:8" x14ac:dyDescent="0.25">
      <c r="A92" s="25"/>
      <c r="B92" s="27" t="s">
        <v>13</v>
      </c>
      <c r="C92" s="2">
        <v>30000</v>
      </c>
      <c r="D92" s="2">
        <f t="shared" si="12"/>
        <v>22500</v>
      </c>
      <c r="E92" s="96"/>
      <c r="F92" s="2">
        <f>C92-E92</f>
        <v>30000</v>
      </c>
      <c r="G92" s="2">
        <f>D92-E92</f>
        <v>22500</v>
      </c>
      <c r="H92" s="12"/>
    </row>
    <row r="93" spans="1:8" x14ac:dyDescent="0.25">
      <c r="A93" s="25"/>
      <c r="B93" s="27" t="s">
        <v>14</v>
      </c>
      <c r="C93" s="2"/>
      <c r="D93" s="2"/>
      <c r="E93" s="96"/>
      <c r="F93" s="2"/>
      <c r="G93" s="2"/>
      <c r="H93" s="12"/>
    </row>
    <row r="94" spans="1:8" x14ac:dyDescent="0.25">
      <c r="A94" s="25"/>
      <c r="B94" s="28" t="s">
        <v>27</v>
      </c>
      <c r="C94" s="8">
        <f>SUM(C90:C93)</f>
        <v>1463861.68</v>
      </c>
      <c r="D94" s="8">
        <f>SUM(D90:D93)</f>
        <v>1097896.26</v>
      </c>
      <c r="E94" s="97">
        <f>SUM(E90:E93)</f>
        <v>901868.13000000012</v>
      </c>
      <c r="F94" s="8">
        <f>SUM(F90:F93)</f>
        <v>561993.54999999981</v>
      </c>
      <c r="G94" s="8">
        <f>SUM(G90:G93)</f>
        <v>196028.12999999989</v>
      </c>
      <c r="H94" s="12"/>
    </row>
    <row r="95" spans="1:8" x14ac:dyDescent="0.25">
      <c r="A95" s="25"/>
      <c r="B95" s="18"/>
      <c r="C95" s="2"/>
      <c r="D95" s="2"/>
      <c r="E95" s="96"/>
      <c r="F95" s="2"/>
      <c r="G95" s="2"/>
      <c r="H95" s="12"/>
    </row>
    <row r="96" spans="1:8" x14ac:dyDescent="0.25">
      <c r="A96" s="25">
        <v>8711</v>
      </c>
      <c r="B96" s="26" t="s">
        <v>24</v>
      </c>
      <c r="C96" s="2"/>
      <c r="D96" s="2"/>
      <c r="E96" s="96"/>
      <c r="F96" s="2"/>
      <c r="G96" s="2"/>
      <c r="H96" s="12"/>
    </row>
    <row r="97" spans="1:8" x14ac:dyDescent="0.25">
      <c r="A97" s="25"/>
      <c r="B97" s="27" t="s">
        <v>11</v>
      </c>
      <c r="C97" s="2">
        <v>927669.04</v>
      </c>
      <c r="D97" s="2">
        <f t="shared" ref="D97:D98" si="13">C97/4*3</f>
        <v>695751.78</v>
      </c>
      <c r="E97" s="96">
        <f>63960.58+78960.58+123960.58+64700.76+121993.43+54700.76+52700.76+52700.76+52700.76</f>
        <v>666378.97</v>
      </c>
      <c r="F97" s="2">
        <f>C97-E97</f>
        <v>261290.07000000007</v>
      </c>
      <c r="G97" s="2">
        <f>D97-E97</f>
        <v>29372.810000000056</v>
      </c>
      <c r="H97" s="12"/>
    </row>
    <row r="98" spans="1:8" x14ac:dyDescent="0.25">
      <c r="A98" s="25"/>
      <c r="B98" s="27" t="s">
        <v>12</v>
      </c>
      <c r="C98" s="2">
        <v>103520</v>
      </c>
      <c r="D98" s="2">
        <f t="shared" si="13"/>
        <v>77640</v>
      </c>
      <c r="E98" s="96">
        <f>3000+9240+27855+3030+8002</f>
        <v>51127</v>
      </c>
      <c r="F98" s="2">
        <f>C98-E98</f>
        <v>52393</v>
      </c>
      <c r="G98" s="2">
        <f>D98-E98</f>
        <v>26513</v>
      </c>
      <c r="H98" s="12"/>
    </row>
    <row r="99" spans="1:8" x14ac:dyDescent="0.25">
      <c r="A99" s="25"/>
      <c r="B99" s="27" t="s">
        <v>13</v>
      </c>
      <c r="C99" s="2"/>
      <c r="D99" s="2"/>
      <c r="E99" s="96"/>
      <c r="F99" s="2"/>
      <c r="G99" s="2"/>
      <c r="H99" s="12"/>
    </row>
    <row r="100" spans="1:8" x14ac:dyDescent="0.25">
      <c r="A100" s="25"/>
      <c r="B100" s="27" t="s">
        <v>14</v>
      </c>
      <c r="C100" s="2"/>
      <c r="D100" s="2"/>
      <c r="E100" s="96"/>
      <c r="F100" s="2"/>
      <c r="G100" s="2"/>
      <c r="H100" s="12"/>
    </row>
    <row r="101" spans="1:8" x14ac:dyDescent="0.25">
      <c r="A101" s="25"/>
      <c r="B101" s="28" t="s">
        <v>27</v>
      </c>
      <c r="C101" s="8">
        <f>SUM(C97:C100)</f>
        <v>1031189.04</v>
      </c>
      <c r="D101" s="8">
        <f>SUM(D97:D100)</f>
        <v>773391.78</v>
      </c>
      <c r="E101" s="97">
        <f>SUM(E97:E100)</f>
        <v>717505.97</v>
      </c>
      <c r="F101" s="8">
        <f>SUM(F97:F100)</f>
        <v>313683.07000000007</v>
      </c>
      <c r="G101" s="8">
        <f>SUM(G97:G100)</f>
        <v>55885.810000000056</v>
      </c>
      <c r="H101" s="12"/>
    </row>
    <row r="102" spans="1:8" x14ac:dyDescent="0.25">
      <c r="A102" s="25"/>
      <c r="B102" s="18"/>
      <c r="C102" s="2"/>
      <c r="D102" s="2"/>
      <c r="E102" s="96"/>
      <c r="F102" s="2"/>
      <c r="G102" s="2"/>
      <c r="H102" s="12"/>
    </row>
    <row r="103" spans="1:8" x14ac:dyDescent="0.25">
      <c r="A103" s="25">
        <v>8751</v>
      </c>
      <c r="B103" s="26" t="s">
        <v>25</v>
      </c>
      <c r="C103" s="2"/>
      <c r="D103" s="2"/>
      <c r="E103" s="96"/>
      <c r="F103" s="2"/>
      <c r="G103" s="2"/>
      <c r="H103" s="12"/>
    </row>
    <row r="104" spans="1:8" x14ac:dyDescent="0.25">
      <c r="A104" s="25"/>
      <c r="B104" s="27" t="s">
        <v>11</v>
      </c>
      <c r="C104" s="2">
        <v>1134720.48</v>
      </c>
      <c r="D104" s="2">
        <f t="shared" ref="D104:D105" si="14">C104/4*3</f>
        <v>851040.36</v>
      </c>
      <c r="E104" s="96">
        <f>84930+99930+85263.57+99930+123055+84930+84930+87535.18+85754.62</f>
        <v>836258.37</v>
      </c>
      <c r="F104" s="2">
        <f>C104-E104</f>
        <v>298462.11</v>
      </c>
      <c r="G104" s="2">
        <f>D104-E104</f>
        <v>14781.989999999991</v>
      </c>
      <c r="H104" s="12"/>
    </row>
    <row r="105" spans="1:8" x14ac:dyDescent="0.25">
      <c r="A105" s="25"/>
      <c r="B105" s="27" t="s">
        <v>12</v>
      </c>
      <c r="C105" s="2">
        <v>67403.05</v>
      </c>
      <c r="D105" s="2">
        <f t="shared" si="14"/>
        <v>50552.287500000006</v>
      </c>
      <c r="E105" s="96">
        <f>515+12069+23850</f>
        <v>36434</v>
      </c>
      <c r="F105" s="2">
        <f>C105-E105</f>
        <v>30969.050000000003</v>
      </c>
      <c r="G105" s="2">
        <f>D105-E105</f>
        <v>14118.287500000006</v>
      </c>
      <c r="H105" s="12"/>
    </row>
    <row r="106" spans="1:8" x14ac:dyDescent="0.25">
      <c r="A106" s="25"/>
      <c r="B106" s="27" t="s">
        <v>13</v>
      </c>
      <c r="C106" s="2"/>
      <c r="D106" s="2"/>
      <c r="E106" s="96"/>
      <c r="F106" s="2"/>
      <c r="G106" s="2"/>
      <c r="H106" s="12"/>
    </row>
    <row r="107" spans="1:8" x14ac:dyDescent="0.25">
      <c r="A107" s="25"/>
      <c r="B107" s="27" t="s">
        <v>14</v>
      </c>
      <c r="C107" s="2"/>
      <c r="D107" s="2"/>
      <c r="E107" s="96"/>
      <c r="F107" s="2"/>
      <c r="G107" s="2"/>
      <c r="H107" s="12"/>
    </row>
    <row r="108" spans="1:8" x14ac:dyDescent="0.25">
      <c r="A108" s="25"/>
      <c r="B108" s="28" t="s">
        <v>27</v>
      </c>
      <c r="C108" s="8">
        <f>SUM(C104:C107)</f>
        <v>1202123.53</v>
      </c>
      <c r="D108" s="8">
        <f>SUM(D104:D107)</f>
        <v>901592.64749999996</v>
      </c>
      <c r="E108" s="97">
        <f>SUM(E104:E107)</f>
        <v>872692.37</v>
      </c>
      <c r="F108" s="8">
        <f>SUM(F104:F107)</f>
        <v>329431.15999999997</v>
      </c>
      <c r="G108" s="8">
        <f>SUM(G104:G107)</f>
        <v>28900.277499999997</v>
      </c>
      <c r="H108" s="12"/>
    </row>
    <row r="109" spans="1:8" x14ac:dyDescent="0.25">
      <c r="A109" s="25"/>
      <c r="B109" s="18"/>
      <c r="C109" s="2"/>
      <c r="D109" s="2"/>
      <c r="E109" s="96"/>
      <c r="F109" s="2"/>
      <c r="G109" s="2"/>
      <c r="H109" s="12"/>
    </row>
    <row r="110" spans="1:8" x14ac:dyDescent="0.25">
      <c r="A110" s="25">
        <v>8811</v>
      </c>
      <c r="B110" s="26" t="s">
        <v>26</v>
      </c>
      <c r="C110" s="2"/>
      <c r="D110" s="2"/>
      <c r="E110" s="96"/>
      <c r="F110" s="2"/>
      <c r="G110" s="2"/>
      <c r="H110" s="12"/>
    </row>
    <row r="111" spans="1:8" x14ac:dyDescent="0.25">
      <c r="A111" s="25"/>
      <c r="B111" s="27" t="s">
        <v>11</v>
      </c>
      <c r="C111" s="2"/>
      <c r="D111" s="2"/>
      <c r="E111" s="96"/>
      <c r="F111" s="2">
        <f>C111-E111</f>
        <v>0</v>
      </c>
      <c r="G111" s="2">
        <f>D111-E111</f>
        <v>0</v>
      </c>
      <c r="H111" s="12"/>
    </row>
    <row r="112" spans="1:8" x14ac:dyDescent="0.25">
      <c r="A112" s="25"/>
      <c r="B112" s="27" t="s">
        <v>12</v>
      </c>
      <c r="C112" s="2">
        <v>130000</v>
      </c>
      <c r="D112" s="2">
        <f>C112/4*3</f>
        <v>97500</v>
      </c>
      <c r="E112" s="96"/>
      <c r="F112" s="2">
        <f>C112-E112</f>
        <v>130000</v>
      </c>
      <c r="G112" s="2">
        <f>D112-E112</f>
        <v>97500</v>
      </c>
      <c r="H112" s="12"/>
    </row>
    <row r="113" spans="1:8" x14ac:dyDescent="0.25">
      <c r="A113" s="25"/>
      <c r="B113" s="27" t="s">
        <v>13</v>
      </c>
      <c r="C113" s="2"/>
      <c r="D113" s="2"/>
      <c r="E113" s="96"/>
      <c r="F113" s="2"/>
      <c r="G113" s="2"/>
      <c r="H113" s="12"/>
    </row>
    <row r="114" spans="1:8" x14ac:dyDescent="0.25">
      <c r="A114" s="25"/>
      <c r="B114" s="27" t="s">
        <v>14</v>
      </c>
      <c r="C114" s="2"/>
      <c r="D114" s="2"/>
      <c r="E114" s="96"/>
      <c r="F114" s="2"/>
      <c r="G114" s="2"/>
      <c r="H114" s="12"/>
    </row>
    <row r="115" spans="1:8" x14ac:dyDescent="0.25">
      <c r="A115" s="29"/>
      <c r="B115" s="28" t="s">
        <v>27</v>
      </c>
      <c r="C115" s="8">
        <f>SUM(C111:C114)</f>
        <v>130000</v>
      </c>
      <c r="D115" s="8">
        <f>SUM(D111:D114)</f>
        <v>97500</v>
      </c>
      <c r="E115" s="97">
        <f>SUM(E111:E114)</f>
        <v>0</v>
      </c>
      <c r="F115" s="8">
        <f>SUM(F111:F114)</f>
        <v>130000</v>
      </c>
      <c r="G115" s="8">
        <f>SUM(G111:G114)</f>
        <v>97500</v>
      </c>
      <c r="H115" s="12"/>
    </row>
    <row r="116" spans="1:8" ht="15.75" thickBot="1" x14ac:dyDescent="0.3">
      <c r="A116" s="35"/>
      <c r="B116" s="36"/>
      <c r="C116" s="9"/>
      <c r="D116" s="9"/>
      <c r="E116" s="98"/>
      <c r="F116" s="9"/>
      <c r="G116" s="32"/>
      <c r="H116" s="12"/>
    </row>
    <row r="117" spans="1:8" x14ac:dyDescent="0.25">
      <c r="C117" s="12"/>
      <c r="D117" s="12"/>
      <c r="E117" s="101"/>
      <c r="F117" s="12"/>
      <c r="G117" s="12"/>
      <c r="H117" s="12"/>
    </row>
    <row r="118" spans="1:8" x14ac:dyDescent="0.25">
      <c r="C118" s="12"/>
      <c r="D118" s="12"/>
      <c r="E118" s="101">
        <f>E15+E22+E29+E36+E43+E50+E57+E73+E80+E87+E94+E101+E108+E115+E168+E169</f>
        <v>21090868.349999998</v>
      </c>
      <c r="F118" s="12"/>
      <c r="G118" s="12"/>
      <c r="H118" s="12"/>
    </row>
    <row r="119" spans="1:8" x14ac:dyDescent="0.25">
      <c r="C119" s="12"/>
      <c r="D119" s="12"/>
      <c r="E119" s="101"/>
      <c r="F119" s="12"/>
      <c r="G119" s="12"/>
      <c r="H119" s="12"/>
    </row>
    <row r="120" spans="1:8" x14ac:dyDescent="0.25">
      <c r="A120" s="13" t="s">
        <v>0</v>
      </c>
      <c r="B120" s="34"/>
      <c r="C120" s="10"/>
      <c r="D120" s="10"/>
      <c r="E120" s="99"/>
      <c r="F120" s="10"/>
      <c r="G120" s="10"/>
      <c r="H120" s="12"/>
    </row>
    <row r="121" spans="1:8" x14ac:dyDescent="0.25">
      <c r="A121" s="13" t="s">
        <v>1</v>
      </c>
      <c r="B121" s="34"/>
      <c r="C121" s="10"/>
      <c r="D121" s="10"/>
      <c r="E121" s="99"/>
      <c r="F121" s="10"/>
      <c r="G121" s="10"/>
      <c r="H121" s="12"/>
    </row>
    <row r="122" spans="1:8" x14ac:dyDescent="0.25">
      <c r="A122" s="13" t="s">
        <v>2</v>
      </c>
      <c r="B122" s="34"/>
      <c r="C122" s="10"/>
      <c r="D122" s="10"/>
      <c r="E122" s="99"/>
      <c r="F122" s="10"/>
      <c r="G122" s="10"/>
      <c r="H122" s="12"/>
    </row>
    <row r="123" spans="1:8" x14ac:dyDescent="0.25">
      <c r="A123" s="22" t="s">
        <v>240</v>
      </c>
      <c r="B123" s="34"/>
      <c r="C123" s="10"/>
      <c r="D123" s="10"/>
      <c r="E123" s="99"/>
      <c r="F123" s="10"/>
      <c r="G123" s="10"/>
      <c r="H123" s="12"/>
    </row>
    <row r="124" spans="1:8" x14ac:dyDescent="0.25">
      <c r="A124" s="33"/>
      <c r="B124" s="34"/>
      <c r="C124" s="10"/>
      <c r="D124" s="10"/>
      <c r="E124" s="99"/>
      <c r="F124" s="10"/>
      <c r="G124" s="10"/>
      <c r="H124" s="12"/>
    </row>
    <row r="125" spans="1:8" x14ac:dyDescent="0.25">
      <c r="A125" s="115" t="s">
        <v>3</v>
      </c>
      <c r="B125" s="115" t="s">
        <v>4</v>
      </c>
      <c r="C125" s="115" t="s">
        <v>5</v>
      </c>
      <c r="D125" s="115" t="s">
        <v>6</v>
      </c>
      <c r="E125" s="117" t="s">
        <v>7</v>
      </c>
      <c r="F125" s="15" t="s">
        <v>8</v>
      </c>
      <c r="G125" s="15" t="s">
        <v>8</v>
      </c>
      <c r="H125" s="12"/>
    </row>
    <row r="126" spans="1:8" x14ac:dyDescent="0.25">
      <c r="A126" s="116"/>
      <c r="B126" s="116"/>
      <c r="C126" s="116"/>
      <c r="D126" s="116"/>
      <c r="E126" s="118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00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38596</v>
      </c>
      <c r="D128" s="2">
        <f t="shared" ref="D128:D151" si="15">C128/4*3</f>
        <v>28947</v>
      </c>
      <c r="E128" s="96"/>
      <c r="F128" s="2">
        <f t="shared" ref="F128:F151" si="16">C128-E128</f>
        <v>38596</v>
      </c>
      <c r="G128" s="2">
        <f t="shared" ref="G128:G152" si="17">D128-E128</f>
        <v>28947</v>
      </c>
      <c r="H128" s="12"/>
    </row>
    <row r="129" spans="1:10" x14ac:dyDescent="0.25">
      <c r="A129" s="18"/>
      <c r="B129" s="18" t="s">
        <v>35</v>
      </c>
      <c r="C129" s="2">
        <v>430000</v>
      </c>
      <c r="D129" s="2">
        <f t="shared" si="15"/>
        <v>322500</v>
      </c>
      <c r="E129" s="96">
        <f>19047.59+5400+3600+6000+20575</f>
        <v>54622.59</v>
      </c>
      <c r="F129" s="2">
        <f t="shared" si="16"/>
        <v>375377.41000000003</v>
      </c>
      <c r="G129" s="2">
        <f t="shared" si="17"/>
        <v>267877.41000000003</v>
      </c>
      <c r="H129" s="12"/>
    </row>
    <row r="130" spans="1:10" x14ac:dyDescent="0.25">
      <c r="A130" s="18"/>
      <c r="B130" s="18" t="s">
        <v>88</v>
      </c>
      <c r="C130" s="2">
        <v>120000</v>
      </c>
      <c r="D130" s="2">
        <f t="shared" si="15"/>
        <v>90000</v>
      </c>
      <c r="E130" s="96">
        <f>30000+19849</f>
        <v>49849</v>
      </c>
      <c r="F130" s="2">
        <f t="shared" si="16"/>
        <v>70151</v>
      </c>
      <c r="G130" s="2">
        <f t="shared" si="17"/>
        <v>40151</v>
      </c>
      <c r="H130" s="12"/>
    </row>
    <row r="131" spans="1:10" x14ac:dyDescent="0.25">
      <c r="A131" s="18"/>
      <c r="B131" s="18" t="s">
        <v>92</v>
      </c>
      <c r="C131" s="2">
        <v>300000</v>
      </c>
      <c r="D131" s="2">
        <f t="shared" si="15"/>
        <v>225000</v>
      </c>
      <c r="E131" s="96"/>
      <c r="F131" s="2">
        <f t="shared" si="16"/>
        <v>300000</v>
      </c>
      <c r="G131" s="2">
        <f t="shared" si="17"/>
        <v>225000</v>
      </c>
      <c r="H131" s="12"/>
    </row>
    <row r="132" spans="1:10" x14ac:dyDescent="0.25">
      <c r="A132" s="18"/>
      <c r="B132" s="18" t="s">
        <v>166</v>
      </c>
      <c r="C132" s="2">
        <v>200000</v>
      </c>
      <c r="D132" s="2">
        <f t="shared" si="15"/>
        <v>150000</v>
      </c>
      <c r="E132" s="96"/>
      <c r="F132" s="2">
        <f t="shared" si="16"/>
        <v>200000</v>
      </c>
      <c r="G132" s="2">
        <f t="shared" si="17"/>
        <v>150000</v>
      </c>
      <c r="H132" s="12"/>
    </row>
    <row r="133" spans="1:10" x14ac:dyDescent="0.25">
      <c r="A133" s="18"/>
      <c r="B133" s="18" t="s">
        <v>143</v>
      </c>
      <c r="C133" s="2">
        <v>145000</v>
      </c>
      <c r="D133" s="2">
        <f t="shared" si="15"/>
        <v>108750</v>
      </c>
      <c r="E133" s="96">
        <f>3000+3990+38040</f>
        <v>45030</v>
      </c>
      <c r="F133" s="2">
        <f t="shared" si="16"/>
        <v>99970</v>
      </c>
      <c r="G133" s="2">
        <f t="shared" si="17"/>
        <v>63720</v>
      </c>
      <c r="H133" s="12"/>
      <c r="J133" s="12"/>
    </row>
    <row r="134" spans="1:10" x14ac:dyDescent="0.25">
      <c r="A134" s="18"/>
      <c r="B134" s="18" t="s">
        <v>90</v>
      </c>
      <c r="C134" s="2">
        <v>120000</v>
      </c>
      <c r="D134" s="2">
        <f t="shared" si="15"/>
        <v>90000</v>
      </c>
      <c r="E134" s="96">
        <v>3450</v>
      </c>
      <c r="F134" s="2">
        <f t="shared" si="16"/>
        <v>116550</v>
      </c>
      <c r="G134" s="2">
        <f t="shared" si="17"/>
        <v>86550</v>
      </c>
      <c r="H134" s="12"/>
      <c r="J134" s="12"/>
    </row>
    <row r="135" spans="1:10" x14ac:dyDescent="0.25">
      <c r="A135" s="18"/>
      <c r="B135" s="18" t="s">
        <v>164</v>
      </c>
      <c r="C135" s="2">
        <v>75000</v>
      </c>
      <c r="D135" s="2">
        <f t="shared" si="15"/>
        <v>56250</v>
      </c>
      <c r="E135" s="96">
        <f>1775</f>
        <v>1775</v>
      </c>
      <c r="F135" s="2">
        <f t="shared" si="16"/>
        <v>73225</v>
      </c>
      <c r="G135" s="2">
        <f t="shared" si="17"/>
        <v>54475</v>
      </c>
      <c r="H135" s="12"/>
      <c r="J135" s="12"/>
    </row>
    <row r="136" spans="1:10" x14ac:dyDescent="0.25">
      <c r="A136" s="18"/>
      <c r="B136" s="18" t="s">
        <v>102</v>
      </c>
      <c r="C136" s="2">
        <v>1500000</v>
      </c>
      <c r="D136" s="2">
        <f t="shared" si="15"/>
        <v>1125000</v>
      </c>
      <c r="E136" s="96">
        <f>214375+103410+218450+95575+191615+108890+193970+288520+81940</f>
        <v>1496745</v>
      </c>
      <c r="F136" s="2">
        <f t="shared" si="16"/>
        <v>3255</v>
      </c>
      <c r="G136" s="2">
        <f t="shared" si="17"/>
        <v>-371745</v>
      </c>
      <c r="H136" s="12"/>
      <c r="J136" s="12"/>
    </row>
    <row r="137" spans="1:10" x14ac:dyDescent="0.25">
      <c r="A137" s="18"/>
      <c r="B137" s="18" t="s">
        <v>49</v>
      </c>
      <c r="C137" s="2">
        <v>100000</v>
      </c>
      <c r="D137" s="2">
        <f t="shared" si="15"/>
        <v>75000</v>
      </c>
      <c r="E137" s="96"/>
      <c r="F137" s="2">
        <f t="shared" si="16"/>
        <v>100000</v>
      </c>
      <c r="G137" s="2">
        <f t="shared" si="17"/>
        <v>75000</v>
      </c>
      <c r="H137" s="12"/>
      <c r="J137" s="12" t="e">
        <f>#REF!*55%</f>
        <v>#REF!</v>
      </c>
    </row>
    <row r="138" spans="1:10" x14ac:dyDescent="0.25">
      <c r="A138" s="18"/>
      <c r="B138" s="18" t="s">
        <v>33</v>
      </c>
      <c r="C138" s="2">
        <v>150000</v>
      </c>
      <c r="D138" s="2">
        <f t="shared" si="15"/>
        <v>112500</v>
      </c>
      <c r="E138" s="96"/>
      <c r="F138" s="2">
        <f t="shared" si="16"/>
        <v>150000</v>
      </c>
      <c r="G138" s="2">
        <f t="shared" si="17"/>
        <v>112500</v>
      </c>
      <c r="H138" s="12"/>
      <c r="J138" s="12"/>
    </row>
    <row r="139" spans="1:10" x14ac:dyDescent="0.25">
      <c r="A139" s="18"/>
      <c r="B139" s="18" t="s">
        <v>144</v>
      </c>
      <c r="C139" s="2">
        <v>70000</v>
      </c>
      <c r="D139" s="2">
        <f t="shared" si="15"/>
        <v>52500</v>
      </c>
      <c r="E139" s="96"/>
      <c r="F139" s="2">
        <f t="shared" si="16"/>
        <v>70000</v>
      </c>
      <c r="G139" s="2">
        <f t="shared" si="17"/>
        <v>52500</v>
      </c>
      <c r="H139" s="12"/>
      <c r="J139" s="12"/>
    </row>
    <row r="140" spans="1:10" x14ac:dyDescent="0.25">
      <c r="A140" s="18"/>
      <c r="B140" s="18" t="s">
        <v>145</v>
      </c>
      <c r="C140" s="2">
        <v>300000</v>
      </c>
      <c r="D140" s="2">
        <f t="shared" si="15"/>
        <v>225000</v>
      </c>
      <c r="E140" s="96">
        <f>1160+28831+300</f>
        <v>30291</v>
      </c>
      <c r="F140" s="2">
        <f t="shared" si="16"/>
        <v>269709</v>
      </c>
      <c r="G140" s="2">
        <f t="shared" si="17"/>
        <v>194709</v>
      </c>
      <c r="J140" s="12"/>
    </row>
    <row r="141" spans="1:10" x14ac:dyDescent="0.25">
      <c r="A141" s="18"/>
      <c r="B141" s="18" t="s">
        <v>146</v>
      </c>
      <c r="C141" s="2">
        <v>20000</v>
      </c>
      <c r="D141" s="2">
        <f t="shared" si="15"/>
        <v>15000</v>
      </c>
      <c r="E141" s="96">
        <f>3550+900</f>
        <v>4450</v>
      </c>
      <c r="F141" s="2">
        <f>C141-E141</f>
        <v>15550</v>
      </c>
      <c r="G141" s="2">
        <f>D141-E141</f>
        <v>10550</v>
      </c>
      <c r="J141" s="12"/>
    </row>
    <row r="142" spans="1:10" x14ac:dyDescent="0.25">
      <c r="A142" s="18"/>
      <c r="B142" s="18" t="s">
        <v>94</v>
      </c>
      <c r="C142" s="2">
        <v>15000</v>
      </c>
      <c r="D142" s="2">
        <f t="shared" si="15"/>
        <v>11250</v>
      </c>
      <c r="E142" s="96"/>
      <c r="F142" s="2">
        <f t="shared" si="16"/>
        <v>15000</v>
      </c>
      <c r="G142" s="2">
        <f t="shared" si="17"/>
        <v>11250</v>
      </c>
      <c r="J142" s="12"/>
    </row>
    <row r="143" spans="1:10" x14ac:dyDescent="0.25">
      <c r="A143" s="18"/>
      <c r="B143" s="18" t="s">
        <v>51</v>
      </c>
      <c r="C143" s="2">
        <v>750000</v>
      </c>
      <c r="D143" s="2">
        <f t="shared" si="15"/>
        <v>562500</v>
      </c>
      <c r="E143" s="96">
        <f>14250+40863.89+16600+33570.54+8900</f>
        <v>114184.43</v>
      </c>
      <c r="F143" s="2">
        <f t="shared" si="16"/>
        <v>635815.57000000007</v>
      </c>
      <c r="G143" s="2">
        <f t="shared" si="17"/>
        <v>448315.57</v>
      </c>
      <c r="J143" s="12"/>
    </row>
    <row r="144" spans="1:10" x14ac:dyDescent="0.25">
      <c r="A144" s="18"/>
      <c r="B144" s="18" t="s">
        <v>52</v>
      </c>
      <c r="C144" s="2">
        <v>50000</v>
      </c>
      <c r="D144" s="2">
        <f t="shared" si="15"/>
        <v>37500</v>
      </c>
      <c r="E144" s="96">
        <v>8500</v>
      </c>
      <c r="F144" s="2">
        <f t="shared" si="16"/>
        <v>41500</v>
      </c>
      <c r="G144" s="2">
        <f t="shared" si="17"/>
        <v>29000</v>
      </c>
    </row>
    <row r="145" spans="1:7" x14ac:dyDescent="0.25">
      <c r="A145" s="18"/>
      <c r="B145" s="18" t="s">
        <v>223</v>
      </c>
      <c r="C145" s="2">
        <v>455427.6</v>
      </c>
      <c r="D145" s="2">
        <f t="shared" si="15"/>
        <v>341570.69999999995</v>
      </c>
      <c r="E145" s="96"/>
      <c r="F145" s="2">
        <f t="shared" si="16"/>
        <v>455427.6</v>
      </c>
      <c r="G145" s="2">
        <f t="shared" si="17"/>
        <v>341570.69999999995</v>
      </c>
    </row>
    <row r="146" spans="1:7" x14ac:dyDescent="0.25">
      <c r="A146" s="18"/>
      <c r="B146" s="18" t="s">
        <v>210</v>
      </c>
      <c r="C146" s="2">
        <v>1200000</v>
      </c>
      <c r="D146" s="2">
        <f t="shared" si="15"/>
        <v>900000</v>
      </c>
      <c r="E146" s="96">
        <f>2200+25000+152824+30000+1200</f>
        <v>211224</v>
      </c>
      <c r="F146" s="2">
        <f t="shared" si="16"/>
        <v>988776</v>
      </c>
      <c r="G146" s="2">
        <f t="shared" si="17"/>
        <v>688776</v>
      </c>
    </row>
    <row r="147" spans="1:7" x14ac:dyDescent="0.25">
      <c r="A147" s="18"/>
      <c r="B147" s="18" t="s">
        <v>211</v>
      </c>
      <c r="C147" s="2">
        <v>500000</v>
      </c>
      <c r="D147" s="2">
        <f t="shared" si="15"/>
        <v>375000</v>
      </c>
      <c r="E147" s="96"/>
      <c r="F147" s="2">
        <f t="shared" si="16"/>
        <v>500000</v>
      </c>
      <c r="G147" s="2">
        <f t="shared" si="17"/>
        <v>375000</v>
      </c>
    </row>
    <row r="148" spans="1:7" x14ac:dyDescent="0.25">
      <c r="A148" s="18"/>
      <c r="B148" s="18" t="s">
        <v>212</v>
      </c>
      <c r="C148" s="2">
        <v>300000</v>
      </c>
      <c r="D148" s="2">
        <f t="shared" si="15"/>
        <v>225000</v>
      </c>
      <c r="E148" s="96">
        <f>4116.65+40000+30000</f>
        <v>74116.649999999994</v>
      </c>
      <c r="F148" s="2">
        <f t="shared" si="16"/>
        <v>225883.35</v>
      </c>
      <c r="G148" s="2">
        <f t="shared" si="17"/>
        <v>150883.35</v>
      </c>
    </row>
    <row r="149" spans="1:7" x14ac:dyDescent="0.25">
      <c r="A149" s="18"/>
      <c r="B149" s="18" t="s">
        <v>213</v>
      </c>
      <c r="C149" s="2">
        <v>375000</v>
      </c>
      <c r="D149" s="2">
        <f t="shared" si="15"/>
        <v>281250</v>
      </c>
      <c r="E149" s="96"/>
      <c r="F149" s="2">
        <f t="shared" si="16"/>
        <v>375000</v>
      </c>
      <c r="G149" s="2">
        <f t="shared" si="17"/>
        <v>281250</v>
      </c>
    </row>
    <row r="150" spans="1:7" x14ac:dyDescent="0.25">
      <c r="A150" s="18"/>
      <c r="B150" s="18" t="s">
        <v>32</v>
      </c>
      <c r="C150" s="2">
        <v>250000</v>
      </c>
      <c r="D150" s="2">
        <f t="shared" si="15"/>
        <v>187500</v>
      </c>
      <c r="E150" s="96">
        <f>945.85+400+15186+493.34</f>
        <v>17025.189999999999</v>
      </c>
      <c r="F150" s="2">
        <f t="shared" si="16"/>
        <v>232974.81</v>
      </c>
      <c r="G150" s="2">
        <f t="shared" si="17"/>
        <v>170474.81</v>
      </c>
    </row>
    <row r="151" spans="1:7" x14ac:dyDescent="0.25">
      <c r="A151" s="18"/>
      <c r="B151" s="18" t="s">
        <v>96</v>
      </c>
      <c r="C151" s="2">
        <v>776404</v>
      </c>
      <c r="D151" s="2">
        <f t="shared" si="15"/>
        <v>582303</v>
      </c>
      <c r="E151" s="96">
        <f>194101+194101+388202</f>
        <v>776404</v>
      </c>
      <c r="F151" s="2">
        <f t="shared" si="16"/>
        <v>0</v>
      </c>
      <c r="G151" s="2">
        <f t="shared" si="17"/>
        <v>-194101</v>
      </c>
    </row>
    <row r="152" spans="1:7" x14ac:dyDescent="0.25">
      <c r="A152" s="37"/>
      <c r="B152" s="37"/>
      <c r="C152" s="6"/>
      <c r="D152" s="6"/>
      <c r="E152" s="102"/>
      <c r="F152" s="2"/>
      <c r="G152" s="2">
        <f t="shared" si="17"/>
        <v>0</v>
      </c>
    </row>
    <row r="153" spans="1:7" x14ac:dyDescent="0.25">
      <c r="A153" s="38"/>
      <c r="B153" s="28" t="s">
        <v>27</v>
      </c>
      <c r="C153" s="8">
        <f>SUM(C128:C152)</f>
        <v>8240427.5999999996</v>
      </c>
      <c r="D153" s="8">
        <f>SUM(D128:D152)</f>
        <v>6180320.7000000002</v>
      </c>
      <c r="E153" s="97">
        <f>SUM(E128:E152)</f>
        <v>2887666.86</v>
      </c>
      <c r="F153" s="8">
        <f>SUM(F128:F152)</f>
        <v>5352760.7399999993</v>
      </c>
      <c r="G153" s="8">
        <f>SUM(G128:G152)</f>
        <v>3292653.84</v>
      </c>
    </row>
    <row r="154" spans="1:7" x14ac:dyDescent="0.25">
      <c r="C154" s="7"/>
      <c r="E154" s="93"/>
    </row>
    <row r="155" spans="1:7" x14ac:dyDescent="0.25">
      <c r="C155" s="14"/>
      <c r="E155" s="103"/>
    </row>
    <row r="156" spans="1:7" x14ac:dyDescent="0.25">
      <c r="C156" s="14"/>
      <c r="E156" s="93"/>
    </row>
    <row r="157" spans="1:7" x14ac:dyDescent="0.25">
      <c r="E157" s="93"/>
    </row>
    <row r="158" spans="1:7" x14ac:dyDescent="0.25">
      <c r="A158" s="13" t="s">
        <v>0</v>
      </c>
      <c r="B158" s="34"/>
      <c r="C158" s="10"/>
      <c r="D158" s="10"/>
      <c r="E158" s="99">
        <f>E155-E157</f>
        <v>0</v>
      </c>
      <c r="F158" s="10"/>
      <c r="G158" s="10"/>
    </row>
    <row r="159" spans="1:7" x14ac:dyDescent="0.25">
      <c r="A159" s="13" t="s">
        <v>1</v>
      </c>
      <c r="B159" s="34"/>
      <c r="C159" s="10"/>
      <c r="D159" s="10"/>
      <c r="E159" s="99"/>
      <c r="F159" s="10"/>
      <c r="G159" s="10"/>
    </row>
    <row r="160" spans="1:7" x14ac:dyDescent="0.25">
      <c r="A160" s="13" t="s">
        <v>2</v>
      </c>
      <c r="B160" s="34"/>
      <c r="C160" s="10"/>
      <c r="D160" s="10"/>
      <c r="E160" s="99"/>
      <c r="F160" s="10"/>
      <c r="G160" s="10"/>
    </row>
    <row r="161" spans="1:9" x14ac:dyDescent="0.25">
      <c r="A161" s="22" t="s">
        <v>240</v>
      </c>
      <c r="B161" s="34"/>
      <c r="C161" s="10"/>
      <c r="D161" s="10"/>
      <c r="E161" s="99"/>
      <c r="F161" s="10"/>
      <c r="G161" s="10"/>
    </row>
    <row r="162" spans="1:9" x14ac:dyDescent="0.25">
      <c r="A162" s="33"/>
      <c r="B162" s="34"/>
      <c r="C162" s="10"/>
      <c r="D162" s="10"/>
      <c r="E162" s="99"/>
      <c r="F162" s="10"/>
      <c r="G162" s="10"/>
    </row>
    <row r="163" spans="1:9" x14ac:dyDescent="0.25">
      <c r="A163" s="115" t="s">
        <v>3</v>
      </c>
      <c r="B163" s="115" t="s">
        <v>4</v>
      </c>
      <c r="C163" s="115" t="s">
        <v>5</v>
      </c>
      <c r="D163" s="115" t="s">
        <v>6</v>
      </c>
      <c r="E163" s="117" t="s">
        <v>7</v>
      </c>
      <c r="F163" s="15" t="s">
        <v>8</v>
      </c>
      <c r="G163" s="15" t="s">
        <v>8</v>
      </c>
    </row>
    <row r="164" spans="1:9" x14ac:dyDescent="0.25">
      <c r="A164" s="116"/>
      <c r="B164" s="116"/>
      <c r="C164" s="116"/>
      <c r="D164" s="116"/>
      <c r="E164" s="118"/>
      <c r="F164" s="16" t="s">
        <v>5</v>
      </c>
      <c r="G164" s="16" t="s">
        <v>6</v>
      </c>
    </row>
    <row r="165" spans="1:9" x14ac:dyDescent="0.25">
      <c r="A165" s="17"/>
      <c r="B165" s="17"/>
      <c r="C165" s="17"/>
      <c r="D165" s="17"/>
      <c r="E165" s="94"/>
      <c r="F165" s="17"/>
      <c r="G165" s="17"/>
    </row>
    <row r="166" spans="1:9" x14ac:dyDescent="0.25">
      <c r="A166" s="18"/>
      <c r="B166" s="26" t="s">
        <v>53</v>
      </c>
      <c r="C166" s="18"/>
      <c r="D166" s="18"/>
      <c r="E166" s="95"/>
      <c r="F166" s="18"/>
      <c r="G166" s="18"/>
    </row>
    <row r="167" spans="1:9" x14ac:dyDescent="0.25">
      <c r="A167" s="18"/>
      <c r="B167" s="27" t="s">
        <v>11</v>
      </c>
      <c r="C167" s="2"/>
      <c r="D167" s="2"/>
      <c r="E167" s="96"/>
      <c r="F167" s="2"/>
      <c r="G167" s="2"/>
    </row>
    <row r="168" spans="1:9" x14ac:dyDescent="0.25">
      <c r="A168" s="18"/>
      <c r="B168" s="4" t="s">
        <v>58</v>
      </c>
      <c r="C168" s="2">
        <v>320000</v>
      </c>
      <c r="D168" s="2">
        <f t="shared" ref="D168:D169" si="18">C168/4*3</f>
        <v>240000</v>
      </c>
      <c r="E168" s="96">
        <f>16993+74825.49+65490.16+14605.54+162894.26</f>
        <v>334808.45000000007</v>
      </c>
      <c r="F168" s="2">
        <f t="shared" ref="F168:F188" si="19">C168-E168</f>
        <v>-14808.45000000007</v>
      </c>
      <c r="G168" s="2">
        <f t="shared" ref="G168:G188" si="20">D168-E168</f>
        <v>-94808.45000000007</v>
      </c>
    </row>
    <row r="169" spans="1:9" x14ac:dyDescent="0.25">
      <c r="A169" s="18"/>
      <c r="B169" s="4" t="s">
        <v>59</v>
      </c>
      <c r="C169" s="2">
        <v>1000000</v>
      </c>
      <c r="D169" s="2">
        <f t="shared" si="18"/>
        <v>750000</v>
      </c>
      <c r="E169" s="96">
        <f>122000+120000+120000+120000+120000+120000+118000+118000</f>
        <v>958000</v>
      </c>
      <c r="F169" s="2">
        <f t="shared" si="19"/>
        <v>42000</v>
      </c>
      <c r="G169" s="2">
        <f t="shared" si="20"/>
        <v>-208000</v>
      </c>
      <c r="I169" s="14">
        <f>E169*12</f>
        <v>11496000</v>
      </c>
    </row>
    <row r="170" spans="1:9" x14ac:dyDescent="0.25">
      <c r="A170" s="18"/>
      <c r="B170" s="27" t="s">
        <v>12</v>
      </c>
      <c r="C170" s="2"/>
      <c r="D170" s="2"/>
      <c r="E170" s="96"/>
      <c r="F170" s="2">
        <f t="shared" si="19"/>
        <v>0</v>
      </c>
      <c r="G170" s="2">
        <f t="shared" si="20"/>
        <v>0</v>
      </c>
    </row>
    <row r="171" spans="1:9" x14ac:dyDescent="0.25">
      <c r="A171" s="18"/>
      <c r="B171" s="4" t="s">
        <v>54</v>
      </c>
      <c r="C171" s="2">
        <v>2419990.09</v>
      </c>
      <c r="D171" s="2">
        <f t="shared" ref="D171:D176" si="21">C171/4*3</f>
        <v>1814992.5674999999</v>
      </c>
      <c r="E171" s="96">
        <f>78500+434768.95+5950+4083.08+3358.6</f>
        <v>526660.63</v>
      </c>
      <c r="F171" s="2">
        <f t="shared" si="19"/>
        <v>1893329.46</v>
      </c>
      <c r="G171" s="2">
        <f t="shared" si="20"/>
        <v>1288331.9375</v>
      </c>
      <c r="I171" s="14">
        <f>C171/4</f>
        <v>604997.52249999996</v>
      </c>
    </row>
    <row r="172" spans="1:9" x14ac:dyDescent="0.25">
      <c r="A172" s="18"/>
      <c r="B172" s="4" t="s">
        <v>55</v>
      </c>
      <c r="C172" s="2">
        <v>15000</v>
      </c>
      <c r="D172" s="2">
        <f t="shared" si="21"/>
        <v>11250</v>
      </c>
      <c r="E172" s="96"/>
      <c r="F172" s="2">
        <f t="shared" si="19"/>
        <v>15000</v>
      </c>
      <c r="G172" s="2">
        <f t="shared" si="20"/>
        <v>11250</v>
      </c>
    </row>
    <row r="173" spans="1:9" x14ac:dyDescent="0.25">
      <c r="A173" s="18"/>
      <c r="B173" s="4" t="s">
        <v>56</v>
      </c>
      <c r="C173" s="2">
        <v>20000</v>
      </c>
      <c r="D173" s="2">
        <f t="shared" si="21"/>
        <v>15000</v>
      </c>
      <c r="E173" s="96"/>
      <c r="F173" s="2">
        <f t="shared" si="19"/>
        <v>20000</v>
      </c>
      <c r="G173" s="2">
        <f t="shared" si="20"/>
        <v>15000</v>
      </c>
    </row>
    <row r="174" spans="1:9" x14ac:dyDescent="0.25">
      <c r="A174" s="18"/>
      <c r="B174" s="4" t="s">
        <v>160</v>
      </c>
      <c r="C174" s="2">
        <v>2419990.09</v>
      </c>
      <c r="D174" s="2">
        <f t="shared" si="21"/>
        <v>1814992.5674999999</v>
      </c>
      <c r="E174" s="96">
        <v>588000</v>
      </c>
      <c r="F174" s="2">
        <f t="shared" si="19"/>
        <v>1831990.0899999999</v>
      </c>
      <c r="G174" s="2">
        <f t="shared" si="20"/>
        <v>1226992.5674999999</v>
      </c>
    </row>
    <row r="175" spans="1:9" x14ac:dyDescent="0.25">
      <c r="A175" s="18"/>
      <c r="B175" s="4" t="s">
        <v>161</v>
      </c>
      <c r="C175" s="2">
        <v>483998.02</v>
      </c>
      <c r="D175" s="2">
        <f t="shared" si="21"/>
        <v>362998.51500000001</v>
      </c>
      <c r="E175" s="96">
        <f>2000+23750+4000+8000+12000</f>
        <v>49750</v>
      </c>
      <c r="F175" s="2">
        <f t="shared" ref="F175" si="22">C175-E175</f>
        <v>434248.02</v>
      </c>
      <c r="G175" s="2">
        <f t="shared" ref="G175" si="23">D175-E175</f>
        <v>313248.51500000001</v>
      </c>
    </row>
    <row r="176" spans="1:9" x14ac:dyDescent="0.25">
      <c r="A176" s="18"/>
      <c r="B176" s="55" t="s">
        <v>162</v>
      </c>
      <c r="C176" s="2">
        <v>412021.38</v>
      </c>
      <c r="D176" s="2">
        <f t="shared" si="21"/>
        <v>309016.03500000003</v>
      </c>
      <c r="E176" s="96"/>
      <c r="F176" s="2">
        <f t="shared" si="19"/>
        <v>412021.38</v>
      </c>
      <c r="G176" s="2">
        <f t="shared" si="20"/>
        <v>309016.03500000003</v>
      </c>
    </row>
    <row r="177" spans="1:7" x14ac:dyDescent="0.25">
      <c r="A177" s="18"/>
      <c r="B177" s="55" t="s">
        <v>225</v>
      </c>
      <c r="C177" s="2"/>
      <c r="D177" s="2"/>
      <c r="E177" s="96"/>
      <c r="F177" s="2"/>
      <c r="G177" s="2"/>
    </row>
    <row r="178" spans="1:7" x14ac:dyDescent="0.25">
      <c r="A178" s="18"/>
      <c r="B178" s="82" t="s">
        <v>226</v>
      </c>
      <c r="C178" s="2">
        <v>10000</v>
      </c>
      <c r="D178" s="2">
        <f t="shared" ref="D178:D182" si="24">C178/4*3</f>
        <v>7500</v>
      </c>
      <c r="E178" s="96"/>
      <c r="F178" s="2">
        <f t="shared" ref="F178:F179" si="25">C178-E178</f>
        <v>10000</v>
      </c>
      <c r="G178" s="2">
        <f t="shared" ref="G178:G179" si="26">D178-E178</f>
        <v>7500</v>
      </c>
    </row>
    <row r="179" spans="1:7" x14ac:dyDescent="0.25">
      <c r="A179" s="18"/>
      <c r="B179" s="55" t="s">
        <v>227</v>
      </c>
      <c r="C179" s="2">
        <v>10000</v>
      </c>
      <c r="D179" s="2">
        <f t="shared" si="24"/>
        <v>7500</v>
      </c>
      <c r="E179" s="96"/>
      <c r="F179" s="2">
        <f t="shared" si="25"/>
        <v>10000</v>
      </c>
      <c r="G179" s="2">
        <f t="shared" si="26"/>
        <v>7500</v>
      </c>
    </row>
    <row r="180" spans="1:7" x14ac:dyDescent="0.25">
      <c r="A180" s="18"/>
      <c r="B180" s="4" t="s">
        <v>228</v>
      </c>
      <c r="C180" s="2">
        <v>100000</v>
      </c>
      <c r="D180" s="2">
        <f t="shared" si="24"/>
        <v>75000</v>
      </c>
      <c r="E180" s="96"/>
      <c r="F180" s="2">
        <f t="shared" si="19"/>
        <v>100000</v>
      </c>
      <c r="G180" s="2">
        <f t="shared" si="20"/>
        <v>75000</v>
      </c>
    </row>
    <row r="181" spans="1:7" x14ac:dyDescent="0.25">
      <c r="A181" s="18"/>
      <c r="B181" s="4" t="s">
        <v>229</v>
      </c>
      <c r="C181" s="2">
        <v>300000</v>
      </c>
      <c r="D181" s="2">
        <f t="shared" si="24"/>
        <v>225000</v>
      </c>
      <c r="E181" s="96">
        <f>74000+13819+86641+41775</f>
        <v>216235</v>
      </c>
      <c r="F181" s="2">
        <f t="shared" ref="F181:F182" si="27">C181-E181</f>
        <v>83765</v>
      </c>
      <c r="G181" s="2">
        <f t="shared" ref="G181:G182" si="28">D181-E181</f>
        <v>8765</v>
      </c>
    </row>
    <row r="182" spans="1:7" x14ac:dyDescent="0.25">
      <c r="A182" s="18"/>
      <c r="B182" s="4" t="s">
        <v>105</v>
      </c>
      <c r="C182" s="2">
        <v>150000</v>
      </c>
      <c r="D182" s="2">
        <f t="shared" si="24"/>
        <v>112500</v>
      </c>
      <c r="E182" s="96">
        <v>47995</v>
      </c>
      <c r="F182" s="2">
        <f t="shared" si="27"/>
        <v>102005</v>
      </c>
      <c r="G182" s="2">
        <f t="shared" si="28"/>
        <v>64505</v>
      </c>
    </row>
    <row r="183" spans="1:7" x14ac:dyDescent="0.25">
      <c r="A183" s="18"/>
      <c r="B183" s="27" t="s">
        <v>13</v>
      </c>
      <c r="C183" s="2"/>
      <c r="D183" s="2"/>
      <c r="E183" s="96"/>
      <c r="F183" s="2">
        <f t="shared" si="19"/>
        <v>0</v>
      </c>
      <c r="G183" s="2">
        <f t="shared" si="20"/>
        <v>0</v>
      </c>
    </row>
    <row r="184" spans="1:7" x14ac:dyDescent="0.25">
      <c r="A184" s="18"/>
      <c r="B184" s="4" t="s">
        <v>62</v>
      </c>
      <c r="C184" s="2"/>
      <c r="D184" s="2"/>
      <c r="E184" s="96"/>
      <c r="F184" s="2">
        <f t="shared" si="19"/>
        <v>0</v>
      </c>
      <c r="G184" s="2">
        <f t="shared" si="20"/>
        <v>0</v>
      </c>
    </row>
    <row r="185" spans="1:7" x14ac:dyDescent="0.25">
      <c r="A185" s="18"/>
      <c r="B185" s="83" t="s">
        <v>230</v>
      </c>
      <c r="C185" s="2">
        <v>500000</v>
      </c>
      <c r="D185" s="2">
        <f>C185/4*3</f>
        <v>375000</v>
      </c>
      <c r="E185" s="96"/>
      <c r="F185" s="2">
        <f t="shared" ref="F185" si="29">C185-E185</f>
        <v>500000</v>
      </c>
      <c r="G185" s="2">
        <f t="shared" ref="G185" si="30">D185-E185</f>
        <v>375000</v>
      </c>
    </row>
    <row r="186" spans="1:7" x14ac:dyDescent="0.25">
      <c r="A186" s="18"/>
      <c r="B186" s="4" t="s">
        <v>231</v>
      </c>
      <c r="C186" s="2"/>
      <c r="D186" s="2"/>
      <c r="E186" s="96"/>
      <c r="F186" s="2"/>
      <c r="G186" s="2"/>
    </row>
    <row r="187" spans="1:7" x14ac:dyDescent="0.25">
      <c r="A187" s="18"/>
      <c r="B187" s="83" t="s">
        <v>232</v>
      </c>
      <c r="C187" s="2">
        <v>2000000</v>
      </c>
      <c r="D187" s="2">
        <f t="shared" ref="D187:D188" si="31">C187/4*3</f>
        <v>1500000</v>
      </c>
      <c r="E187" s="96">
        <f>644135+285846</f>
        <v>929981</v>
      </c>
      <c r="F187" s="2">
        <f t="shared" si="19"/>
        <v>1070019</v>
      </c>
      <c r="G187" s="2">
        <f t="shared" si="20"/>
        <v>570019</v>
      </c>
    </row>
    <row r="188" spans="1:7" x14ac:dyDescent="0.25">
      <c r="A188" s="18"/>
      <c r="B188" s="4" t="s">
        <v>233</v>
      </c>
      <c r="C188" s="2">
        <v>120000</v>
      </c>
      <c r="D188" s="2">
        <f t="shared" si="31"/>
        <v>90000</v>
      </c>
      <c r="E188" s="2"/>
      <c r="F188" s="2">
        <f t="shared" si="19"/>
        <v>120000</v>
      </c>
      <c r="G188" s="2">
        <f t="shared" si="20"/>
        <v>90000</v>
      </c>
    </row>
    <row r="189" spans="1:7" x14ac:dyDescent="0.25">
      <c r="A189" s="18"/>
      <c r="B189" s="4"/>
      <c r="C189" s="2"/>
      <c r="D189" s="2"/>
      <c r="E189" s="2"/>
      <c r="F189" s="2"/>
      <c r="G189" s="2"/>
    </row>
    <row r="190" spans="1:7" x14ac:dyDescent="0.25">
      <c r="A190" s="18"/>
      <c r="B190" s="39" t="s">
        <v>27</v>
      </c>
      <c r="C190" s="8">
        <f>SUM(C168:C189)</f>
        <v>10280999.579999998</v>
      </c>
      <c r="D190" s="8">
        <f>SUM(D168:D189)</f>
        <v>7710749.6849999996</v>
      </c>
      <c r="E190" s="8">
        <f>SUM(E168:E189)</f>
        <v>3651430.08</v>
      </c>
      <c r="F190" s="8">
        <f>SUM(F168:F189)</f>
        <v>6629569.4999999991</v>
      </c>
      <c r="G190" s="8">
        <f>SUM(G168:G189)</f>
        <v>4059319.605</v>
      </c>
    </row>
    <row r="191" spans="1:7" ht="15.75" thickBot="1" x14ac:dyDescent="0.3">
      <c r="A191" s="40"/>
      <c r="B191" s="41" t="s">
        <v>64</v>
      </c>
      <c r="C191" s="20">
        <f>C190+C153+C115+C108+C101+C94+C87+C80+C73+C57+C50+C43+C36+C29+C22+C15</f>
        <v>48399801.709999993</v>
      </c>
      <c r="D191" s="20">
        <f>D190+D153+D115+D108+D101+D94+D87+D80+D73+D57+D50+D43+D36+D29+D22+D15</f>
        <v>36299851.282499999</v>
      </c>
      <c r="E191" s="20">
        <f>E190+E153+E115+E108+E101+E94+E87+E80+E73+E57+E50+E43+E36+E29+E22+E15</f>
        <v>26337156.84</v>
      </c>
      <c r="F191" s="20">
        <f>F190+F153+F115+F108+F101+F94+F87+F80+F73+F57+F50+F43+F36+F29+F22+F15</f>
        <v>22062644.870000005</v>
      </c>
      <c r="G191" s="20">
        <f>G190+G153+G115+G108+G101+G94+G87+G80+G73+G57+G50+G43+G36+G29+G22+G15</f>
        <v>9962694.442499999</v>
      </c>
    </row>
    <row r="192" spans="1:7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2"/>
      <c r="F193" s="12"/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C195" s="12"/>
      <c r="D195" s="12"/>
      <c r="E195" s="12"/>
      <c r="F195" s="12"/>
      <c r="G195" s="12"/>
    </row>
    <row r="196" spans="2:12" x14ac:dyDescent="0.25">
      <c r="B196" s="42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114"/>
      <c r="E197" s="114"/>
      <c r="F197" s="12"/>
      <c r="G197" s="12"/>
    </row>
    <row r="198" spans="2:12" x14ac:dyDescent="0.25">
      <c r="C198" s="12"/>
      <c r="D198" s="12"/>
      <c r="E198" s="12"/>
      <c r="F198" s="12"/>
      <c r="G198" s="12"/>
      <c r="H198" s="54">
        <v>0.8</v>
      </c>
      <c r="I198" s="12">
        <v>2159415</v>
      </c>
      <c r="L198" s="13">
        <f>20*20</f>
        <v>400</v>
      </c>
    </row>
    <row r="199" spans="2:12" x14ac:dyDescent="0.25">
      <c r="C199" s="12" t="s">
        <v>150</v>
      </c>
      <c r="D199" s="12"/>
      <c r="E199" s="12"/>
      <c r="F199" s="12"/>
      <c r="G199" s="12"/>
      <c r="H199" s="54">
        <v>0.2</v>
      </c>
      <c r="I199" s="12">
        <v>539854</v>
      </c>
      <c r="L199" s="13">
        <f>15*20</f>
        <v>300</v>
      </c>
    </row>
    <row r="200" spans="2:12" x14ac:dyDescent="0.25">
      <c r="C200" s="12" t="s">
        <v>151</v>
      </c>
      <c r="D200" s="12"/>
      <c r="E200" s="12"/>
      <c r="F200" s="12"/>
      <c r="G200" s="12"/>
      <c r="I200" s="12"/>
    </row>
    <row r="201" spans="2:12" x14ac:dyDescent="0.25">
      <c r="C201" s="53">
        <v>0.2</v>
      </c>
      <c r="D201" s="12"/>
      <c r="E201" s="12">
        <v>133869.85</v>
      </c>
      <c r="F201" s="12"/>
      <c r="G201" s="12"/>
      <c r="I201" s="12"/>
      <c r="L201" s="13">
        <f>SUM(L198:L200)</f>
        <v>700</v>
      </c>
    </row>
    <row r="202" spans="2:12" x14ac:dyDescent="0.25">
      <c r="C202" s="53">
        <v>0.05</v>
      </c>
      <c r="D202" s="12">
        <v>404890.34</v>
      </c>
      <c r="E202" s="12">
        <v>14850</v>
      </c>
      <c r="F202" s="12"/>
      <c r="G202" s="12"/>
      <c r="I202" s="12">
        <f>SUM(I198:I201)</f>
        <v>2699269</v>
      </c>
    </row>
    <row r="203" spans="2:12" x14ac:dyDescent="0.25">
      <c r="C203" s="12" t="s">
        <v>112</v>
      </c>
      <c r="D203" s="12"/>
      <c r="E203" s="12">
        <v>7200</v>
      </c>
      <c r="F203" s="12"/>
      <c r="G203" s="12">
        <f>I202-E191</f>
        <v>-23637887.84</v>
      </c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E205" s="12"/>
      <c r="F205" s="12"/>
      <c r="G205" s="12"/>
      <c r="I205" s="12"/>
    </row>
    <row r="206" spans="2:12" x14ac:dyDescent="0.25">
      <c r="C206" s="12" t="s">
        <v>135</v>
      </c>
      <c r="D206" s="12">
        <f>SUM(D199:D205)</f>
        <v>404890.34</v>
      </c>
      <c r="E206" s="12">
        <f>SUM(E199:E205)</f>
        <v>155919.85</v>
      </c>
      <c r="F206" s="12"/>
      <c r="G206" s="12"/>
      <c r="I206" s="12"/>
    </row>
    <row r="207" spans="2:12" x14ac:dyDescent="0.25">
      <c r="C207" s="12"/>
      <c r="D207" s="12"/>
      <c r="E207" s="12">
        <f>E191-E206</f>
        <v>26181236.989999998</v>
      </c>
      <c r="F207" s="12"/>
      <c r="G207" s="12"/>
      <c r="I207" s="12"/>
    </row>
    <row r="208" spans="2:12" x14ac:dyDescent="0.25">
      <c r="C208" s="12"/>
      <c r="D208" s="12">
        <f>32391227</f>
        <v>32391227</v>
      </c>
      <c r="E208" s="12">
        <f>E206-E191</f>
        <v>-26181236.989999998</v>
      </c>
      <c r="F208" s="12"/>
      <c r="G208" s="12"/>
      <c r="I208" s="12"/>
    </row>
    <row r="209" spans="3:7" x14ac:dyDescent="0.25">
      <c r="C209" s="12"/>
      <c r="D209" s="12">
        <f>D208*5%</f>
        <v>1619561.35</v>
      </c>
      <c r="E209" s="12"/>
      <c r="F209" s="12"/>
      <c r="G209" s="12"/>
    </row>
    <row r="210" spans="3:7" x14ac:dyDescent="0.25">
      <c r="C210" s="12"/>
      <c r="D210" s="12">
        <f>D209/4</f>
        <v>404890.33750000002</v>
      </c>
      <c r="E210" s="12">
        <f>E168+E169</f>
        <v>1292808.4500000002</v>
      </c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>
        <f>E199+E200</f>
        <v>0</v>
      </c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D197:E197"/>
    <mergeCell ref="A163:A164"/>
    <mergeCell ref="B163:B164"/>
    <mergeCell ref="C163:C164"/>
    <mergeCell ref="D163:D164"/>
    <mergeCell ref="E163:E164"/>
    <mergeCell ref="A125:A126"/>
    <mergeCell ref="B125:B126"/>
    <mergeCell ref="C125:C126"/>
    <mergeCell ref="D125:D126"/>
    <mergeCell ref="E125:E126"/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</mergeCells>
  <pageMargins left="0.12" right="0.12" top="0.75" bottom="0.75" header="0.3" footer="0.3"/>
  <pageSetup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jan13</vt:lpstr>
      <vt:lpstr>feb13</vt:lpstr>
      <vt:lpstr>march10</vt:lpstr>
      <vt:lpstr>april10</vt:lpstr>
      <vt:lpstr>may10</vt:lpstr>
      <vt:lpstr>june</vt:lpstr>
      <vt:lpstr>july</vt:lpstr>
      <vt:lpstr>aug</vt:lpstr>
      <vt:lpstr>Sept</vt:lpstr>
      <vt:lpstr>oct.11</vt:lpstr>
      <vt:lpstr>nov.11</vt:lpstr>
      <vt:lpstr>Dec.11</vt:lpstr>
      <vt:lpstr>Sheet1</vt:lpstr>
      <vt:lpstr>Sheet2</vt:lpstr>
      <vt:lpstr>GAD</vt:lpstr>
      <vt:lpstr>SEF</vt:lpstr>
      <vt:lpstr>Sheet3</vt:lpstr>
      <vt:lpstr>balance13</vt:lpstr>
      <vt:lpstr>bySector</vt:lpstr>
      <vt:lpstr>april10!Print_Area</vt:lpstr>
      <vt:lpstr>aug!Print_Area</vt:lpstr>
      <vt:lpstr>balance13!Print_Area</vt:lpstr>
      <vt:lpstr>bySector!Print_Area</vt:lpstr>
      <vt:lpstr>Dec.11!Print_Area</vt:lpstr>
      <vt:lpstr>'feb13'!Print_Area</vt:lpstr>
      <vt:lpstr>GAD!Print_Area</vt:lpstr>
      <vt:lpstr>'jan13'!Print_Area</vt:lpstr>
      <vt:lpstr>july!Print_Area</vt:lpstr>
      <vt:lpstr>june!Print_Area</vt:lpstr>
      <vt:lpstr>march10!Print_Area</vt:lpstr>
      <vt:lpstr>'may10'!Print_Area</vt:lpstr>
      <vt:lpstr>nov.11!Print_Area</vt:lpstr>
      <vt:lpstr>oct.11!Print_Area</vt:lpstr>
      <vt:lpstr>Sept!Print_Area</vt:lpstr>
      <vt:lpstr>Sheet1!Print_Area</vt:lpstr>
      <vt:lpstr>Sheet2!Print_Area</vt:lpstr>
      <vt:lpstr>Sheet3!Print_Area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Loida</dc:creator>
  <cp:lastModifiedBy>Loida</cp:lastModifiedBy>
  <cp:lastPrinted>2015-09-15T20:37:39Z</cp:lastPrinted>
  <dcterms:created xsi:type="dcterms:W3CDTF">2010-11-09T18:16:55Z</dcterms:created>
  <dcterms:modified xsi:type="dcterms:W3CDTF">2015-09-30T08:48:14Z</dcterms:modified>
</cp:coreProperties>
</file>